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ThucTran\HSTT\KhachHang\00-Done\20200528-XuanHiep17\"/>
    </mc:Choice>
  </mc:AlternateContent>
  <xr:revisionPtr revIDLastSave="0" documentId="8_{72DBC4F5-3293-4CC6-A042-56C65AB26155}" xr6:coauthVersionLast="45" xr6:coauthVersionMax="45" xr10:uidLastSave="{00000000-0000-0000-0000-000000000000}"/>
  <bookViews>
    <workbookView xWindow="-108" yWindow="-108" windowWidth="23256" windowHeight="12576"/>
  </bookViews>
  <sheets>
    <sheet name="CT_tram" sheetId="1" r:id="rId1"/>
    <sheet name="chitiet" sheetId="2" r:id="rId2"/>
  </sheets>
  <externalReferences>
    <externalReference r:id="rId3"/>
  </externalReferences>
  <definedNames>
    <definedName name="_Builtin155" hidden="1">#N/A</definedName>
    <definedName name="_Fill" hidden="1">#REF!</definedName>
    <definedName name="_xlnm._FilterDatabase" localSheetId="1" hidden="1">chitiet!$A$10:$S$2369</definedName>
    <definedName name="_xlnm._FilterDatabase" localSheetId="0" hidden="1">CT_tram!$A$24:$N$2741</definedName>
    <definedName name="DonGia">[1]DG!$A:$J</definedName>
    <definedName name="DuToan">[1]TongHopKL!$H:$H</definedName>
    <definedName name="DZ">chitiet!$B:$P</definedName>
    <definedName name="KhoiLuong">[1]TongHopKL!$B:$I</definedName>
    <definedName name="_xlnm.Print_Area" localSheetId="1">chitiet!$E:$S</definedName>
    <definedName name="_xlnm.Print_Area" localSheetId="0">CT_tram!$D$19:$L$2760</definedName>
    <definedName name="_xlnm.Print_Titles" localSheetId="1">chitiet!$9:$10</definedName>
    <definedName name="_xlnm.Print_Titles" localSheetId="0">CT_tram!$22:$23</definedName>
    <definedName name="TBA">CT_tram!$B:$I</definedName>
    <definedName name="ThiCong">[1]TongHopKL!$I:$I</definedName>
    <definedName name="wrn.chi._.tiÆt." hidden="1">{#N/A,#N/A,FALSE,"Chi tiÆt"}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368" i="2" l="1"/>
  <c r="T2367" i="2"/>
  <c r="P2367" i="2"/>
  <c r="G2367" i="2"/>
  <c r="F2367" i="2"/>
  <c r="E2367" i="2"/>
  <c r="C2367" i="2"/>
  <c r="T2366" i="2"/>
  <c r="P2366" i="2"/>
  <c r="G2366" i="2"/>
  <c r="F2366" i="2"/>
  <c r="E2366" i="2"/>
  <c r="C2366" i="2"/>
  <c r="T2365" i="2"/>
  <c r="P2365" i="2"/>
  <c r="G2365" i="2"/>
  <c r="F2365" i="2"/>
  <c r="E2365" i="2"/>
  <c r="C2365" i="2"/>
  <c r="T2364" i="2"/>
  <c r="P2364" i="2"/>
  <c r="C2364" i="2" s="1"/>
  <c r="G2364" i="2"/>
  <c r="F2364" i="2"/>
  <c r="E2364" i="2"/>
  <c r="T2363" i="2"/>
  <c r="P2363" i="2"/>
  <c r="C2363" i="2" s="1"/>
  <c r="G2363" i="2"/>
  <c r="F2363" i="2"/>
  <c r="E2363" i="2"/>
  <c r="T2362" i="2"/>
  <c r="P2362" i="2"/>
  <c r="G2362" i="2"/>
  <c r="F2362" i="2"/>
  <c r="E2362" i="2"/>
  <c r="C2362" i="2"/>
  <c r="T2361" i="2"/>
  <c r="P2361" i="2"/>
  <c r="G2361" i="2"/>
  <c r="F2361" i="2"/>
  <c r="E2361" i="2"/>
  <c r="C2361" i="2"/>
  <c r="T2360" i="2"/>
  <c r="G2360" i="2"/>
  <c r="F2360" i="2"/>
  <c r="E2360" i="2"/>
  <c r="T2359" i="2"/>
  <c r="G2359" i="2"/>
  <c r="F2359" i="2"/>
  <c r="E2359" i="2"/>
  <c r="T2358" i="2"/>
  <c r="G2358" i="2"/>
  <c r="F2358" i="2"/>
  <c r="E2358" i="2"/>
  <c r="T2357" i="2"/>
  <c r="K2357" i="2"/>
  <c r="J2357" i="2"/>
  <c r="I2357" i="2"/>
  <c r="G2357" i="2"/>
  <c r="F2357" i="2"/>
  <c r="E2357" i="2"/>
  <c r="T2356" i="2"/>
  <c r="K2356" i="2"/>
  <c r="J2356" i="2"/>
  <c r="I2356" i="2"/>
  <c r="G2356" i="2"/>
  <c r="F2356" i="2"/>
  <c r="T2355" i="2"/>
  <c r="K2355" i="2"/>
  <c r="J2355" i="2"/>
  <c r="I2355" i="2"/>
  <c r="G2355" i="2"/>
  <c r="F2355" i="2"/>
  <c r="T2354" i="2"/>
  <c r="K2354" i="2"/>
  <c r="J2354" i="2"/>
  <c r="I2354" i="2"/>
  <c r="G2354" i="2"/>
  <c r="F2354" i="2"/>
  <c r="T2353" i="2"/>
  <c r="K2353" i="2"/>
  <c r="J2353" i="2"/>
  <c r="I2353" i="2"/>
  <c r="G2353" i="2"/>
  <c r="F2353" i="2"/>
  <c r="T2352" i="2"/>
  <c r="K2352" i="2"/>
  <c r="J2352" i="2"/>
  <c r="I2352" i="2"/>
  <c r="G2352" i="2"/>
  <c r="F2352" i="2"/>
  <c r="T2351" i="2"/>
  <c r="K2351" i="2"/>
  <c r="J2351" i="2"/>
  <c r="I2351" i="2"/>
  <c r="G2351" i="2"/>
  <c r="F2351" i="2"/>
  <c r="T2350" i="2"/>
  <c r="K2350" i="2"/>
  <c r="J2350" i="2"/>
  <c r="I2350" i="2"/>
  <c r="G2350" i="2"/>
  <c r="F2350" i="2"/>
  <c r="T2349" i="2"/>
  <c r="L2349" i="2"/>
  <c r="H2349" i="2" s="1"/>
  <c r="P2349" i="2" s="1"/>
  <c r="C2349" i="2" s="1"/>
  <c r="T2348" i="2"/>
  <c r="G2348" i="2"/>
  <c r="F2348" i="2"/>
  <c r="E2348" i="2"/>
  <c r="T2347" i="2"/>
  <c r="K2347" i="2"/>
  <c r="J2347" i="2"/>
  <c r="I2347" i="2"/>
  <c r="G2347" i="2"/>
  <c r="F2347" i="2"/>
  <c r="E2347" i="2"/>
  <c r="T2346" i="2"/>
  <c r="G2346" i="2"/>
  <c r="F2346" i="2"/>
  <c r="E2346" i="2"/>
  <c r="T2345" i="2"/>
  <c r="K2345" i="2"/>
  <c r="J2345" i="2"/>
  <c r="I2345" i="2"/>
  <c r="G2345" i="2"/>
  <c r="F2345" i="2"/>
  <c r="T2344" i="2"/>
  <c r="K2344" i="2"/>
  <c r="J2344" i="2"/>
  <c r="I2344" i="2"/>
  <c r="H2344" i="2"/>
  <c r="P2344" i="2" s="1"/>
  <c r="C2344" i="2" s="1"/>
  <c r="G2344" i="2"/>
  <c r="F2344" i="2"/>
  <c r="T2343" i="2"/>
  <c r="K2343" i="2"/>
  <c r="J2343" i="2"/>
  <c r="I2343" i="2"/>
  <c r="G2343" i="2"/>
  <c r="F2343" i="2"/>
  <c r="T2342" i="2"/>
  <c r="K2342" i="2"/>
  <c r="J2342" i="2"/>
  <c r="I2342" i="2"/>
  <c r="G2342" i="2"/>
  <c r="F2342" i="2"/>
  <c r="T2341" i="2"/>
  <c r="K2341" i="2"/>
  <c r="J2341" i="2"/>
  <c r="I2341" i="2"/>
  <c r="G2341" i="2"/>
  <c r="F2341" i="2"/>
  <c r="T2340" i="2"/>
  <c r="K2340" i="2"/>
  <c r="J2340" i="2"/>
  <c r="I2340" i="2"/>
  <c r="H2340" i="2"/>
  <c r="P2340" i="2" s="1"/>
  <c r="C2340" i="2" s="1"/>
  <c r="G2340" i="2"/>
  <c r="F2340" i="2"/>
  <c r="T2339" i="2"/>
  <c r="K2339" i="2"/>
  <c r="J2339" i="2"/>
  <c r="I2339" i="2"/>
  <c r="G2339" i="2"/>
  <c r="F2339" i="2"/>
  <c r="T2338" i="2"/>
  <c r="K2338" i="2"/>
  <c r="J2338" i="2"/>
  <c r="I2338" i="2"/>
  <c r="G2338" i="2"/>
  <c r="F2338" i="2"/>
  <c r="T2337" i="2"/>
  <c r="K2337" i="2"/>
  <c r="J2337" i="2"/>
  <c r="I2337" i="2"/>
  <c r="G2337" i="2"/>
  <c r="F2337" i="2"/>
  <c r="T2336" i="2"/>
  <c r="K2336" i="2"/>
  <c r="J2336" i="2"/>
  <c r="I2336" i="2"/>
  <c r="H2336" i="2"/>
  <c r="P2336" i="2" s="1"/>
  <c r="C2336" i="2" s="1"/>
  <c r="G2336" i="2"/>
  <c r="F2336" i="2"/>
  <c r="T2335" i="2"/>
  <c r="L2335" i="2"/>
  <c r="H2335" i="2" s="1"/>
  <c r="P2335" i="2" s="1"/>
  <c r="C2335" i="2" s="1"/>
  <c r="T2334" i="2"/>
  <c r="G2334" i="2"/>
  <c r="F2334" i="2"/>
  <c r="E2334" i="2"/>
  <c r="T2333" i="2"/>
  <c r="K2333" i="2"/>
  <c r="J2333" i="2"/>
  <c r="I2333" i="2"/>
  <c r="G2333" i="2"/>
  <c r="F2333" i="2"/>
  <c r="E2333" i="2"/>
  <c r="T2332" i="2"/>
  <c r="G2332" i="2"/>
  <c r="F2332" i="2"/>
  <c r="E2332" i="2"/>
  <c r="T2331" i="2"/>
  <c r="K2331" i="2"/>
  <c r="J2331" i="2"/>
  <c r="I2331" i="2"/>
  <c r="H2331" i="2"/>
  <c r="P2331" i="2" s="1"/>
  <c r="C2331" i="2" s="1"/>
  <c r="G2331" i="2"/>
  <c r="F2331" i="2"/>
  <c r="T2330" i="2"/>
  <c r="K2330" i="2"/>
  <c r="J2330" i="2"/>
  <c r="I2330" i="2"/>
  <c r="G2330" i="2"/>
  <c r="F2330" i="2"/>
  <c r="T2329" i="2"/>
  <c r="K2329" i="2"/>
  <c r="J2329" i="2"/>
  <c r="I2329" i="2"/>
  <c r="G2329" i="2"/>
  <c r="F2329" i="2"/>
  <c r="T2328" i="2"/>
  <c r="K2328" i="2"/>
  <c r="J2328" i="2"/>
  <c r="I2328" i="2"/>
  <c r="G2328" i="2"/>
  <c r="F2328" i="2"/>
  <c r="T2327" i="2"/>
  <c r="K2327" i="2"/>
  <c r="J2327" i="2"/>
  <c r="I2327" i="2"/>
  <c r="H2327" i="2"/>
  <c r="P2327" i="2" s="1"/>
  <c r="C2327" i="2" s="1"/>
  <c r="G2327" i="2"/>
  <c r="F2327" i="2"/>
  <c r="T2326" i="2"/>
  <c r="K2326" i="2"/>
  <c r="J2326" i="2"/>
  <c r="I2326" i="2"/>
  <c r="G2326" i="2"/>
  <c r="F2326" i="2"/>
  <c r="T2325" i="2"/>
  <c r="K2325" i="2"/>
  <c r="J2325" i="2"/>
  <c r="I2325" i="2"/>
  <c r="G2325" i="2"/>
  <c r="F2325" i="2"/>
  <c r="T2324" i="2"/>
  <c r="K2324" i="2"/>
  <c r="J2324" i="2"/>
  <c r="I2324" i="2"/>
  <c r="G2324" i="2"/>
  <c r="F2324" i="2"/>
  <c r="T2323" i="2"/>
  <c r="K2323" i="2"/>
  <c r="J2323" i="2"/>
  <c r="I2323" i="2"/>
  <c r="H2323" i="2"/>
  <c r="P2323" i="2" s="1"/>
  <c r="C2323" i="2" s="1"/>
  <c r="G2323" i="2"/>
  <c r="F2323" i="2"/>
  <c r="T2322" i="2"/>
  <c r="K2322" i="2"/>
  <c r="J2322" i="2"/>
  <c r="I2322" i="2"/>
  <c r="G2322" i="2"/>
  <c r="F2322" i="2"/>
  <c r="T2321" i="2"/>
  <c r="L2321" i="2"/>
  <c r="H2321" i="2" s="1"/>
  <c r="P2321" i="2" s="1"/>
  <c r="C2321" i="2" s="1"/>
  <c r="T2320" i="2"/>
  <c r="L2320" i="2"/>
  <c r="H2320" i="2"/>
  <c r="H2348" i="2" s="1"/>
  <c r="P2348" i="2" s="1"/>
  <c r="C2348" i="2" s="1"/>
  <c r="C2320" i="2"/>
  <c r="T2319" i="2"/>
  <c r="L2319" i="2"/>
  <c r="H2319" i="2"/>
  <c r="P2319" i="2" s="1"/>
  <c r="C2319" i="2" s="1"/>
  <c r="G2319" i="2"/>
  <c r="F2319" i="2"/>
  <c r="E2319" i="2"/>
  <c r="T2318" i="2"/>
  <c r="L2318" i="2"/>
  <c r="H2318" i="2"/>
  <c r="P2318" i="2" s="1"/>
  <c r="C2318" i="2" s="1"/>
  <c r="G2318" i="2"/>
  <c r="F2318" i="2"/>
  <c r="E2318" i="2"/>
  <c r="T2317" i="2"/>
  <c r="L2317" i="2"/>
  <c r="H2317" i="2"/>
  <c r="P2317" i="2" s="1"/>
  <c r="C2317" i="2" s="1"/>
  <c r="G2317" i="2"/>
  <c r="F2317" i="2"/>
  <c r="E2317" i="2"/>
  <c r="T2316" i="2"/>
  <c r="L2316" i="2"/>
  <c r="H2316" i="2"/>
  <c r="P2316" i="2" s="1"/>
  <c r="C2316" i="2" s="1"/>
  <c r="G2316" i="2"/>
  <c r="F2316" i="2"/>
  <c r="E2316" i="2"/>
  <c r="T2315" i="2"/>
  <c r="L2315" i="2"/>
  <c r="H2315" i="2" s="1"/>
  <c r="P2315" i="2" s="1"/>
  <c r="D2315" i="2"/>
  <c r="C2315" i="2" s="1"/>
  <c r="T2314" i="2"/>
  <c r="L2314" i="2"/>
  <c r="H2314" i="2" s="1"/>
  <c r="P2314" i="2" s="1"/>
  <c r="C2314" i="2" s="1"/>
  <c r="G2314" i="2"/>
  <c r="F2314" i="2"/>
  <c r="E2314" i="2"/>
  <c r="T2313" i="2"/>
  <c r="L2313" i="2"/>
  <c r="H2313" i="2" s="1"/>
  <c r="P2313" i="2" s="1"/>
  <c r="C2313" i="2" s="1"/>
  <c r="G2313" i="2"/>
  <c r="F2313" i="2"/>
  <c r="E2313" i="2"/>
  <c r="T2312" i="2"/>
  <c r="L2312" i="2"/>
  <c r="H2312" i="2" s="1"/>
  <c r="P2312" i="2" s="1"/>
  <c r="C2312" i="2" s="1"/>
  <c r="G2312" i="2"/>
  <c r="F2312" i="2"/>
  <c r="E2312" i="2"/>
  <c r="T2311" i="2"/>
  <c r="L2311" i="2"/>
  <c r="L2309" i="2" s="1"/>
  <c r="C2309" i="2" s="1"/>
  <c r="K2311" i="2"/>
  <c r="H2311" i="2"/>
  <c r="P2311" i="2" s="1"/>
  <c r="G2311" i="2"/>
  <c r="F2311" i="2"/>
  <c r="E2311" i="2"/>
  <c r="C2311" i="2"/>
  <c r="T2310" i="2"/>
  <c r="L2310" i="2"/>
  <c r="H2310" i="2"/>
  <c r="P2310" i="2" s="1"/>
  <c r="G2310" i="2"/>
  <c r="F2310" i="2"/>
  <c r="E2310" i="2"/>
  <c r="C2310" i="2"/>
  <c r="T2309" i="2"/>
  <c r="P2309" i="2"/>
  <c r="D2309" i="2"/>
  <c r="T2308" i="2"/>
  <c r="K2308" i="2"/>
  <c r="G2308" i="2"/>
  <c r="F2308" i="2"/>
  <c r="E2308" i="2"/>
  <c r="D2308" i="2"/>
  <c r="H2308" i="2" s="1"/>
  <c r="P2308" i="2" s="1"/>
  <c r="C2308" i="2" s="1"/>
  <c r="T2307" i="2"/>
  <c r="K2307" i="2"/>
  <c r="H2307" i="2"/>
  <c r="P2307" i="2" s="1"/>
  <c r="C2307" i="2" s="1"/>
  <c r="G2307" i="2"/>
  <c r="F2307" i="2"/>
  <c r="E2307" i="2"/>
  <c r="D2307" i="2"/>
  <c r="T2306" i="2"/>
  <c r="K2306" i="2"/>
  <c r="G2306" i="2"/>
  <c r="F2306" i="2"/>
  <c r="E2306" i="2"/>
  <c r="D2306" i="2"/>
  <c r="H2306" i="2" s="1"/>
  <c r="P2306" i="2" s="1"/>
  <c r="C2306" i="2" s="1"/>
  <c r="T2305" i="2"/>
  <c r="K2305" i="2"/>
  <c r="G2305" i="2"/>
  <c r="F2305" i="2"/>
  <c r="E2305" i="2"/>
  <c r="D2305" i="2"/>
  <c r="H2305" i="2" s="1"/>
  <c r="P2305" i="2" s="1"/>
  <c r="C2305" i="2" s="1"/>
  <c r="T2304" i="2"/>
  <c r="K2304" i="2"/>
  <c r="H2304" i="2"/>
  <c r="P2304" i="2" s="1"/>
  <c r="C2304" i="2" s="1"/>
  <c r="G2304" i="2"/>
  <c r="F2304" i="2"/>
  <c r="E2304" i="2"/>
  <c r="D2304" i="2"/>
  <c r="T2303" i="2"/>
  <c r="P2303" i="2"/>
  <c r="C2303" i="2" s="1"/>
  <c r="K2303" i="2"/>
  <c r="H2303" i="2"/>
  <c r="G2303" i="2"/>
  <c r="F2303" i="2"/>
  <c r="E2303" i="2"/>
  <c r="D2303" i="2"/>
  <c r="T2302" i="2"/>
  <c r="P2302" i="2"/>
  <c r="C2302" i="2" s="1"/>
  <c r="K2302" i="2"/>
  <c r="H2302" i="2"/>
  <c r="G2302" i="2"/>
  <c r="F2302" i="2"/>
  <c r="E2302" i="2"/>
  <c r="D2302" i="2"/>
  <c r="T2301" i="2"/>
  <c r="P2301" i="2"/>
  <c r="C2301" i="2" s="1"/>
  <c r="K2301" i="2"/>
  <c r="H2301" i="2"/>
  <c r="G2301" i="2"/>
  <c r="F2301" i="2"/>
  <c r="E2301" i="2"/>
  <c r="D2301" i="2"/>
  <c r="T2300" i="2"/>
  <c r="K2300" i="2"/>
  <c r="G2300" i="2"/>
  <c r="F2300" i="2"/>
  <c r="E2300" i="2"/>
  <c r="T2299" i="2"/>
  <c r="P2299" i="2"/>
  <c r="C2299" i="2" s="1"/>
  <c r="K2299" i="2"/>
  <c r="H2299" i="2"/>
  <c r="G2299" i="2"/>
  <c r="F2299" i="2"/>
  <c r="E2299" i="2"/>
  <c r="D2299" i="2"/>
  <c r="D2300" i="2" s="1"/>
  <c r="H2300" i="2" s="1"/>
  <c r="P2300" i="2" s="1"/>
  <c r="C2300" i="2" s="1"/>
  <c r="T2298" i="2"/>
  <c r="K2298" i="2"/>
  <c r="G2298" i="2"/>
  <c r="F2298" i="2"/>
  <c r="E2298" i="2"/>
  <c r="D2298" i="2"/>
  <c r="H2298" i="2" s="1"/>
  <c r="P2298" i="2" s="1"/>
  <c r="C2298" i="2" s="1"/>
  <c r="T2297" i="2"/>
  <c r="K2297" i="2"/>
  <c r="H2297" i="2"/>
  <c r="P2297" i="2" s="1"/>
  <c r="C2297" i="2" s="1"/>
  <c r="G2297" i="2"/>
  <c r="F2297" i="2"/>
  <c r="E2297" i="2"/>
  <c r="D2297" i="2"/>
  <c r="T2296" i="2"/>
  <c r="K2296" i="2"/>
  <c r="H2296" i="2"/>
  <c r="P2296" i="2" s="1"/>
  <c r="C2296" i="2" s="1"/>
  <c r="G2296" i="2"/>
  <c r="F2296" i="2"/>
  <c r="E2296" i="2"/>
  <c r="D2296" i="2"/>
  <c r="T2295" i="2"/>
  <c r="P2295" i="2"/>
  <c r="C2295" i="2" s="1"/>
  <c r="K2295" i="2"/>
  <c r="H2295" i="2"/>
  <c r="G2295" i="2"/>
  <c r="F2295" i="2"/>
  <c r="E2295" i="2"/>
  <c r="D2295" i="2"/>
  <c r="T2294" i="2"/>
  <c r="P2294" i="2"/>
  <c r="C2294" i="2" s="1"/>
  <c r="K2294" i="2"/>
  <c r="H2294" i="2"/>
  <c r="G2294" i="2"/>
  <c r="F2294" i="2"/>
  <c r="E2294" i="2"/>
  <c r="D2294" i="2"/>
  <c r="T2293" i="2"/>
  <c r="P2293" i="2"/>
  <c r="C2293" i="2" s="1"/>
  <c r="K2293" i="2"/>
  <c r="H2293" i="2"/>
  <c r="G2293" i="2"/>
  <c r="F2293" i="2"/>
  <c r="E2293" i="2"/>
  <c r="D2293" i="2"/>
  <c r="T2292" i="2"/>
  <c r="P2292" i="2"/>
  <c r="K2292" i="2"/>
  <c r="G2292" i="2"/>
  <c r="F2292" i="2"/>
  <c r="E2292" i="2"/>
  <c r="D2292" i="2"/>
  <c r="H2292" i="2" s="1"/>
  <c r="C2292" i="2"/>
  <c r="T2291" i="2"/>
  <c r="K2291" i="2"/>
  <c r="G2291" i="2"/>
  <c r="F2291" i="2"/>
  <c r="E2291" i="2"/>
  <c r="D2291" i="2"/>
  <c r="H2291" i="2" s="1"/>
  <c r="P2291" i="2" s="1"/>
  <c r="C2291" i="2" s="1"/>
  <c r="T2290" i="2"/>
  <c r="K2290" i="2"/>
  <c r="G2290" i="2"/>
  <c r="F2290" i="2"/>
  <c r="E2290" i="2"/>
  <c r="D2290" i="2"/>
  <c r="H2290" i="2" s="1"/>
  <c r="P2290" i="2" s="1"/>
  <c r="C2290" i="2"/>
  <c r="T2289" i="2"/>
  <c r="K2289" i="2"/>
  <c r="G2289" i="2"/>
  <c r="F2289" i="2"/>
  <c r="E2289" i="2"/>
  <c r="D2289" i="2"/>
  <c r="H2289" i="2" s="1"/>
  <c r="P2289" i="2" s="1"/>
  <c r="C2289" i="2" s="1"/>
  <c r="T2288" i="2"/>
  <c r="K2288" i="2"/>
  <c r="H2288" i="2"/>
  <c r="P2288" i="2" s="1"/>
  <c r="C2288" i="2" s="1"/>
  <c r="G2288" i="2"/>
  <c r="F2288" i="2"/>
  <c r="E2288" i="2"/>
  <c r="D2288" i="2"/>
  <c r="T2287" i="2"/>
  <c r="K2287" i="2"/>
  <c r="G2287" i="2"/>
  <c r="F2287" i="2"/>
  <c r="E2287" i="2"/>
  <c r="D2287" i="2"/>
  <c r="H2287" i="2" s="1"/>
  <c r="P2287" i="2" s="1"/>
  <c r="C2287" i="2" s="1"/>
  <c r="T2286" i="2"/>
  <c r="P2286" i="2"/>
  <c r="K2286" i="2"/>
  <c r="H2286" i="2"/>
  <c r="G2286" i="2"/>
  <c r="F2286" i="2"/>
  <c r="E2286" i="2"/>
  <c r="D2286" i="2"/>
  <c r="C2286" i="2"/>
  <c r="T2285" i="2"/>
  <c r="K2285" i="2"/>
  <c r="G2285" i="2"/>
  <c r="F2285" i="2"/>
  <c r="E2285" i="2"/>
  <c r="D2285" i="2"/>
  <c r="H2285" i="2" s="1"/>
  <c r="P2285" i="2" s="1"/>
  <c r="C2285" i="2" s="1"/>
  <c r="T2284" i="2"/>
  <c r="L2284" i="2"/>
  <c r="H2284" i="2" s="1"/>
  <c r="P2284" i="2" s="1"/>
  <c r="K2284" i="2"/>
  <c r="C2284" i="2"/>
  <c r="T2283" i="2"/>
  <c r="K2283" i="2"/>
  <c r="H2283" i="2"/>
  <c r="P2283" i="2" s="1"/>
  <c r="C2283" i="2" s="1"/>
  <c r="G2283" i="2"/>
  <c r="F2283" i="2"/>
  <c r="E2283" i="2"/>
  <c r="T2282" i="2"/>
  <c r="P2282" i="2"/>
  <c r="C2282" i="2" s="1"/>
  <c r="K2282" i="2"/>
  <c r="G2282" i="2"/>
  <c r="F2282" i="2"/>
  <c r="E2282" i="2"/>
  <c r="T2281" i="2"/>
  <c r="K2281" i="2"/>
  <c r="H2281" i="2"/>
  <c r="P2281" i="2" s="1"/>
  <c r="C2281" i="2" s="1"/>
  <c r="G2281" i="2"/>
  <c r="F2281" i="2"/>
  <c r="E2281" i="2"/>
  <c r="T2280" i="2"/>
  <c r="K2280" i="2"/>
  <c r="H2280" i="2"/>
  <c r="P2280" i="2" s="1"/>
  <c r="C2280" i="2" s="1"/>
  <c r="G2280" i="2"/>
  <c r="F2280" i="2"/>
  <c r="E2280" i="2"/>
  <c r="T2279" i="2"/>
  <c r="K2279" i="2"/>
  <c r="H2279" i="2"/>
  <c r="P2279" i="2" s="1"/>
  <c r="C2279" i="2" s="1"/>
  <c r="G2279" i="2"/>
  <c r="F2279" i="2"/>
  <c r="E2279" i="2"/>
  <c r="T2278" i="2"/>
  <c r="K2278" i="2"/>
  <c r="H2278" i="2"/>
  <c r="P2278" i="2" s="1"/>
  <c r="C2278" i="2" s="1"/>
  <c r="G2278" i="2"/>
  <c r="F2278" i="2"/>
  <c r="E2278" i="2"/>
  <c r="T2277" i="2"/>
  <c r="K2277" i="2"/>
  <c r="H2277" i="2"/>
  <c r="P2277" i="2" s="1"/>
  <c r="C2277" i="2" s="1"/>
  <c r="G2277" i="2"/>
  <c r="F2277" i="2"/>
  <c r="E2277" i="2"/>
  <c r="T2276" i="2"/>
  <c r="K2276" i="2"/>
  <c r="H2276" i="2"/>
  <c r="P2276" i="2" s="1"/>
  <c r="C2276" i="2" s="1"/>
  <c r="G2276" i="2"/>
  <c r="F2276" i="2"/>
  <c r="E2276" i="2"/>
  <c r="T2275" i="2"/>
  <c r="K2275" i="2"/>
  <c r="H2275" i="2"/>
  <c r="P2275" i="2" s="1"/>
  <c r="C2275" i="2" s="1"/>
  <c r="G2275" i="2"/>
  <c r="F2275" i="2"/>
  <c r="E2275" i="2"/>
  <c r="D2275" i="2"/>
  <c r="T2274" i="2"/>
  <c r="K2274" i="2"/>
  <c r="H2274" i="2"/>
  <c r="P2274" i="2" s="1"/>
  <c r="C2274" i="2" s="1"/>
  <c r="G2274" i="2"/>
  <c r="F2274" i="2"/>
  <c r="E2274" i="2"/>
  <c r="T2273" i="2"/>
  <c r="K2273" i="2"/>
  <c r="H2273" i="2"/>
  <c r="P2273" i="2" s="1"/>
  <c r="C2273" i="2" s="1"/>
  <c r="G2273" i="2"/>
  <c r="F2273" i="2"/>
  <c r="E2273" i="2"/>
  <c r="D2273" i="2"/>
  <c r="D2274" i="2" s="1"/>
  <c r="T2272" i="2"/>
  <c r="P2272" i="2"/>
  <c r="C2272" i="2" s="1"/>
  <c r="K2272" i="2"/>
  <c r="H2272" i="2" s="1"/>
  <c r="D2272" i="2" s="1"/>
  <c r="G2272" i="2"/>
  <c r="F2272" i="2"/>
  <c r="E2272" i="2"/>
  <c r="T2271" i="2"/>
  <c r="P2271" i="2"/>
  <c r="C2271" i="2" s="1"/>
  <c r="K2271" i="2"/>
  <c r="H2271" i="2"/>
  <c r="G2271" i="2"/>
  <c r="F2271" i="2"/>
  <c r="E2271" i="2"/>
  <c r="T2270" i="2"/>
  <c r="P2270" i="2"/>
  <c r="C2270" i="2" s="1"/>
  <c r="K2270" i="2"/>
  <c r="H2270" i="2"/>
  <c r="D2270" i="2" s="1"/>
  <c r="G2270" i="2"/>
  <c r="F2270" i="2"/>
  <c r="E2270" i="2"/>
  <c r="T2269" i="2"/>
  <c r="P2269" i="2"/>
  <c r="K2269" i="2"/>
  <c r="H2269" i="2"/>
  <c r="G2269" i="2"/>
  <c r="F2269" i="2"/>
  <c r="E2269" i="2"/>
  <c r="C2269" i="2"/>
  <c r="T2268" i="2"/>
  <c r="P2268" i="2"/>
  <c r="K2268" i="2"/>
  <c r="H2268" i="2"/>
  <c r="G2268" i="2"/>
  <c r="F2268" i="2"/>
  <c r="E2268" i="2"/>
  <c r="C2268" i="2"/>
  <c r="T2267" i="2"/>
  <c r="P2267" i="2"/>
  <c r="K2267" i="2"/>
  <c r="H2267" i="2"/>
  <c r="G2267" i="2"/>
  <c r="F2267" i="2"/>
  <c r="E2267" i="2"/>
  <c r="C2267" i="2"/>
  <c r="T2266" i="2"/>
  <c r="P2266" i="2"/>
  <c r="K2266" i="2"/>
  <c r="H2266" i="2"/>
  <c r="G2266" i="2"/>
  <c r="F2266" i="2"/>
  <c r="E2266" i="2"/>
  <c r="C2266" i="2"/>
  <c r="T2265" i="2"/>
  <c r="P2265" i="2"/>
  <c r="K2265" i="2"/>
  <c r="H2265" i="2"/>
  <c r="G2265" i="2"/>
  <c r="F2265" i="2"/>
  <c r="E2265" i="2"/>
  <c r="C2265" i="2"/>
  <c r="T2264" i="2"/>
  <c r="P2264" i="2"/>
  <c r="K2264" i="2"/>
  <c r="H2264" i="2"/>
  <c r="G2264" i="2"/>
  <c r="F2264" i="2"/>
  <c r="E2264" i="2"/>
  <c r="C2264" i="2"/>
  <c r="T2263" i="2"/>
  <c r="L2263" i="2"/>
  <c r="H2263" i="2" s="1"/>
  <c r="P2263" i="2" s="1"/>
  <c r="T2262" i="2"/>
  <c r="I2262" i="2"/>
  <c r="H2262" i="2"/>
  <c r="P2262" i="2" s="1"/>
  <c r="C2262" i="2" s="1"/>
  <c r="G2262" i="2"/>
  <c r="F2262" i="2"/>
  <c r="E2262" i="2"/>
  <c r="T2261" i="2"/>
  <c r="I2261" i="2"/>
  <c r="H2261" i="2"/>
  <c r="P2261" i="2" s="1"/>
  <c r="C2261" i="2" s="1"/>
  <c r="G2261" i="2"/>
  <c r="F2261" i="2"/>
  <c r="E2261" i="2"/>
  <c r="T2260" i="2"/>
  <c r="I2260" i="2"/>
  <c r="H2260" i="2"/>
  <c r="P2260" i="2" s="1"/>
  <c r="C2260" i="2" s="1"/>
  <c r="G2260" i="2"/>
  <c r="F2260" i="2"/>
  <c r="E2260" i="2"/>
  <c r="T2259" i="2"/>
  <c r="I2259" i="2"/>
  <c r="H2259" i="2"/>
  <c r="P2259" i="2" s="1"/>
  <c r="C2259" i="2" s="1"/>
  <c r="G2259" i="2"/>
  <c r="F2259" i="2"/>
  <c r="E2259" i="2"/>
  <c r="T2258" i="2"/>
  <c r="I2258" i="2"/>
  <c r="H2258" i="2"/>
  <c r="P2258" i="2" s="1"/>
  <c r="C2258" i="2" s="1"/>
  <c r="G2258" i="2"/>
  <c r="F2258" i="2"/>
  <c r="E2258" i="2"/>
  <c r="D2258" i="2"/>
  <c r="T2257" i="2"/>
  <c r="P2257" i="2"/>
  <c r="C2257" i="2" s="1"/>
  <c r="I2257" i="2"/>
  <c r="H2257" i="2"/>
  <c r="G2257" i="2"/>
  <c r="F2257" i="2"/>
  <c r="E2257" i="2"/>
  <c r="T2256" i="2"/>
  <c r="P2256" i="2"/>
  <c r="C2256" i="2" s="1"/>
  <c r="I2256" i="2"/>
  <c r="H2256" i="2"/>
  <c r="G2256" i="2"/>
  <c r="F2256" i="2"/>
  <c r="E2256" i="2"/>
  <c r="T2255" i="2"/>
  <c r="P2255" i="2"/>
  <c r="C2255" i="2" s="1"/>
  <c r="I2255" i="2"/>
  <c r="H2255" i="2"/>
  <c r="G2255" i="2"/>
  <c r="F2255" i="2"/>
  <c r="E2255" i="2"/>
  <c r="T2254" i="2"/>
  <c r="P2254" i="2"/>
  <c r="C2254" i="2" s="1"/>
  <c r="I2254" i="2"/>
  <c r="H2254" i="2"/>
  <c r="G2254" i="2"/>
  <c r="F2254" i="2"/>
  <c r="E2254" i="2"/>
  <c r="T2253" i="2"/>
  <c r="P2253" i="2"/>
  <c r="C2253" i="2" s="1"/>
  <c r="I2253" i="2"/>
  <c r="H2253" i="2"/>
  <c r="G2253" i="2"/>
  <c r="F2253" i="2"/>
  <c r="E2253" i="2"/>
  <c r="D2253" i="2"/>
  <c r="T2252" i="2"/>
  <c r="P2252" i="2"/>
  <c r="L2252" i="2"/>
  <c r="H2252" i="2" s="1"/>
  <c r="D2252" i="2"/>
  <c r="C2252" i="2" s="1"/>
  <c r="T2251" i="2"/>
  <c r="J2251" i="2"/>
  <c r="H2251" i="2"/>
  <c r="P2251" i="2" s="1"/>
  <c r="C2251" i="2" s="1"/>
  <c r="G2251" i="2"/>
  <c r="F2251" i="2"/>
  <c r="E2251" i="2"/>
  <c r="T2250" i="2"/>
  <c r="J2250" i="2"/>
  <c r="H2250" i="2"/>
  <c r="P2250" i="2" s="1"/>
  <c r="C2250" i="2" s="1"/>
  <c r="G2250" i="2"/>
  <c r="F2250" i="2"/>
  <c r="E2250" i="2"/>
  <c r="T2249" i="2"/>
  <c r="H2249" i="2"/>
  <c r="P2249" i="2" s="1"/>
  <c r="C2249" i="2" s="1"/>
  <c r="G2249" i="2"/>
  <c r="F2249" i="2"/>
  <c r="E2249" i="2"/>
  <c r="D2249" i="2"/>
  <c r="J2249" i="2" s="1"/>
  <c r="T2248" i="2"/>
  <c r="J2248" i="2"/>
  <c r="H2248" i="2"/>
  <c r="P2248" i="2" s="1"/>
  <c r="C2248" i="2" s="1"/>
  <c r="G2248" i="2"/>
  <c r="F2248" i="2"/>
  <c r="E2248" i="2"/>
  <c r="T2247" i="2"/>
  <c r="J2247" i="2"/>
  <c r="H2247" i="2"/>
  <c r="P2247" i="2" s="1"/>
  <c r="C2247" i="2" s="1"/>
  <c r="G2247" i="2"/>
  <c r="F2247" i="2"/>
  <c r="E2247" i="2"/>
  <c r="T2246" i="2"/>
  <c r="J2246" i="2"/>
  <c r="H2246" i="2"/>
  <c r="P2246" i="2" s="1"/>
  <c r="C2246" i="2" s="1"/>
  <c r="G2246" i="2"/>
  <c r="F2246" i="2"/>
  <c r="E2246" i="2"/>
  <c r="T2245" i="2"/>
  <c r="J2245" i="2"/>
  <c r="H2245" i="2"/>
  <c r="P2245" i="2" s="1"/>
  <c r="C2245" i="2" s="1"/>
  <c r="G2245" i="2"/>
  <c r="F2245" i="2"/>
  <c r="E2245" i="2"/>
  <c r="D2245" i="2"/>
  <c r="T2244" i="2"/>
  <c r="P2244" i="2"/>
  <c r="C2244" i="2" s="1"/>
  <c r="J2244" i="2"/>
  <c r="G2244" i="2"/>
  <c r="F2244" i="2"/>
  <c r="E2244" i="2"/>
  <c r="D2244" i="2"/>
  <c r="H2244" i="2" s="1"/>
  <c r="T2243" i="2"/>
  <c r="H2243" i="2"/>
  <c r="P2243" i="2" s="1"/>
  <c r="C2243" i="2" s="1"/>
  <c r="G2243" i="2"/>
  <c r="F2243" i="2"/>
  <c r="E2243" i="2"/>
  <c r="D2243" i="2"/>
  <c r="J2243" i="2" s="1"/>
  <c r="T2242" i="2"/>
  <c r="H2242" i="2"/>
  <c r="P2242" i="2" s="1"/>
  <c r="C2242" i="2" s="1"/>
  <c r="G2242" i="2"/>
  <c r="F2242" i="2"/>
  <c r="E2242" i="2"/>
  <c r="D2242" i="2"/>
  <c r="J2242" i="2" s="1"/>
  <c r="T2241" i="2"/>
  <c r="L2241" i="2"/>
  <c r="H2241" i="2" s="1"/>
  <c r="P2241" i="2" s="1"/>
  <c r="D2241" i="2"/>
  <c r="T2240" i="2"/>
  <c r="P2240" i="2"/>
  <c r="J2240" i="2"/>
  <c r="H2240" i="2"/>
  <c r="G2240" i="2"/>
  <c r="F2240" i="2"/>
  <c r="E2240" i="2"/>
  <c r="C2240" i="2"/>
  <c r="T2239" i="2"/>
  <c r="P2239" i="2"/>
  <c r="J2239" i="2"/>
  <c r="H2239" i="2"/>
  <c r="G2239" i="2"/>
  <c r="F2239" i="2"/>
  <c r="E2239" i="2"/>
  <c r="C2239" i="2"/>
  <c r="T2238" i="2"/>
  <c r="P2238" i="2"/>
  <c r="J2238" i="2"/>
  <c r="H2238" i="2"/>
  <c r="G2238" i="2"/>
  <c r="F2238" i="2"/>
  <c r="E2238" i="2"/>
  <c r="C2238" i="2"/>
  <c r="T2237" i="2"/>
  <c r="P2237" i="2"/>
  <c r="J2237" i="2"/>
  <c r="H2237" i="2"/>
  <c r="G2237" i="2"/>
  <c r="F2237" i="2"/>
  <c r="E2237" i="2"/>
  <c r="C2237" i="2"/>
  <c r="T2236" i="2"/>
  <c r="P2236" i="2"/>
  <c r="J2236" i="2"/>
  <c r="H2236" i="2"/>
  <c r="G2236" i="2"/>
  <c r="F2236" i="2"/>
  <c r="E2236" i="2"/>
  <c r="C2236" i="2"/>
  <c r="T2235" i="2"/>
  <c r="P2235" i="2"/>
  <c r="J2235" i="2"/>
  <c r="H2235" i="2"/>
  <c r="G2235" i="2"/>
  <c r="F2235" i="2"/>
  <c r="E2235" i="2"/>
  <c r="C2235" i="2"/>
  <c r="T2234" i="2"/>
  <c r="P2234" i="2"/>
  <c r="J2234" i="2"/>
  <c r="H2234" i="2"/>
  <c r="G2234" i="2"/>
  <c r="F2234" i="2"/>
  <c r="E2234" i="2"/>
  <c r="C2234" i="2"/>
  <c r="T2233" i="2"/>
  <c r="P2233" i="2"/>
  <c r="L2233" i="2"/>
  <c r="H2233" i="2" s="1"/>
  <c r="C2233" i="2"/>
  <c r="T2232" i="2"/>
  <c r="P2232" i="2"/>
  <c r="C2232" i="2" s="1"/>
  <c r="H2232" i="2"/>
  <c r="G2232" i="2"/>
  <c r="F2232" i="2"/>
  <c r="E2232" i="2"/>
  <c r="T2231" i="2"/>
  <c r="G2231" i="2"/>
  <c r="F2231" i="2"/>
  <c r="E2231" i="2"/>
  <c r="T2230" i="2"/>
  <c r="G2230" i="2"/>
  <c r="F2230" i="2"/>
  <c r="E2230" i="2"/>
  <c r="T2229" i="2"/>
  <c r="G2229" i="2"/>
  <c r="F2229" i="2"/>
  <c r="E2229" i="2"/>
  <c r="T2228" i="2"/>
  <c r="G2228" i="2"/>
  <c r="F2228" i="2"/>
  <c r="E2228" i="2"/>
  <c r="T2227" i="2"/>
  <c r="G2227" i="2"/>
  <c r="F2227" i="2"/>
  <c r="E2227" i="2"/>
  <c r="T2226" i="2"/>
  <c r="G2226" i="2"/>
  <c r="F2226" i="2"/>
  <c r="E2226" i="2"/>
  <c r="T2225" i="2"/>
  <c r="H2225" i="2"/>
  <c r="P2225" i="2" s="1"/>
  <c r="C2225" i="2" s="1"/>
  <c r="G2225" i="2"/>
  <c r="F2225" i="2"/>
  <c r="E2225" i="2"/>
  <c r="D2225" i="2"/>
  <c r="T2224" i="2"/>
  <c r="G2224" i="2"/>
  <c r="F2224" i="2"/>
  <c r="E2224" i="2"/>
  <c r="T2223" i="2"/>
  <c r="P2223" i="2"/>
  <c r="C2223" i="2" s="1"/>
  <c r="H2223" i="2"/>
  <c r="G2223" i="2"/>
  <c r="F2223" i="2"/>
  <c r="E2223" i="2"/>
  <c r="D2223" i="2"/>
  <c r="T2222" i="2"/>
  <c r="P2222" i="2"/>
  <c r="C2222" i="2" s="1"/>
  <c r="H2222" i="2"/>
  <c r="G2222" i="2"/>
  <c r="F2222" i="2"/>
  <c r="E2222" i="2"/>
  <c r="T2221" i="2"/>
  <c r="H2221" i="2"/>
  <c r="P2221" i="2" s="1"/>
  <c r="C2221" i="2" s="1"/>
  <c r="G2221" i="2"/>
  <c r="F2221" i="2"/>
  <c r="E2221" i="2"/>
  <c r="T2220" i="2"/>
  <c r="H2220" i="2"/>
  <c r="P2220" i="2" s="1"/>
  <c r="G2220" i="2"/>
  <c r="F2220" i="2"/>
  <c r="E2220" i="2"/>
  <c r="C2220" i="2"/>
  <c r="T2219" i="2"/>
  <c r="G2219" i="2"/>
  <c r="F2219" i="2"/>
  <c r="E2219" i="2"/>
  <c r="D2219" i="2"/>
  <c r="H2219" i="2" s="1"/>
  <c r="P2219" i="2" s="1"/>
  <c r="C2219" i="2" s="1"/>
  <c r="T2218" i="2"/>
  <c r="G2218" i="2"/>
  <c r="F2218" i="2"/>
  <c r="E2218" i="2"/>
  <c r="D2218" i="2"/>
  <c r="H2218" i="2" s="1"/>
  <c r="P2218" i="2" s="1"/>
  <c r="C2218" i="2"/>
  <c r="T2217" i="2"/>
  <c r="H2217" i="2"/>
  <c r="P2217" i="2" s="1"/>
  <c r="C2217" i="2" s="1"/>
  <c r="G2217" i="2"/>
  <c r="F2217" i="2"/>
  <c r="D2217" i="2"/>
  <c r="T2216" i="2"/>
  <c r="P2216" i="2"/>
  <c r="C2216" i="2" s="1"/>
  <c r="G2216" i="2"/>
  <c r="F2216" i="2"/>
  <c r="E2216" i="2"/>
  <c r="D2216" i="2"/>
  <c r="H2216" i="2" s="1"/>
  <c r="T2215" i="2"/>
  <c r="P2215" i="2"/>
  <c r="C2215" i="2" s="1"/>
  <c r="G2215" i="2"/>
  <c r="F2215" i="2"/>
  <c r="E2215" i="2"/>
  <c r="D2215" i="2"/>
  <c r="H2215" i="2" s="1"/>
  <c r="T2214" i="2"/>
  <c r="G2214" i="2"/>
  <c r="F2214" i="2"/>
  <c r="E2214" i="2"/>
  <c r="D2214" i="2"/>
  <c r="H2214" i="2" s="1"/>
  <c r="P2214" i="2" s="1"/>
  <c r="C2214" i="2" s="1"/>
  <c r="T2213" i="2"/>
  <c r="G2213" i="2"/>
  <c r="F2213" i="2"/>
  <c r="E2213" i="2"/>
  <c r="D2213" i="2"/>
  <c r="H2213" i="2" s="1"/>
  <c r="P2213" i="2" s="1"/>
  <c r="C2213" i="2" s="1"/>
  <c r="T2212" i="2"/>
  <c r="P2212" i="2"/>
  <c r="H2212" i="2"/>
  <c r="G2212" i="2"/>
  <c r="F2212" i="2"/>
  <c r="C2212" i="2"/>
  <c r="T2211" i="2"/>
  <c r="P2211" i="2"/>
  <c r="G2211" i="2"/>
  <c r="F2211" i="2"/>
  <c r="E2211" i="2"/>
  <c r="D2211" i="2"/>
  <c r="H2211" i="2" s="1"/>
  <c r="C2211" i="2"/>
  <c r="T2210" i="2"/>
  <c r="P2210" i="2"/>
  <c r="C2210" i="2" s="1"/>
  <c r="G2210" i="2"/>
  <c r="F2210" i="2"/>
  <c r="E2210" i="2"/>
  <c r="D2210" i="2"/>
  <c r="H2210" i="2" s="1"/>
  <c r="T2209" i="2"/>
  <c r="P2209" i="2"/>
  <c r="C2209" i="2" s="1"/>
  <c r="H2209" i="2"/>
  <c r="G2209" i="2"/>
  <c r="F2209" i="2"/>
  <c r="E2209" i="2"/>
  <c r="T2208" i="2"/>
  <c r="G2208" i="2"/>
  <c r="F2208" i="2"/>
  <c r="E2208" i="2"/>
  <c r="T2207" i="2"/>
  <c r="H2207" i="2"/>
  <c r="P2207" i="2" s="1"/>
  <c r="C2207" i="2" s="1"/>
  <c r="G2207" i="2"/>
  <c r="F2207" i="2"/>
  <c r="E2207" i="2"/>
  <c r="D2207" i="2"/>
  <c r="D2232" i="2" s="1"/>
  <c r="T2206" i="2"/>
  <c r="G2206" i="2"/>
  <c r="F2206" i="2"/>
  <c r="E2206" i="2"/>
  <c r="T2205" i="2"/>
  <c r="G2205" i="2"/>
  <c r="F2205" i="2"/>
  <c r="T2204" i="2"/>
  <c r="G2204" i="2"/>
  <c r="F2204" i="2"/>
  <c r="E2204" i="2"/>
  <c r="T2203" i="2"/>
  <c r="G2203" i="2"/>
  <c r="F2203" i="2"/>
  <c r="D2203" i="2"/>
  <c r="D2204" i="2" s="1"/>
  <c r="H2204" i="2" s="1"/>
  <c r="P2204" i="2" s="1"/>
  <c r="C2204" i="2" s="1"/>
  <c r="T2202" i="2"/>
  <c r="G2202" i="2"/>
  <c r="F2202" i="2"/>
  <c r="D2202" i="2"/>
  <c r="H2202" i="2" s="1"/>
  <c r="P2202" i="2" s="1"/>
  <c r="C2202" i="2" s="1"/>
  <c r="T2201" i="2"/>
  <c r="G2201" i="2"/>
  <c r="F2201" i="2"/>
  <c r="E2201" i="2"/>
  <c r="D2201" i="2"/>
  <c r="T2200" i="2"/>
  <c r="G2200" i="2"/>
  <c r="F2200" i="2"/>
  <c r="E2200" i="2"/>
  <c r="D2200" i="2"/>
  <c r="H2200" i="2" s="1"/>
  <c r="P2200" i="2" s="1"/>
  <c r="C2200" i="2" s="1"/>
  <c r="T2199" i="2"/>
  <c r="G2199" i="2"/>
  <c r="F2199" i="2"/>
  <c r="E2199" i="2"/>
  <c r="D2199" i="2"/>
  <c r="H2199" i="2" s="1"/>
  <c r="P2199" i="2" s="1"/>
  <c r="C2199" i="2" s="1"/>
  <c r="T2198" i="2"/>
  <c r="G2198" i="2"/>
  <c r="F2198" i="2"/>
  <c r="D2198" i="2"/>
  <c r="T2197" i="2"/>
  <c r="H2197" i="2"/>
  <c r="P2197" i="2" s="1"/>
  <c r="C2197" i="2" s="1"/>
  <c r="G2197" i="2"/>
  <c r="F2197" i="2"/>
  <c r="E2197" i="2"/>
  <c r="T2196" i="2"/>
  <c r="G2196" i="2"/>
  <c r="F2196" i="2"/>
  <c r="D2196" i="2"/>
  <c r="T2195" i="2"/>
  <c r="H2195" i="2"/>
  <c r="P2195" i="2" s="1"/>
  <c r="C2195" i="2" s="1"/>
  <c r="G2195" i="2"/>
  <c r="F2195" i="2"/>
  <c r="D2195" i="2"/>
  <c r="T2194" i="2"/>
  <c r="G2194" i="2"/>
  <c r="F2194" i="2"/>
  <c r="D2194" i="2"/>
  <c r="T2193" i="2"/>
  <c r="P2193" i="2"/>
  <c r="H2193" i="2"/>
  <c r="G2193" i="2"/>
  <c r="F2193" i="2"/>
  <c r="D2193" i="2"/>
  <c r="D2205" i="2" s="1"/>
  <c r="H2205" i="2" s="1"/>
  <c r="P2205" i="2" s="1"/>
  <c r="C2205" i="2" s="1"/>
  <c r="C2193" i="2"/>
  <c r="T2192" i="2"/>
  <c r="G2192" i="2"/>
  <c r="F2192" i="2"/>
  <c r="D2192" i="2"/>
  <c r="T2191" i="2"/>
  <c r="G2191" i="2"/>
  <c r="F2191" i="2"/>
  <c r="T2190" i="2"/>
  <c r="H2190" i="2"/>
  <c r="P2190" i="2" s="1"/>
  <c r="C2190" i="2" s="1"/>
  <c r="G2190" i="2"/>
  <c r="F2190" i="2"/>
  <c r="D2190" i="2"/>
  <c r="T2189" i="2"/>
  <c r="H2189" i="2"/>
  <c r="P2189" i="2" s="1"/>
  <c r="C2189" i="2" s="1"/>
  <c r="G2189" i="2"/>
  <c r="F2189" i="2"/>
  <c r="E2189" i="2"/>
  <c r="D2189" i="2" s="1"/>
  <c r="T2188" i="2"/>
  <c r="G2188" i="2"/>
  <c r="F2188" i="2"/>
  <c r="E2188" i="2"/>
  <c r="D2188" i="2"/>
  <c r="T2187" i="2"/>
  <c r="G2187" i="2"/>
  <c r="F2187" i="2"/>
  <c r="E2187" i="2"/>
  <c r="D2187" i="2"/>
  <c r="H2187" i="2" s="1"/>
  <c r="P2187" i="2" s="1"/>
  <c r="C2187" i="2" s="1"/>
  <c r="T2186" i="2"/>
  <c r="G2186" i="2"/>
  <c r="F2186" i="2"/>
  <c r="E2186" i="2"/>
  <c r="D2186" i="2"/>
  <c r="H2186" i="2" s="1"/>
  <c r="P2186" i="2" s="1"/>
  <c r="C2186" i="2"/>
  <c r="T2185" i="2"/>
  <c r="L2185" i="2"/>
  <c r="H2185" i="2" s="1"/>
  <c r="P2185" i="2" s="1"/>
  <c r="C2185" i="2" s="1"/>
  <c r="T2184" i="2"/>
  <c r="P2184" i="2"/>
  <c r="C2184" i="2" s="1"/>
  <c r="G2184" i="2"/>
  <c r="F2184" i="2"/>
  <c r="E2184" i="2"/>
  <c r="T2183" i="2"/>
  <c r="P2183" i="2"/>
  <c r="G2183" i="2"/>
  <c r="F2183" i="2"/>
  <c r="E2183" i="2"/>
  <c r="C2183" i="2"/>
  <c r="T2182" i="2"/>
  <c r="P2182" i="2"/>
  <c r="C2182" i="2" s="1"/>
  <c r="G2182" i="2"/>
  <c r="F2182" i="2"/>
  <c r="E2182" i="2"/>
  <c r="D2182" i="2"/>
  <c r="D2181" i="2" s="1"/>
  <c r="T2181" i="2"/>
  <c r="P2181" i="2"/>
  <c r="G2181" i="2"/>
  <c r="F2181" i="2"/>
  <c r="E2181" i="2"/>
  <c r="C2181" i="2"/>
  <c r="T2180" i="2"/>
  <c r="P2180" i="2"/>
  <c r="C2180" i="2" s="1"/>
  <c r="G2180" i="2"/>
  <c r="F2180" i="2"/>
  <c r="E2180" i="2"/>
  <c r="T2179" i="2"/>
  <c r="P2179" i="2"/>
  <c r="G2179" i="2"/>
  <c r="F2179" i="2"/>
  <c r="E2179" i="2"/>
  <c r="D2179" i="2"/>
  <c r="C2179" i="2"/>
  <c r="T2178" i="2"/>
  <c r="P2178" i="2"/>
  <c r="C2178" i="2" s="1"/>
  <c r="G2178" i="2"/>
  <c r="F2178" i="2"/>
  <c r="E2178" i="2"/>
  <c r="D2178" i="2"/>
  <c r="T2177" i="2"/>
  <c r="P2177" i="2"/>
  <c r="G2177" i="2"/>
  <c r="F2177" i="2"/>
  <c r="E2177" i="2"/>
  <c r="D2177" i="2"/>
  <c r="C2177" i="2"/>
  <c r="T2176" i="2"/>
  <c r="P2176" i="2"/>
  <c r="G2176" i="2"/>
  <c r="F2176" i="2"/>
  <c r="E2176" i="2"/>
  <c r="D2176" i="2"/>
  <c r="C2176" i="2"/>
  <c r="T2175" i="2"/>
  <c r="P2175" i="2"/>
  <c r="G2175" i="2"/>
  <c r="F2175" i="2"/>
  <c r="E2175" i="2"/>
  <c r="C2175" i="2"/>
  <c r="T2174" i="2"/>
  <c r="P2174" i="2"/>
  <c r="C2174" i="2" s="1"/>
  <c r="G2174" i="2"/>
  <c r="F2174" i="2"/>
  <c r="E2174" i="2"/>
  <c r="D2174" i="2"/>
  <c r="T2173" i="2"/>
  <c r="P2173" i="2"/>
  <c r="C2173" i="2" s="1"/>
  <c r="G2173" i="2"/>
  <c r="F2173" i="2"/>
  <c r="E2173" i="2"/>
  <c r="T2172" i="2"/>
  <c r="P2172" i="2"/>
  <c r="G2172" i="2"/>
  <c r="F2172" i="2"/>
  <c r="E2172" i="2"/>
  <c r="C2172" i="2"/>
  <c r="T2171" i="2"/>
  <c r="G2171" i="2"/>
  <c r="F2171" i="2"/>
  <c r="T2170" i="2"/>
  <c r="H2170" i="2"/>
  <c r="P2170" i="2" s="1"/>
  <c r="G2170" i="2"/>
  <c r="F2170" i="2"/>
  <c r="C2170" i="2"/>
  <c r="T2169" i="2"/>
  <c r="G2169" i="2"/>
  <c r="F2169" i="2"/>
  <c r="T2168" i="2"/>
  <c r="P2168" i="2"/>
  <c r="C2168" i="2" s="1"/>
  <c r="H2168" i="2"/>
  <c r="M2168" i="2" s="1"/>
  <c r="G2168" i="2"/>
  <c r="F2168" i="2"/>
  <c r="T2167" i="2"/>
  <c r="G2167" i="2"/>
  <c r="F2167" i="2"/>
  <c r="D2167" i="2"/>
  <c r="H2167" i="2" s="1"/>
  <c r="T2166" i="2"/>
  <c r="P2166" i="2"/>
  <c r="M2166" i="2"/>
  <c r="G2166" i="2"/>
  <c r="F2166" i="2"/>
  <c r="D2166" i="2"/>
  <c r="H2166" i="2" s="1"/>
  <c r="C2166" i="2"/>
  <c r="T2165" i="2"/>
  <c r="M2165" i="2"/>
  <c r="G2165" i="2"/>
  <c r="F2165" i="2"/>
  <c r="D2165" i="2"/>
  <c r="H2165" i="2" s="1"/>
  <c r="P2165" i="2" s="1"/>
  <c r="C2165" i="2" s="1"/>
  <c r="T2164" i="2"/>
  <c r="H2164" i="2"/>
  <c r="G2164" i="2"/>
  <c r="F2164" i="2"/>
  <c r="D2164" i="2"/>
  <c r="T2163" i="2"/>
  <c r="G2163" i="2"/>
  <c r="F2163" i="2"/>
  <c r="D2163" i="2"/>
  <c r="H2163" i="2" s="1"/>
  <c r="T2162" i="2"/>
  <c r="H2162" i="2"/>
  <c r="G2162" i="2"/>
  <c r="F2162" i="2"/>
  <c r="D2162" i="2"/>
  <c r="T2161" i="2"/>
  <c r="H2161" i="2"/>
  <c r="G2161" i="2"/>
  <c r="F2161" i="2"/>
  <c r="D2161" i="2"/>
  <c r="T2160" i="2"/>
  <c r="H2160" i="2"/>
  <c r="G2160" i="2"/>
  <c r="F2160" i="2"/>
  <c r="D2160" i="2"/>
  <c r="T2159" i="2"/>
  <c r="G2159" i="2"/>
  <c r="F2159" i="2"/>
  <c r="D2159" i="2"/>
  <c r="T2158" i="2"/>
  <c r="H2158" i="2"/>
  <c r="G2158" i="2"/>
  <c r="F2158" i="2"/>
  <c r="D2158" i="2"/>
  <c r="T2157" i="2"/>
  <c r="H2157" i="2"/>
  <c r="G2157" i="2"/>
  <c r="F2157" i="2"/>
  <c r="D2157" i="2"/>
  <c r="T2156" i="2"/>
  <c r="G2156" i="2"/>
  <c r="F2156" i="2"/>
  <c r="E2156" i="2"/>
  <c r="D2156" i="2"/>
  <c r="H2156" i="2" s="1"/>
  <c r="T2155" i="2"/>
  <c r="H2155" i="2"/>
  <c r="G2155" i="2"/>
  <c r="F2155" i="2"/>
  <c r="D2155" i="2"/>
  <c r="T2154" i="2"/>
  <c r="G2154" i="2"/>
  <c r="F2154" i="2"/>
  <c r="E2154" i="2"/>
  <c r="T2153" i="2"/>
  <c r="G2153" i="2"/>
  <c r="F2153" i="2"/>
  <c r="E2153" i="2"/>
  <c r="T2152" i="2"/>
  <c r="P2152" i="2"/>
  <c r="L2152" i="2"/>
  <c r="H2152" i="2" s="1"/>
  <c r="T2151" i="2"/>
  <c r="P2151" i="2"/>
  <c r="C2151" i="2"/>
  <c r="T2150" i="2"/>
  <c r="P2150" i="2"/>
  <c r="C2150" i="2" s="1"/>
  <c r="T2149" i="2"/>
  <c r="P2149" i="2"/>
  <c r="C2149" i="2" s="1"/>
  <c r="T2148" i="2"/>
  <c r="P2148" i="2"/>
  <c r="C2148" i="2" s="1"/>
  <c r="G2148" i="2"/>
  <c r="F2148" i="2"/>
  <c r="E2148" i="2"/>
  <c r="D2148" i="2"/>
  <c r="T2147" i="2"/>
  <c r="P2147" i="2"/>
  <c r="G2147" i="2"/>
  <c r="F2147" i="2"/>
  <c r="E2147" i="2"/>
  <c r="D2147" i="2"/>
  <c r="C2147" i="2"/>
  <c r="T2146" i="2"/>
  <c r="P2146" i="2"/>
  <c r="G2146" i="2"/>
  <c r="F2146" i="2"/>
  <c r="E2146" i="2"/>
  <c r="D2146" i="2"/>
  <c r="C2146" i="2"/>
  <c r="T2145" i="2"/>
  <c r="P2145" i="2"/>
  <c r="G2145" i="2"/>
  <c r="F2145" i="2"/>
  <c r="E2145" i="2"/>
  <c r="C2145" i="2"/>
  <c r="T2144" i="2"/>
  <c r="P2144" i="2"/>
  <c r="G2144" i="2"/>
  <c r="F2144" i="2"/>
  <c r="E2144" i="2"/>
  <c r="D2144" i="2"/>
  <c r="C2144" i="2"/>
  <c r="T2143" i="2"/>
  <c r="P2143" i="2"/>
  <c r="G2143" i="2"/>
  <c r="F2143" i="2"/>
  <c r="E2143" i="2"/>
  <c r="C2143" i="2"/>
  <c r="T2142" i="2"/>
  <c r="P2142" i="2"/>
  <c r="C2142" i="2" s="1"/>
  <c r="G2142" i="2"/>
  <c r="F2142" i="2"/>
  <c r="E2142" i="2"/>
  <c r="T2141" i="2"/>
  <c r="P2141" i="2"/>
  <c r="G2141" i="2"/>
  <c r="E2141" i="2"/>
  <c r="C2141" i="2"/>
  <c r="T2140" i="2"/>
  <c r="P2140" i="2"/>
  <c r="G2140" i="2"/>
  <c r="F2140" i="2"/>
  <c r="E2140" i="2"/>
  <c r="C2140" i="2"/>
  <c r="T2139" i="2"/>
  <c r="G2139" i="2"/>
  <c r="F2139" i="2"/>
  <c r="E2139" i="2"/>
  <c r="T2138" i="2"/>
  <c r="G2138" i="2"/>
  <c r="F2138" i="2"/>
  <c r="E2138" i="2"/>
  <c r="T2137" i="2"/>
  <c r="P2137" i="2"/>
  <c r="G2137" i="2"/>
  <c r="F2137" i="2"/>
  <c r="E2137" i="2"/>
  <c r="C2137" i="2"/>
  <c r="T2136" i="2"/>
  <c r="P2136" i="2"/>
  <c r="C2136" i="2" s="1"/>
  <c r="G2136" i="2"/>
  <c r="F2136" i="2"/>
  <c r="E2136" i="2"/>
  <c r="T2135" i="2"/>
  <c r="P2135" i="2"/>
  <c r="C2135" i="2" s="1"/>
  <c r="G2135" i="2"/>
  <c r="F2135" i="2"/>
  <c r="E2135" i="2"/>
  <c r="T2134" i="2"/>
  <c r="P2134" i="2"/>
  <c r="C2134" i="2" s="1"/>
  <c r="G2134" i="2"/>
  <c r="F2134" i="2"/>
  <c r="E2134" i="2"/>
  <c r="D2134" i="2"/>
  <c r="T2133" i="2"/>
  <c r="P2133" i="2"/>
  <c r="C2133" i="2" s="1"/>
  <c r="G2133" i="2"/>
  <c r="F2133" i="2"/>
  <c r="E2133" i="2"/>
  <c r="T2132" i="2"/>
  <c r="P2132" i="2"/>
  <c r="G2132" i="2"/>
  <c r="F2132" i="2"/>
  <c r="E2132" i="2"/>
  <c r="D2132" i="2"/>
  <c r="C2132" i="2"/>
  <c r="T2131" i="2"/>
  <c r="N2131" i="2"/>
  <c r="H2131" i="2"/>
  <c r="P2131" i="2" s="1"/>
  <c r="C2131" i="2" s="1"/>
  <c r="G2131" i="2"/>
  <c r="F2131" i="2"/>
  <c r="T2130" i="2"/>
  <c r="P2130" i="2"/>
  <c r="H2130" i="2"/>
  <c r="G2130" i="2"/>
  <c r="F2130" i="2"/>
  <c r="C2130" i="2"/>
  <c r="T2129" i="2"/>
  <c r="G2129" i="2"/>
  <c r="F2129" i="2"/>
  <c r="T2128" i="2"/>
  <c r="P2128" i="2"/>
  <c r="N2128" i="2"/>
  <c r="H2128" i="2"/>
  <c r="G2128" i="2"/>
  <c r="F2128" i="2"/>
  <c r="C2128" i="2"/>
  <c r="T2127" i="2"/>
  <c r="G2127" i="2"/>
  <c r="F2127" i="2"/>
  <c r="T2126" i="2"/>
  <c r="G2126" i="2"/>
  <c r="F2126" i="2"/>
  <c r="T2125" i="2"/>
  <c r="P2125" i="2"/>
  <c r="C2125" i="2" s="1"/>
  <c r="N2125" i="2"/>
  <c r="H2125" i="2"/>
  <c r="G2125" i="2"/>
  <c r="F2125" i="2"/>
  <c r="D2125" i="2"/>
  <c r="T2124" i="2"/>
  <c r="P2124" i="2"/>
  <c r="C2124" i="2" s="1"/>
  <c r="N2124" i="2"/>
  <c r="H2124" i="2"/>
  <c r="G2124" i="2"/>
  <c r="F2124" i="2"/>
  <c r="D2124" i="2"/>
  <c r="T2123" i="2"/>
  <c r="P2123" i="2"/>
  <c r="C2123" i="2" s="1"/>
  <c r="N2123" i="2"/>
  <c r="H2123" i="2"/>
  <c r="G2123" i="2"/>
  <c r="F2123" i="2"/>
  <c r="D2123" i="2"/>
  <c r="T2122" i="2"/>
  <c r="N2122" i="2"/>
  <c r="H2122" i="2"/>
  <c r="P2122" i="2" s="1"/>
  <c r="C2122" i="2" s="1"/>
  <c r="G2122" i="2"/>
  <c r="F2122" i="2"/>
  <c r="D2122" i="2"/>
  <c r="T2121" i="2"/>
  <c r="N2121" i="2"/>
  <c r="H2121" i="2"/>
  <c r="P2121" i="2" s="1"/>
  <c r="C2121" i="2" s="1"/>
  <c r="G2121" i="2"/>
  <c r="F2121" i="2"/>
  <c r="D2121" i="2"/>
  <c r="T2120" i="2"/>
  <c r="P2120" i="2"/>
  <c r="C2120" i="2" s="1"/>
  <c r="N2120" i="2"/>
  <c r="H2120" i="2"/>
  <c r="G2120" i="2"/>
  <c r="F2120" i="2"/>
  <c r="D2120" i="2"/>
  <c r="T2119" i="2"/>
  <c r="P2119" i="2"/>
  <c r="C2119" i="2" s="1"/>
  <c r="N2119" i="2"/>
  <c r="H2119" i="2"/>
  <c r="G2119" i="2"/>
  <c r="F2119" i="2"/>
  <c r="D2119" i="2"/>
  <c r="T2118" i="2"/>
  <c r="N2118" i="2"/>
  <c r="H2118" i="2"/>
  <c r="P2118" i="2" s="1"/>
  <c r="C2118" i="2" s="1"/>
  <c r="G2118" i="2"/>
  <c r="F2118" i="2"/>
  <c r="D2118" i="2"/>
  <c r="T2117" i="2"/>
  <c r="P2117" i="2"/>
  <c r="C2117" i="2" s="1"/>
  <c r="N2117" i="2"/>
  <c r="H2117" i="2"/>
  <c r="G2117" i="2"/>
  <c r="F2117" i="2"/>
  <c r="T2116" i="2"/>
  <c r="N2116" i="2"/>
  <c r="H2116" i="2"/>
  <c r="P2116" i="2" s="1"/>
  <c r="C2116" i="2" s="1"/>
  <c r="G2116" i="2"/>
  <c r="F2116" i="2"/>
  <c r="E2116" i="2"/>
  <c r="T2115" i="2"/>
  <c r="P2115" i="2"/>
  <c r="C2115" i="2" s="1"/>
  <c r="N2115" i="2"/>
  <c r="H2115" i="2"/>
  <c r="G2115" i="2"/>
  <c r="F2115" i="2"/>
  <c r="E2115" i="2"/>
  <c r="T2114" i="2"/>
  <c r="P2114" i="2"/>
  <c r="C2114" i="2" s="1"/>
  <c r="N2114" i="2"/>
  <c r="H2114" i="2"/>
  <c r="G2114" i="2"/>
  <c r="F2114" i="2"/>
  <c r="E2114" i="2"/>
  <c r="T2113" i="2"/>
  <c r="P2113" i="2"/>
  <c r="C2113" i="2" s="1"/>
  <c r="N2113" i="2"/>
  <c r="H2113" i="2"/>
  <c r="G2113" i="2"/>
  <c r="F2113" i="2"/>
  <c r="E2113" i="2"/>
  <c r="T2112" i="2"/>
  <c r="N2112" i="2"/>
  <c r="H2112" i="2"/>
  <c r="P2112" i="2" s="1"/>
  <c r="C2112" i="2" s="1"/>
  <c r="G2112" i="2"/>
  <c r="F2112" i="2"/>
  <c r="T2111" i="2"/>
  <c r="P2111" i="2"/>
  <c r="C2111" i="2" s="1"/>
  <c r="N2111" i="2"/>
  <c r="H2111" i="2"/>
  <c r="G2111" i="2"/>
  <c r="F2111" i="2"/>
  <c r="T2110" i="2"/>
  <c r="N2110" i="2"/>
  <c r="H2110" i="2"/>
  <c r="P2110" i="2" s="1"/>
  <c r="C2110" i="2" s="1"/>
  <c r="G2110" i="2"/>
  <c r="F2110" i="2"/>
  <c r="E2110" i="2"/>
  <c r="T2109" i="2"/>
  <c r="N2109" i="2"/>
  <c r="H2109" i="2"/>
  <c r="P2109" i="2" s="1"/>
  <c r="G2109" i="2"/>
  <c r="F2109" i="2"/>
  <c r="E2109" i="2"/>
  <c r="C2109" i="2"/>
  <c r="T2108" i="2"/>
  <c r="N2108" i="2"/>
  <c r="H2108" i="2"/>
  <c r="P2108" i="2" s="1"/>
  <c r="G2108" i="2"/>
  <c r="F2108" i="2"/>
  <c r="E2108" i="2"/>
  <c r="C2108" i="2"/>
  <c r="T2107" i="2"/>
  <c r="N2107" i="2"/>
  <c r="G2107" i="2"/>
  <c r="F2107" i="2"/>
  <c r="D2107" i="2"/>
  <c r="T2106" i="2"/>
  <c r="N2106" i="2"/>
  <c r="H2106" i="2"/>
  <c r="P2106" i="2" s="1"/>
  <c r="C2106" i="2" s="1"/>
  <c r="G2106" i="2"/>
  <c r="F2106" i="2"/>
  <c r="D2106" i="2"/>
  <c r="T2105" i="2"/>
  <c r="N2105" i="2"/>
  <c r="H2105" i="2"/>
  <c r="P2105" i="2" s="1"/>
  <c r="C2105" i="2" s="1"/>
  <c r="G2105" i="2"/>
  <c r="F2105" i="2"/>
  <c r="D2105" i="2"/>
  <c r="D2143" i="2" s="1"/>
  <c r="T2104" i="2"/>
  <c r="N2104" i="2"/>
  <c r="H2104" i="2"/>
  <c r="P2104" i="2" s="1"/>
  <c r="C2104" i="2" s="1"/>
  <c r="G2104" i="2"/>
  <c r="F2104" i="2"/>
  <c r="T2103" i="2"/>
  <c r="G2103" i="2"/>
  <c r="F2103" i="2"/>
  <c r="D2103" i="2"/>
  <c r="T2102" i="2"/>
  <c r="P2102" i="2"/>
  <c r="H2102" i="2"/>
  <c r="G2102" i="2"/>
  <c r="F2102" i="2"/>
  <c r="C2102" i="2"/>
  <c r="T2101" i="2"/>
  <c r="H2101" i="2"/>
  <c r="P2101" i="2" s="1"/>
  <c r="C2101" i="2" s="1"/>
  <c r="G2101" i="2"/>
  <c r="F2101" i="2"/>
  <c r="T2100" i="2"/>
  <c r="P2100" i="2"/>
  <c r="C2100" i="2" s="1"/>
  <c r="H2100" i="2"/>
  <c r="G2100" i="2"/>
  <c r="F2100" i="2"/>
  <c r="T2099" i="2"/>
  <c r="H2099" i="2"/>
  <c r="P2099" i="2" s="1"/>
  <c r="G2099" i="2"/>
  <c r="F2099" i="2"/>
  <c r="C2099" i="2"/>
  <c r="T2098" i="2"/>
  <c r="P2098" i="2"/>
  <c r="H2098" i="2"/>
  <c r="G2098" i="2"/>
  <c r="F2098" i="2"/>
  <c r="C2098" i="2"/>
  <c r="T2097" i="2"/>
  <c r="P2097" i="2"/>
  <c r="C2097" i="2" s="1"/>
  <c r="N2097" i="2"/>
  <c r="G2097" i="2"/>
  <c r="F2097" i="2"/>
  <c r="D2097" i="2"/>
  <c r="H2097" i="2" s="1"/>
  <c r="T2096" i="2"/>
  <c r="P2096" i="2"/>
  <c r="C2096" i="2" s="1"/>
  <c r="N2096" i="2"/>
  <c r="G2096" i="2"/>
  <c r="F2096" i="2"/>
  <c r="D2096" i="2"/>
  <c r="H2096" i="2" s="1"/>
  <c r="T2095" i="2"/>
  <c r="G2095" i="2"/>
  <c r="F2095" i="2"/>
  <c r="D2095" i="2"/>
  <c r="H2095" i="2" s="1"/>
  <c r="P2095" i="2" s="1"/>
  <c r="C2095" i="2" s="1"/>
  <c r="T2094" i="2"/>
  <c r="N2094" i="2"/>
  <c r="G2094" i="2"/>
  <c r="F2094" i="2"/>
  <c r="D2094" i="2"/>
  <c r="H2094" i="2" s="1"/>
  <c r="P2094" i="2" s="1"/>
  <c r="C2094" i="2"/>
  <c r="T2093" i="2"/>
  <c r="G2093" i="2"/>
  <c r="F2093" i="2"/>
  <c r="D2093" i="2"/>
  <c r="T2092" i="2"/>
  <c r="G2092" i="2"/>
  <c r="F2092" i="2"/>
  <c r="D2092" i="2"/>
  <c r="T2091" i="2"/>
  <c r="G2091" i="2"/>
  <c r="F2091" i="2"/>
  <c r="E2091" i="2"/>
  <c r="D2091" i="2"/>
  <c r="T2090" i="2"/>
  <c r="G2090" i="2"/>
  <c r="F2090" i="2"/>
  <c r="D2090" i="2"/>
  <c r="T2089" i="2"/>
  <c r="H2089" i="2"/>
  <c r="P2089" i="2" s="1"/>
  <c r="C2089" i="2" s="1"/>
  <c r="G2089" i="2"/>
  <c r="F2089" i="2"/>
  <c r="D2089" i="2"/>
  <c r="N2089" i="2" s="1"/>
  <c r="T2088" i="2"/>
  <c r="P2088" i="2"/>
  <c r="C2088" i="2" s="1"/>
  <c r="H2088" i="2"/>
  <c r="G2088" i="2"/>
  <c r="F2088" i="2"/>
  <c r="D2088" i="2"/>
  <c r="N2088" i="2" s="1"/>
  <c r="T2087" i="2"/>
  <c r="H2087" i="2"/>
  <c r="P2087" i="2" s="1"/>
  <c r="C2087" i="2" s="1"/>
  <c r="G2087" i="2"/>
  <c r="F2087" i="2"/>
  <c r="D2087" i="2"/>
  <c r="N2087" i="2" s="1"/>
  <c r="T2086" i="2"/>
  <c r="P2086" i="2"/>
  <c r="C2086" i="2" s="1"/>
  <c r="H2086" i="2"/>
  <c r="G2086" i="2"/>
  <c r="F2086" i="2"/>
  <c r="E2086" i="2"/>
  <c r="D2086" i="2"/>
  <c r="N2086" i="2" s="1"/>
  <c r="T2085" i="2"/>
  <c r="G2085" i="2"/>
  <c r="F2085" i="2"/>
  <c r="D2085" i="2"/>
  <c r="N2085" i="2" s="1"/>
  <c r="T2084" i="2"/>
  <c r="H2084" i="2"/>
  <c r="P2084" i="2" s="1"/>
  <c r="G2084" i="2"/>
  <c r="F2084" i="2"/>
  <c r="D2084" i="2"/>
  <c r="N2084" i="2" s="1"/>
  <c r="C2084" i="2"/>
  <c r="T2083" i="2"/>
  <c r="G2083" i="2"/>
  <c r="E2083" i="2"/>
  <c r="D2083" i="2"/>
  <c r="T2082" i="2"/>
  <c r="N2082" i="2"/>
  <c r="H2082" i="2"/>
  <c r="P2082" i="2" s="1"/>
  <c r="G2082" i="2"/>
  <c r="F2082" i="2"/>
  <c r="C2082" i="2"/>
  <c r="T2081" i="2"/>
  <c r="D2081" i="2" s="1"/>
  <c r="N2081" i="2" s="1"/>
  <c r="H2081" i="2"/>
  <c r="P2081" i="2" s="1"/>
  <c r="G2081" i="2"/>
  <c r="F2081" i="2"/>
  <c r="C2081" i="2"/>
  <c r="T2080" i="2"/>
  <c r="P2080" i="2"/>
  <c r="C2080" i="2" s="1"/>
  <c r="H2080" i="2"/>
  <c r="G2080" i="2"/>
  <c r="F2080" i="2"/>
  <c r="T2079" i="2"/>
  <c r="P2079" i="2"/>
  <c r="H2079" i="2"/>
  <c r="G2079" i="2"/>
  <c r="F2079" i="2"/>
  <c r="C2079" i="2"/>
  <c r="T2078" i="2"/>
  <c r="N2078" i="2"/>
  <c r="H2078" i="2"/>
  <c r="P2078" i="2" s="1"/>
  <c r="C2078" i="2" s="1"/>
  <c r="G2078" i="2"/>
  <c r="F2078" i="2"/>
  <c r="D2078" i="2"/>
  <c r="T2077" i="2"/>
  <c r="N2077" i="2"/>
  <c r="H2077" i="2"/>
  <c r="P2077" i="2" s="1"/>
  <c r="C2077" i="2" s="1"/>
  <c r="G2077" i="2"/>
  <c r="F2077" i="2"/>
  <c r="T2076" i="2"/>
  <c r="G2076" i="2"/>
  <c r="F2076" i="2"/>
  <c r="D2076" i="2"/>
  <c r="T2075" i="2"/>
  <c r="N2075" i="2"/>
  <c r="G2075" i="2"/>
  <c r="F2075" i="2"/>
  <c r="D2075" i="2"/>
  <c r="H2075" i="2" s="1"/>
  <c r="P2075" i="2" s="1"/>
  <c r="C2075" i="2" s="1"/>
  <c r="T2074" i="2"/>
  <c r="P2074" i="2"/>
  <c r="C2074" i="2" s="1"/>
  <c r="N2074" i="2"/>
  <c r="H2074" i="2"/>
  <c r="G2074" i="2"/>
  <c r="F2074" i="2"/>
  <c r="D2074" i="2"/>
  <c r="T2073" i="2"/>
  <c r="P2073" i="2"/>
  <c r="C2073" i="2" s="1"/>
  <c r="N2073" i="2"/>
  <c r="H2073" i="2"/>
  <c r="G2073" i="2"/>
  <c r="F2073" i="2"/>
  <c r="D2073" i="2"/>
  <c r="T2072" i="2"/>
  <c r="N2072" i="2"/>
  <c r="H2072" i="2"/>
  <c r="P2072" i="2" s="1"/>
  <c r="C2072" i="2" s="1"/>
  <c r="G2072" i="2"/>
  <c r="F2072" i="2"/>
  <c r="D2072" i="2"/>
  <c r="T2071" i="2"/>
  <c r="P2071" i="2"/>
  <c r="C2071" i="2" s="1"/>
  <c r="N2071" i="2"/>
  <c r="H2071" i="2"/>
  <c r="G2071" i="2"/>
  <c r="F2071" i="2"/>
  <c r="D2071" i="2"/>
  <c r="T2070" i="2"/>
  <c r="P2070" i="2"/>
  <c r="C2070" i="2" s="1"/>
  <c r="N2070" i="2"/>
  <c r="H2070" i="2"/>
  <c r="G2070" i="2"/>
  <c r="F2070" i="2"/>
  <c r="D2070" i="2"/>
  <c r="T2069" i="2"/>
  <c r="P2069" i="2"/>
  <c r="C2069" i="2" s="1"/>
  <c r="N2069" i="2"/>
  <c r="H2069" i="2"/>
  <c r="G2069" i="2"/>
  <c r="D2069" i="2"/>
  <c r="T2068" i="2"/>
  <c r="G2068" i="2"/>
  <c r="F2068" i="2"/>
  <c r="D2068" i="2"/>
  <c r="N2068" i="2" s="1"/>
  <c r="T2067" i="2"/>
  <c r="H2067" i="2"/>
  <c r="P2067" i="2" s="1"/>
  <c r="C2067" i="2" s="1"/>
  <c r="G2067" i="2"/>
  <c r="F2067" i="2"/>
  <c r="D2067" i="2"/>
  <c r="N2067" i="2" s="1"/>
  <c r="T2066" i="2"/>
  <c r="N2066" i="2"/>
  <c r="H2066" i="2"/>
  <c r="P2066" i="2" s="1"/>
  <c r="C2066" i="2" s="1"/>
  <c r="G2066" i="2"/>
  <c r="F2066" i="2"/>
  <c r="T2065" i="2"/>
  <c r="N2065" i="2"/>
  <c r="H2065" i="2"/>
  <c r="P2065" i="2" s="1"/>
  <c r="C2065" i="2" s="1"/>
  <c r="G2065" i="2"/>
  <c r="F2065" i="2"/>
  <c r="T2064" i="2"/>
  <c r="P2064" i="2"/>
  <c r="N2064" i="2"/>
  <c r="H2064" i="2"/>
  <c r="G2064" i="2"/>
  <c r="F2064" i="2"/>
  <c r="C2064" i="2"/>
  <c r="T2063" i="2"/>
  <c r="P2063" i="2"/>
  <c r="N2063" i="2"/>
  <c r="H2063" i="2"/>
  <c r="G2063" i="2"/>
  <c r="F2063" i="2"/>
  <c r="C2063" i="2"/>
  <c r="T2062" i="2"/>
  <c r="P2062" i="2"/>
  <c r="N2062" i="2"/>
  <c r="H2062" i="2"/>
  <c r="G2062" i="2"/>
  <c r="F2062" i="2"/>
  <c r="C2062" i="2"/>
  <c r="T2061" i="2"/>
  <c r="P2061" i="2"/>
  <c r="C2061" i="2" s="1"/>
  <c r="N2061" i="2"/>
  <c r="H2061" i="2"/>
  <c r="G2061" i="2"/>
  <c r="F2061" i="2"/>
  <c r="T2060" i="2"/>
  <c r="P2060" i="2"/>
  <c r="C2060" i="2" s="1"/>
  <c r="N2060" i="2"/>
  <c r="H2060" i="2"/>
  <c r="G2060" i="2"/>
  <c r="F2060" i="2"/>
  <c r="D2060" i="2"/>
  <c r="T2059" i="2"/>
  <c r="P2059" i="2"/>
  <c r="C2059" i="2" s="1"/>
  <c r="N2059" i="2"/>
  <c r="H2059" i="2"/>
  <c r="G2059" i="2"/>
  <c r="F2059" i="2"/>
  <c r="D2059" i="2"/>
  <c r="D2142" i="2" s="1"/>
  <c r="T2058" i="2"/>
  <c r="P2058" i="2"/>
  <c r="N2058" i="2"/>
  <c r="H2058" i="2"/>
  <c r="G2058" i="2"/>
  <c r="F2058" i="2"/>
  <c r="E2058" i="2"/>
  <c r="D2137" i="2" s="1"/>
  <c r="D2058" i="2"/>
  <c r="C2058" i="2"/>
  <c r="T2057" i="2"/>
  <c r="H2057" i="2"/>
  <c r="P2057" i="2" s="1"/>
  <c r="C2057" i="2" s="1"/>
  <c r="G2057" i="2"/>
  <c r="F2057" i="2"/>
  <c r="E2057" i="2"/>
  <c r="D2057" i="2"/>
  <c r="N2057" i="2" s="1"/>
  <c r="T2056" i="2"/>
  <c r="G2056" i="2"/>
  <c r="F2056" i="2"/>
  <c r="E2056" i="2"/>
  <c r="D2139" i="2" s="1"/>
  <c r="T2055" i="2"/>
  <c r="G2055" i="2"/>
  <c r="F2055" i="2"/>
  <c r="E2055" i="2"/>
  <c r="D2140" i="2" s="1"/>
  <c r="T2054" i="2"/>
  <c r="G2054" i="2"/>
  <c r="F2054" i="2"/>
  <c r="E2054" i="2"/>
  <c r="T2053" i="2"/>
  <c r="G2053" i="2"/>
  <c r="F2053" i="2"/>
  <c r="E2053" i="2"/>
  <c r="D2141" i="2" s="1"/>
  <c r="D2053" i="2"/>
  <c r="N2053" i="2" s="1"/>
  <c r="T2052" i="2"/>
  <c r="H2052" i="2"/>
  <c r="P2052" i="2" s="1"/>
  <c r="C2052" i="2" s="1"/>
  <c r="G2052" i="2"/>
  <c r="F2052" i="2"/>
  <c r="D2052" i="2"/>
  <c r="N2052" i="2" s="1"/>
  <c r="T2051" i="2"/>
  <c r="G2051" i="2"/>
  <c r="F2051" i="2"/>
  <c r="E2051" i="2"/>
  <c r="T2050" i="2"/>
  <c r="H2050" i="2"/>
  <c r="P2050" i="2" s="1"/>
  <c r="C2050" i="2" s="1"/>
  <c r="G2050" i="2"/>
  <c r="F2050" i="2"/>
  <c r="E2050" i="2"/>
  <c r="D2050" i="2" s="1"/>
  <c r="D2127" i="2" s="1"/>
  <c r="N2127" i="2" s="1"/>
  <c r="T2049" i="2"/>
  <c r="P2049" i="2"/>
  <c r="L2049" i="2"/>
  <c r="H2049" i="2" s="1"/>
  <c r="T2048" i="2"/>
  <c r="L2048" i="2"/>
  <c r="G2048" i="2"/>
  <c r="F2048" i="2"/>
  <c r="E2048" i="2"/>
  <c r="T2047" i="2"/>
  <c r="L2047" i="2"/>
  <c r="G2047" i="2"/>
  <c r="F2047" i="2"/>
  <c r="E2047" i="2"/>
  <c r="T2046" i="2"/>
  <c r="L2046" i="2"/>
  <c r="G2046" i="2"/>
  <c r="F2046" i="2"/>
  <c r="E2046" i="2"/>
  <c r="T2045" i="2"/>
  <c r="L2045" i="2"/>
  <c r="G2045" i="2"/>
  <c r="F2045" i="2"/>
  <c r="E2045" i="2"/>
  <c r="T2044" i="2"/>
  <c r="L2044" i="2"/>
  <c r="G2044" i="2"/>
  <c r="F2044" i="2"/>
  <c r="E2044" i="2"/>
  <c r="T2043" i="2"/>
  <c r="P2043" i="2"/>
  <c r="C2043" i="2" s="1"/>
  <c r="L2043" i="2"/>
  <c r="G2043" i="2"/>
  <c r="E2043" i="2"/>
  <c r="D2043" i="2"/>
  <c r="H2043" i="2" s="1"/>
  <c r="T2042" i="2"/>
  <c r="P2042" i="2"/>
  <c r="D2042" i="2" s="1"/>
  <c r="L2042" i="2"/>
  <c r="G2042" i="2"/>
  <c r="F2042" i="2"/>
  <c r="E2042" i="2"/>
  <c r="T2041" i="2"/>
  <c r="L2041" i="2"/>
  <c r="G2041" i="2"/>
  <c r="F2041" i="2"/>
  <c r="E2041" i="2"/>
  <c r="T2040" i="2"/>
  <c r="L2040" i="2"/>
  <c r="G2040" i="2"/>
  <c r="F2040" i="2"/>
  <c r="E2040" i="2"/>
  <c r="T2039" i="2"/>
  <c r="L2039" i="2"/>
  <c r="G2039" i="2"/>
  <c r="F2039" i="2"/>
  <c r="E2039" i="2"/>
  <c r="T2038" i="2"/>
  <c r="L2038" i="2"/>
  <c r="G2038" i="2"/>
  <c r="F2038" i="2"/>
  <c r="E2038" i="2"/>
  <c r="T2037" i="2"/>
  <c r="L2037" i="2"/>
  <c r="G2037" i="2"/>
  <c r="F2037" i="2"/>
  <c r="E2037" i="2"/>
  <c r="T2036" i="2"/>
  <c r="L2036" i="2"/>
  <c r="G2036" i="2"/>
  <c r="F2036" i="2"/>
  <c r="E2036" i="2"/>
  <c r="T2035" i="2"/>
  <c r="L2035" i="2"/>
  <c r="G2035" i="2"/>
  <c r="F2035" i="2"/>
  <c r="E2035" i="2"/>
  <c r="T2034" i="2"/>
  <c r="L2034" i="2"/>
  <c r="G2034" i="2"/>
  <c r="F2034" i="2"/>
  <c r="E2034" i="2"/>
  <c r="T2033" i="2"/>
  <c r="L2033" i="2"/>
  <c r="G2033" i="2"/>
  <c r="F2033" i="2"/>
  <c r="E2033" i="2"/>
  <c r="T2032" i="2"/>
  <c r="L2032" i="2"/>
  <c r="G2032" i="2"/>
  <c r="F2032" i="2"/>
  <c r="D2032" i="2"/>
  <c r="H2032" i="2" s="1"/>
  <c r="P2032" i="2" s="1"/>
  <c r="C2032" i="2" s="1"/>
  <c r="T2031" i="2"/>
  <c r="P2031" i="2"/>
  <c r="L2031" i="2"/>
  <c r="H2031" i="2"/>
  <c r="G2031" i="2"/>
  <c r="F2031" i="2"/>
  <c r="C2031" i="2"/>
  <c r="T2030" i="2"/>
  <c r="P2030" i="2"/>
  <c r="C2030" i="2" s="1"/>
  <c r="L2030" i="2"/>
  <c r="G2030" i="2"/>
  <c r="F2030" i="2"/>
  <c r="T2029" i="2"/>
  <c r="P2029" i="2"/>
  <c r="C2029" i="2" s="1"/>
  <c r="L2029" i="2"/>
  <c r="G2029" i="2"/>
  <c r="F2029" i="2"/>
  <c r="T2028" i="2"/>
  <c r="L2028" i="2"/>
  <c r="G2028" i="2"/>
  <c r="F2028" i="2"/>
  <c r="T2027" i="2"/>
  <c r="L2027" i="2"/>
  <c r="G2027" i="2"/>
  <c r="F2027" i="2"/>
  <c r="T2026" i="2"/>
  <c r="L2026" i="2"/>
  <c r="G2026" i="2"/>
  <c r="F2026" i="2"/>
  <c r="T2025" i="2"/>
  <c r="P2025" i="2"/>
  <c r="C2025" i="2" s="1"/>
  <c r="L2025" i="2"/>
  <c r="H2025" i="2"/>
  <c r="G2025" i="2"/>
  <c r="F2025" i="2"/>
  <c r="D2025" i="2"/>
  <c r="T2024" i="2"/>
  <c r="P2024" i="2"/>
  <c r="C2024" i="2" s="1"/>
  <c r="L2024" i="2"/>
  <c r="H2024" i="2"/>
  <c r="G2024" i="2"/>
  <c r="F2024" i="2"/>
  <c r="D2024" i="2"/>
  <c r="T2023" i="2"/>
  <c r="L2023" i="2"/>
  <c r="H2023" i="2"/>
  <c r="P2023" i="2" s="1"/>
  <c r="C2023" i="2" s="1"/>
  <c r="G2023" i="2"/>
  <c r="F2023" i="2"/>
  <c r="D2023" i="2"/>
  <c r="T2022" i="2"/>
  <c r="L2022" i="2"/>
  <c r="H2022" i="2"/>
  <c r="P2022" i="2" s="1"/>
  <c r="C2022" i="2" s="1"/>
  <c r="G2022" i="2"/>
  <c r="F2022" i="2"/>
  <c r="E2022" i="2"/>
  <c r="T2021" i="2"/>
  <c r="D2021" i="2" s="1"/>
  <c r="H2021" i="2" s="1"/>
  <c r="P2021" i="2" s="1"/>
  <c r="C2021" i="2" s="1"/>
  <c r="L2021" i="2"/>
  <c r="G2021" i="2"/>
  <c r="F2021" i="2"/>
  <c r="E2021" i="2"/>
  <c r="T2020" i="2"/>
  <c r="L2020" i="2"/>
  <c r="G2020" i="2"/>
  <c r="F2020" i="2"/>
  <c r="E2020" i="2"/>
  <c r="D2020" i="2"/>
  <c r="D2022" i="2" s="1"/>
  <c r="T2019" i="2"/>
  <c r="L2019" i="2"/>
  <c r="G2019" i="2"/>
  <c r="F2019" i="2"/>
  <c r="E2019" i="2"/>
  <c r="T2018" i="2"/>
  <c r="P2018" i="2"/>
  <c r="C2018" i="2" s="1"/>
  <c r="L2018" i="2"/>
  <c r="G2018" i="2"/>
  <c r="F2018" i="2"/>
  <c r="E2018" i="2"/>
  <c r="D2018" i="2"/>
  <c r="H2018" i="2" s="1"/>
  <c r="T2017" i="2"/>
  <c r="L2017" i="2"/>
  <c r="G2017" i="2"/>
  <c r="F2017" i="2"/>
  <c r="E2017" i="2"/>
  <c r="D2017" i="2"/>
  <c r="H2017" i="2" s="1"/>
  <c r="P2017" i="2" s="1"/>
  <c r="C2017" i="2"/>
  <c r="T2016" i="2"/>
  <c r="L2016" i="2"/>
  <c r="H2016" i="2"/>
  <c r="P2016" i="2" s="1"/>
  <c r="C2016" i="2" s="1"/>
  <c r="G2016" i="2"/>
  <c r="F2016" i="2"/>
  <c r="E2016" i="2"/>
  <c r="D2016" i="2"/>
  <c r="T2015" i="2"/>
  <c r="L2015" i="2"/>
  <c r="H2015" i="2"/>
  <c r="P2015" i="2" s="1"/>
  <c r="C2015" i="2" s="1"/>
  <c r="G2015" i="2"/>
  <c r="F2015" i="2"/>
  <c r="E2015" i="2"/>
  <c r="D2015" i="2"/>
  <c r="T2014" i="2"/>
  <c r="P2014" i="2"/>
  <c r="C2014" i="2" s="1"/>
  <c r="L2014" i="2"/>
  <c r="H2014" i="2"/>
  <c r="G2014" i="2"/>
  <c r="F2014" i="2"/>
  <c r="E2014" i="2"/>
  <c r="D2014" i="2"/>
  <c r="T2013" i="2"/>
  <c r="P2013" i="2"/>
  <c r="C2013" i="2" s="1"/>
  <c r="L2013" i="2"/>
  <c r="H2013" i="2"/>
  <c r="G2013" i="2"/>
  <c r="F2013" i="2"/>
  <c r="E2013" i="2"/>
  <c r="D2013" i="2"/>
  <c r="T2012" i="2"/>
  <c r="P2012" i="2"/>
  <c r="C2012" i="2" s="1"/>
  <c r="L2012" i="2"/>
  <c r="H2012" i="2"/>
  <c r="G2012" i="2"/>
  <c r="F2012" i="2"/>
  <c r="D2012" i="2"/>
  <c r="T2011" i="2"/>
  <c r="P2011" i="2"/>
  <c r="C2011" i="2" s="1"/>
  <c r="L2011" i="2"/>
  <c r="H2011" i="2"/>
  <c r="G2011" i="2"/>
  <c r="F2011" i="2"/>
  <c r="D2011" i="2"/>
  <c r="T2010" i="2"/>
  <c r="P2010" i="2"/>
  <c r="C2010" i="2" s="1"/>
  <c r="L2010" i="2"/>
  <c r="H2010" i="2"/>
  <c r="G2010" i="2"/>
  <c r="F2010" i="2"/>
  <c r="D2010" i="2"/>
  <c r="T2009" i="2"/>
  <c r="P2009" i="2"/>
  <c r="C2009" i="2" s="1"/>
  <c r="L2009" i="2"/>
  <c r="H2009" i="2"/>
  <c r="G2009" i="2"/>
  <c r="F2009" i="2"/>
  <c r="D2009" i="2"/>
  <c r="T2008" i="2"/>
  <c r="P2008" i="2"/>
  <c r="C2008" i="2" s="1"/>
  <c r="L2008" i="2"/>
  <c r="H2008" i="2"/>
  <c r="G2008" i="2"/>
  <c r="F2008" i="2"/>
  <c r="D2008" i="2"/>
  <c r="T2007" i="2"/>
  <c r="P2007" i="2"/>
  <c r="C2007" i="2" s="1"/>
  <c r="L2007" i="2"/>
  <c r="H2007" i="2"/>
  <c r="G2007" i="2"/>
  <c r="F2007" i="2"/>
  <c r="D2007" i="2"/>
  <c r="T2006" i="2"/>
  <c r="P2006" i="2"/>
  <c r="C2006" i="2" s="1"/>
  <c r="L2006" i="2"/>
  <c r="H2006" i="2"/>
  <c r="G2006" i="2"/>
  <c r="F2006" i="2"/>
  <c r="D2006" i="2"/>
  <c r="T2005" i="2"/>
  <c r="P2005" i="2"/>
  <c r="C2005" i="2" s="1"/>
  <c r="L2005" i="2"/>
  <c r="K2005" i="2"/>
  <c r="H2005" i="2"/>
  <c r="G2005" i="2"/>
  <c r="F2005" i="2"/>
  <c r="T2004" i="2"/>
  <c r="L2004" i="2"/>
  <c r="G2004" i="2"/>
  <c r="F2004" i="2"/>
  <c r="T2003" i="2"/>
  <c r="P2003" i="2"/>
  <c r="C2003" i="2" s="1"/>
  <c r="L2003" i="2"/>
  <c r="H2003" i="2" s="1"/>
  <c r="G2003" i="2"/>
  <c r="F2003" i="2"/>
  <c r="D2003" i="2"/>
  <c r="D2038" i="2" s="1"/>
  <c r="H2038" i="2" s="1"/>
  <c r="P2038" i="2" s="1"/>
  <c r="C2038" i="2" s="1"/>
  <c r="T2002" i="2"/>
  <c r="P2002" i="2"/>
  <c r="L2002" i="2"/>
  <c r="C2002" i="2"/>
  <c r="T2001" i="2"/>
  <c r="L2001" i="2"/>
  <c r="G2001" i="2"/>
  <c r="F2001" i="2"/>
  <c r="D2001" i="2"/>
  <c r="H2001" i="2" s="1"/>
  <c r="P2001" i="2" s="1"/>
  <c r="C2001" i="2" s="1"/>
  <c r="T2000" i="2"/>
  <c r="G2000" i="2"/>
  <c r="F2000" i="2"/>
  <c r="T1999" i="2"/>
  <c r="G1999" i="2"/>
  <c r="F1999" i="2"/>
  <c r="D1999" i="2"/>
  <c r="H1999" i="2" s="1"/>
  <c r="T1998" i="2"/>
  <c r="G1998" i="2"/>
  <c r="F1998" i="2"/>
  <c r="D1998" i="2"/>
  <c r="H1998" i="2" s="1"/>
  <c r="T1997" i="2"/>
  <c r="L1997" i="2"/>
  <c r="H1997" i="2"/>
  <c r="P1997" i="2" s="1"/>
  <c r="C1997" i="2" s="1"/>
  <c r="D1997" i="2"/>
  <c r="D2000" i="2" s="1"/>
  <c r="H2000" i="2" s="1"/>
  <c r="T1996" i="2"/>
  <c r="G1996" i="2"/>
  <c r="F1996" i="2"/>
  <c r="T1995" i="2"/>
  <c r="F1995" i="2"/>
  <c r="T1994" i="2"/>
  <c r="F1994" i="2"/>
  <c r="T1993" i="2"/>
  <c r="F1993" i="2"/>
  <c r="T1992" i="2"/>
  <c r="F1992" i="2"/>
  <c r="T1991" i="2"/>
  <c r="L1991" i="2"/>
  <c r="D1991" i="2"/>
  <c r="T1990" i="2"/>
  <c r="G1990" i="2"/>
  <c r="F1990" i="2"/>
  <c r="D1990" i="2"/>
  <c r="H1990" i="2" s="1"/>
  <c r="T1989" i="2"/>
  <c r="F1989" i="2"/>
  <c r="D1989" i="2"/>
  <c r="H1989" i="2" s="1"/>
  <c r="P1989" i="2" s="1"/>
  <c r="C1989" i="2" s="1"/>
  <c r="T1988" i="2"/>
  <c r="H1988" i="2"/>
  <c r="F1988" i="2"/>
  <c r="T1987" i="2"/>
  <c r="L1987" i="2"/>
  <c r="K1987" i="2"/>
  <c r="H1987" i="2"/>
  <c r="P1987" i="2" s="1"/>
  <c r="D1987" i="2"/>
  <c r="D1988" i="2" s="1"/>
  <c r="K1988" i="2" s="1"/>
  <c r="C1987" i="2"/>
  <c r="T1986" i="2"/>
  <c r="G1986" i="2"/>
  <c r="F1986" i="2"/>
  <c r="D1986" i="2"/>
  <c r="H1986" i="2" s="1"/>
  <c r="T1985" i="2"/>
  <c r="H1985" i="2"/>
  <c r="G1985" i="2"/>
  <c r="F1985" i="2"/>
  <c r="D1985" i="2"/>
  <c r="T1984" i="2"/>
  <c r="G1984" i="2"/>
  <c r="F1984" i="2"/>
  <c r="D1984" i="2"/>
  <c r="H1984" i="2" s="1"/>
  <c r="T1983" i="2"/>
  <c r="H1983" i="2"/>
  <c r="G1983" i="2"/>
  <c r="F1983" i="2"/>
  <c r="D1983" i="2"/>
  <c r="T1982" i="2"/>
  <c r="G1982" i="2"/>
  <c r="F1982" i="2"/>
  <c r="D1982" i="2"/>
  <c r="H1982" i="2" s="1"/>
  <c r="T1981" i="2"/>
  <c r="L1981" i="2"/>
  <c r="H1981" i="2"/>
  <c r="P1981" i="2" s="1"/>
  <c r="C1981" i="2" s="1"/>
  <c r="D1981" i="2"/>
  <c r="T1980" i="2"/>
  <c r="G1980" i="2"/>
  <c r="F1980" i="2"/>
  <c r="D1980" i="2"/>
  <c r="H1980" i="2" s="1"/>
  <c r="P1980" i="2" s="1"/>
  <c r="C1980" i="2" s="1"/>
  <c r="T1979" i="2"/>
  <c r="G1979" i="2"/>
  <c r="F1979" i="2"/>
  <c r="D1979" i="2"/>
  <c r="H1979" i="2" s="1"/>
  <c r="T1978" i="2"/>
  <c r="L1978" i="2"/>
  <c r="G1978" i="2"/>
  <c r="F1978" i="2"/>
  <c r="D1978" i="2"/>
  <c r="H1978" i="2" s="1"/>
  <c r="P1978" i="2" s="1"/>
  <c r="C1978" i="2"/>
  <c r="T1977" i="2"/>
  <c r="P1977" i="2"/>
  <c r="L1977" i="2"/>
  <c r="H1977" i="2"/>
  <c r="D1977" i="2"/>
  <c r="C1977" i="2"/>
  <c r="T1976" i="2"/>
  <c r="G1976" i="2"/>
  <c r="F1976" i="2"/>
  <c r="T1975" i="2"/>
  <c r="G1975" i="2"/>
  <c r="F1975" i="2"/>
  <c r="T1974" i="2"/>
  <c r="G1974" i="2"/>
  <c r="F1974" i="2"/>
  <c r="T1973" i="2"/>
  <c r="L1973" i="2"/>
  <c r="D1973" i="2"/>
  <c r="T1972" i="2"/>
  <c r="H1972" i="2"/>
  <c r="P1972" i="2" s="1"/>
  <c r="C1972" i="2" s="1"/>
  <c r="G1972" i="2"/>
  <c r="F1972" i="2"/>
  <c r="D1972" i="2"/>
  <c r="T1971" i="2"/>
  <c r="G1971" i="2"/>
  <c r="F1971" i="2"/>
  <c r="D1971" i="2"/>
  <c r="T1970" i="2"/>
  <c r="L1970" i="2"/>
  <c r="D1970" i="2"/>
  <c r="H1970" i="2" s="1"/>
  <c r="P1970" i="2" s="1"/>
  <c r="C1970" i="2" s="1"/>
  <c r="T1969" i="2"/>
  <c r="F1969" i="2"/>
  <c r="T1968" i="2"/>
  <c r="F1968" i="2"/>
  <c r="T1967" i="2"/>
  <c r="F1967" i="2"/>
  <c r="T1966" i="2"/>
  <c r="F1966" i="2"/>
  <c r="T1965" i="2"/>
  <c r="L1965" i="2"/>
  <c r="D1965" i="2"/>
  <c r="T1964" i="2"/>
  <c r="H1964" i="2"/>
  <c r="P1964" i="2" s="1"/>
  <c r="C1964" i="2" s="1"/>
  <c r="G1964" i="2"/>
  <c r="F1964" i="2"/>
  <c r="D1964" i="2"/>
  <c r="T1963" i="2"/>
  <c r="G1963" i="2"/>
  <c r="F1963" i="2"/>
  <c r="D1963" i="2"/>
  <c r="H1963" i="2" s="1"/>
  <c r="T1962" i="2"/>
  <c r="P1962" i="2"/>
  <c r="C1962" i="2" s="1"/>
  <c r="G1962" i="2"/>
  <c r="F1962" i="2"/>
  <c r="D1962" i="2"/>
  <c r="H1962" i="2" s="1"/>
  <c r="L1962" i="2" s="1"/>
  <c r="T1961" i="2"/>
  <c r="L1961" i="2"/>
  <c r="H1961" i="2"/>
  <c r="P1961" i="2" s="1"/>
  <c r="C1961" i="2" s="1"/>
  <c r="D1961" i="2"/>
  <c r="T1960" i="2"/>
  <c r="G1960" i="2"/>
  <c r="F1960" i="2"/>
  <c r="T1959" i="2"/>
  <c r="G1959" i="2"/>
  <c r="F1959" i="2"/>
  <c r="D1959" i="2"/>
  <c r="T1958" i="2"/>
  <c r="L1958" i="2"/>
  <c r="H1958" i="2"/>
  <c r="P1958" i="2" s="1"/>
  <c r="C1958" i="2" s="1"/>
  <c r="D1958" i="2"/>
  <c r="D1960" i="2" s="1"/>
  <c r="H1960" i="2" s="1"/>
  <c r="T1957" i="2"/>
  <c r="L1957" i="2"/>
  <c r="G1957" i="2"/>
  <c r="F1957" i="2"/>
  <c r="E1957" i="2"/>
  <c r="D2035" i="2" s="1"/>
  <c r="H2035" i="2" s="1"/>
  <c r="P2035" i="2" s="1"/>
  <c r="C2035" i="2" s="1"/>
  <c r="T1956" i="2"/>
  <c r="L1956" i="2"/>
  <c r="L1954" i="2" s="1"/>
  <c r="H1954" i="2" s="1"/>
  <c r="C1954" i="2" s="1"/>
  <c r="G1956" i="2"/>
  <c r="F1956" i="2"/>
  <c r="E1956" i="2"/>
  <c r="D2033" i="2" s="1"/>
  <c r="T1955" i="2"/>
  <c r="L1955" i="2"/>
  <c r="H1955" i="2"/>
  <c r="P1955" i="2" s="1"/>
  <c r="C1955" i="2" s="1"/>
  <c r="G1955" i="2"/>
  <c r="F1955" i="2"/>
  <c r="E1955" i="2"/>
  <c r="D2034" i="2" s="1"/>
  <c r="H2034" i="2" s="1"/>
  <c r="P2034" i="2" s="1"/>
  <c r="C2034" i="2" s="1"/>
  <c r="D1955" i="2"/>
  <c r="T1954" i="2"/>
  <c r="T1953" i="2"/>
  <c r="K1953" i="2"/>
  <c r="H1953" i="2" s="1"/>
  <c r="G1953" i="2"/>
  <c r="F1953" i="2"/>
  <c r="E1953" i="2"/>
  <c r="T1952" i="2"/>
  <c r="K1952" i="2"/>
  <c r="H1952" i="2" s="1"/>
  <c r="G1952" i="2"/>
  <c r="F1952" i="2"/>
  <c r="E1952" i="2"/>
  <c r="T1951" i="2"/>
  <c r="K1951" i="2"/>
  <c r="H1951" i="2" s="1"/>
  <c r="G1951" i="2"/>
  <c r="F1951" i="2"/>
  <c r="E1951" i="2"/>
  <c r="T1950" i="2"/>
  <c r="K1950" i="2"/>
  <c r="H1950" i="2" s="1"/>
  <c r="G1950" i="2"/>
  <c r="F1950" i="2"/>
  <c r="E1950" i="2"/>
  <c r="T1949" i="2"/>
  <c r="K1949" i="2"/>
  <c r="H1949" i="2" s="1"/>
  <c r="G1949" i="2"/>
  <c r="F1949" i="2"/>
  <c r="E1949" i="2"/>
  <c r="T1948" i="2"/>
  <c r="K1948" i="2"/>
  <c r="H1948" i="2" s="1"/>
  <c r="G1948" i="2"/>
  <c r="F1948" i="2"/>
  <c r="E1948" i="2"/>
  <c r="T1947" i="2"/>
  <c r="K1947" i="2"/>
  <c r="H1947" i="2" s="1"/>
  <c r="G1947" i="2"/>
  <c r="F1947" i="2"/>
  <c r="E1947" i="2"/>
  <c r="T1946" i="2"/>
  <c r="K1946" i="2"/>
  <c r="H1946" i="2" s="1"/>
  <c r="G1946" i="2"/>
  <c r="F1946" i="2"/>
  <c r="E1946" i="2"/>
  <c r="T1945" i="2"/>
  <c r="K1945" i="2"/>
  <c r="H1945" i="2" s="1"/>
  <c r="G1945" i="2"/>
  <c r="E1945" i="2"/>
  <c r="T1944" i="2"/>
  <c r="K1944" i="2"/>
  <c r="H1944" i="2"/>
  <c r="G1944" i="2"/>
  <c r="F1944" i="2"/>
  <c r="E1944" i="2"/>
  <c r="T1943" i="2"/>
  <c r="K1943" i="2"/>
  <c r="H1943" i="2"/>
  <c r="G1943" i="2"/>
  <c r="E1943" i="2"/>
  <c r="T1942" i="2"/>
  <c r="K1942" i="2"/>
  <c r="H1942" i="2" s="1"/>
  <c r="G1942" i="2"/>
  <c r="F1942" i="2"/>
  <c r="E1942" i="2"/>
  <c r="D1942" i="2"/>
  <c r="T1941" i="2"/>
  <c r="K1941" i="2"/>
  <c r="H1941" i="2"/>
  <c r="P1941" i="2" s="1"/>
  <c r="C1941" i="2" s="1"/>
  <c r="G1941" i="2"/>
  <c r="F1941" i="2"/>
  <c r="E1941" i="2"/>
  <c r="T1940" i="2"/>
  <c r="K1940" i="2"/>
  <c r="H1940" i="2"/>
  <c r="G1940" i="2"/>
  <c r="E1940" i="2"/>
  <c r="T1939" i="2"/>
  <c r="K1939" i="2"/>
  <c r="H1939" i="2" s="1"/>
  <c r="G1939" i="2"/>
  <c r="E1939" i="2"/>
  <c r="T1938" i="2"/>
  <c r="K1938" i="2"/>
  <c r="H1938" i="2" s="1"/>
  <c r="G1938" i="2"/>
  <c r="E1938" i="2"/>
  <c r="T1937" i="2"/>
  <c r="K1937" i="2"/>
  <c r="H1937" i="2" s="1"/>
  <c r="G1937" i="2"/>
  <c r="F1937" i="2"/>
  <c r="E1937" i="2"/>
  <c r="T1936" i="2"/>
  <c r="K1936" i="2"/>
  <c r="H1936" i="2" s="1"/>
  <c r="G1936" i="2"/>
  <c r="E1936" i="2"/>
  <c r="T1935" i="2"/>
  <c r="K1935" i="2"/>
  <c r="H1935" i="2"/>
  <c r="G1935" i="2"/>
  <c r="F1935" i="2"/>
  <c r="E1935" i="2"/>
  <c r="T1934" i="2"/>
  <c r="K1934" i="2"/>
  <c r="H1934" i="2"/>
  <c r="P1934" i="2" s="1"/>
  <c r="G1934" i="2"/>
  <c r="F1934" i="2"/>
  <c r="E1934" i="2"/>
  <c r="C1934" i="2"/>
  <c r="T1933" i="2"/>
  <c r="K1933" i="2"/>
  <c r="H1933" i="2"/>
  <c r="P1933" i="2" s="1"/>
  <c r="G1933" i="2"/>
  <c r="F1933" i="2"/>
  <c r="E1933" i="2"/>
  <c r="C1933" i="2"/>
  <c r="T1932" i="2"/>
  <c r="K1932" i="2"/>
  <c r="G1932" i="2"/>
  <c r="F1932" i="2"/>
  <c r="E1932" i="2"/>
  <c r="T1931" i="2"/>
  <c r="K1931" i="2"/>
  <c r="H1931" i="2"/>
  <c r="G1931" i="2"/>
  <c r="F1931" i="2"/>
  <c r="E1931" i="2"/>
  <c r="T1930" i="2"/>
  <c r="K1930" i="2"/>
  <c r="H1930" i="2"/>
  <c r="G1930" i="2"/>
  <c r="F1930" i="2"/>
  <c r="E1930" i="2"/>
  <c r="T1929" i="2"/>
  <c r="K1929" i="2"/>
  <c r="G1929" i="2"/>
  <c r="F1929" i="2"/>
  <c r="E1929" i="2"/>
  <c r="T1928" i="2"/>
  <c r="K1928" i="2"/>
  <c r="H1928" i="2"/>
  <c r="G1928" i="2"/>
  <c r="F1928" i="2"/>
  <c r="E1928" i="2"/>
  <c r="T1927" i="2"/>
  <c r="K1927" i="2"/>
  <c r="H1927" i="2"/>
  <c r="G1927" i="2"/>
  <c r="E1927" i="2"/>
  <c r="T1926" i="2"/>
  <c r="K1926" i="2"/>
  <c r="G1926" i="2"/>
  <c r="F1926" i="2"/>
  <c r="E1926" i="2"/>
  <c r="T1925" i="2"/>
  <c r="K1925" i="2"/>
  <c r="G1925" i="2"/>
  <c r="F1925" i="2"/>
  <c r="E1925" i="2"/>
  <c r="T1924" i="2"/>
  <c r="K1924" i="2"/>
  <c r="H1924" i="2"/>
  <c r="G1924" i="2"/>
  <c r="F1924" i="2"/>
  <c r="E1924" i="2"/>
  <c r="D1924" i="2"/>
  <c r="T1923" i="2"/>
  <c r="K1923" i="2"/>
  <c r="G1923" i="2"/>
  <c r="F1923" i="2"/>
  <c r="E1923" i="2"/>
  <c r="D1923" i="2"/>
  <c r="H1923" i="2" s="1"/>
  <c r="P1923" i="2" s="1"/>
  <c r="C1923" i="2" s="1"/>
  <c r="T1922" i="2"/>
  <c r="K1922" i="2"/>
  <c r="H1922" i="2"/>
  <c r="G1922" i="2"/>
  <c r="E1922" i="2"/>
  <c r="T1921" i="2"/>
  <c r="K1921" i="2"/>
  <c r="H1921" i="2"/>
  <c r="G1921" i="2"/>
  <c r="E1921" i="2"/>
  <c r="T1920" i="2"/>
  <c r="K1920" i="2"/>
  <c r="H1920" i="2"/>
  <c r="G1920" i="2"/>
  <c r="F1920" i="2"/>
  <c r="E1920" i="2"/>
  <c r="D1920" i="2"/>
  <c r="T1919" i="2"/>
  <c r="K1919" i="2"/>
  <c r="G1919" i="2"/>
  <c r="F1919" i="2"/>
  <c r="E1919" i="2"/>
  <c r="D1919" i="2"/>
  <c r="H1919" i="2" s="1"/>
  <c r="T1918" i="2"/>
  <c r="K1918" i="2"/>
  <c r="G1918" i="2"/>
  <c r="F1918" i="2"/>
  <c r="E1918" i="2"/>
  <c r="D1918" i="2"/>
  <c r="H1918" i="2" s="1"/>
  <c r="T1917" i="2"/>
  <c r="K1917" i="2"/>
  <c r="H1917" i="2"/>
  <c r="G1917" i="2"/>
  <c r="F1917" i="2"/>
  <c r="E1917" i="2"/>
  <c r="D1917" i="2"/>
  <c r="T1916" i="2"/>
  <c r="K1916" i="2"/>
  <c r="G1916" i="2"/>
  <c r="F1916" i="2"/>
  <c r="E1916" i="2"/>
  <c r="D1916" i="2"/>
  <c r="H1916" i="2" s="1"/>
  <c r="T1915" i="2"/>
  <c r="K1915" i="2"/>
  <c r="H1915" i="2"/>
  <c r="G1915" i="2"/>
  <c r="F1915" i="2"/>
  <c r="E1915" i="2"/>
  <c r="D1915" i="2"/>
  <c r="T1914" i="2"/>
  <c r="K1914" i="2"/>
  <c r="H1914" i="2"/>
  <c r="G1914" i="2"/>
  <c r="F1914" i="2"/>
  <c r="E1914" i="2"/>
  <c r="D1914" i="2"/>
  <c r="T1913" i="2"/>
  <c r="K1913" i="2"/>
  <c r="G1913" i="2"/>
  <c r="F1913" i="2"/>
  <c r="E1913" i="2"/>
  <c r="D1913" i="2"/>
  <c r="H1913" i="2" s="1"/>
  <c r="T1912" i="2"/>
  <c r="K1912" i="2"/>
  <c r="H1912" i="2"/>
  <c r="G1912" i="2"/>
  <c r="F1912" i="2"/>
  <c r="E1912" i="2"/>
  <c r="D1912" i="2"/>
  <c r="T1911" i="2"/>
  <c r="K1911" i="2"/>
  <c r="G1911" i="2"/>
  <c r="F1911" i="2"/>
  <c r="E1911" i="2"/>
  <c r="D1911" i="2"/>
  <c r="H1911" i="2" s="1"/>
  <c r="T1910" i="2"/>
  <c r="K1910" i="2"/>
  <c r="G1910" i="2"/>
  <c r="F1910" i="2"/>
  <c r="E1910" i="2"/>
  <c r="T1909" i="2"/>
  <c r="K1909" i="2"/>
  <c r="H1909" i="2"/>
  <c r="G1909" i="2"/>
  <c r="F1909" i="2"/>
  <c r="E1909" i="2"/>
  <c r="D1909" i="2"/>
  <c r="T1908" i="2"/>
  <c r="K1908" i="2"/>
  <c r="G1908" i="2"/>
  <c r="F1908" i="2"/>
  <c r="E1908" i="2"/>
  <c r="D1908" i="2"/>
  <c r="H1908" i="2" s="1"/>
  <c r="T1907" i="2"/>
  <c r="K1907" i="2"/>
  <c r="H1907" i="2"/>
  <c r="G1907" i="2"/>
  <c r="F1907" i="2"/>
  <c r="E1907" i="2"/>
  <c r="D1907" i="2"/>
  <c r="T1906" i="2"/>
  <c r="K1906" i="2"/>
  <c r="H1906" i="2"/>
  <c r="G1906" i="2"/>
  <c r="F1906" i="2"/>
  <c r="E1906" i="2"/>
  <c r="D1906" i="2"/>
  <c r="T1905" i="2"/>
  <c r="K1905" i="2"/>
  <c r="G1905" i="2"/>
  <c r="F1905" i="2"/>
  <c r="E1905" i="2"/>
  <c r="D1905" i="2"/>
  <c r="H1905" i="2" s="1"/>
  <c r="T1904" i="2"/>
  <c r="K1904" i="2"/>
  <c r="H1904" i="2"/>
  <c r="G1904" i="2"/>
  <c r="F1904" i="2"/>
  <c r="E1904" i="2"/>
  <c r="D1904" i="2"/>
  <c r="T1903" i="2"/>
  <c r="K1903" i="2"/>
  <c r="G1903" i="2"/>
  <c r="F1903" i="2"/>
  <c r="E1903" i="2"/>
  <c r="T1902" i="2"/>
  <c r="K1902" i="2"/>
  <c r="H1902" i="2"/>
  <c r="G1902" i="2"/>
  <c r="F1902" i="2"/>
  <c r="T1901" i="2"/>
  <c r="P1901" i="2" s="1"/>
  <c r="C1901" i="2" s="1"/>
  <c r="K1901" i="2"/>
  <c r="H1901" i="2" s="1"/>
  <c r="G1901" i="2"/>
  <c r="F1901" i="2"/>
  <c r="T1900" i="2"/>
  <c r="K1900" i="2"/>
  <c r="H1900" i="2" s="1"/>
  <c r="G1900" i="2"/>
  <c r="F1900" i="2"/>
  <c r="T1899" i="2"/>
  <c r="K1899" i="2"/>
  <c r="H1899" i="2" s="1"/>
  <c r="G1899" i="2"/>
  <c r="F1899" i="2"/>
  <c r="T1898" i="2"/>
  <c r="P1898" i="2" s="1"/>
  <c r="C1898" i="2" s="1"/>
  <c r="K1898" i="2"/>
  <c r="H1898" i="2"/>
  <c r="G1898" i="2"/>
  <c r="F1898" i="2"/>
  <c r="T1897" i="2"/>
  <c r="K1897" i="2"/>
  <c r="H1897" i="2"/>
  <c r="G1897" i="2"/>
  <c r="F1897" i="2"/>
  <c r="T1896" i="2"/>
  <c r="K1896" i="2"/>
  <c r="H1896" i="2" s="1"/>
  <c r="G1896" i="2"/>
  <c r="F1896" i="2"/>
  <c r="T1895" i="2"/>
  <c r="K1895" i="2"/>
  <c r="H1895" i="2"/>
  <c r="G1895" i="2"/>
  <c r="F1895" i="2"/>
  <c r="T1894" i="2"/>
  <c r="K1894" i="2"/>
  <c r="H1894" i="2" s="1"/>
  <c r="G1894" i="2"/>
  <c r="F1894" i="2"/>
  <c r="T1893" i="2"/>
  <c r="K1893" i="2"/>
  <c r="H1893" i="2"/>
  <c r="G1893" i="2"/>
  <c r="F1893" i="2"/>
  <c r="T1892" i="2"/>
  <c r="K1892" i="2"/>
  <c r="H1892" i="2"/>
  <c r="G1892" i="2"/>
  <c r="F1892" i="2"/>
  <c r="T1891" i="2"/>
  <c r="K1891" i="2"/>
  <c r="H1891" i="2"/>
  <c r="G1891" i="2"/>
  <c r="F1891" i="2"/>
  <c r="T1890" i="2"/>
  <c r="K1890" i="2"/>
  <c r="H1890" i="2"/>
  <c r="G1890" i="2"/>
  <c r="F1890" i="2"/>
  <c r="T1889" i="2"/>
  <c r="K1889" i="2"/>
  <c r="H1889" i="2"/>
  <c r="G1889" i="2"/>
  <c r="F1889" i="2"/>
  <c r="T1888" i="2"/>
  <c r="K1888" i="2"/>
  <c r="H1888" i="2" s="1"/>
  <c r="G1888" i="2"/>
  <c r="F1888" i="2"/>
  <c r="T1887" i="2"/>
  <c r="K1887" i="2"/>
  <c r="H1887" i="2"/>
  <c r="G1887" i="2"/>
  <c r="F1887" i="2"/>
  <c r="D1887" i="2"/>
  <c r="T1886" i="2"/>
  <c r="K1886" i="2"/>
  <c r="H1886" i="2"/>
  <c r="G1886" i="2"/>
  <c r="F1886" i="2"/>
  <c r="D1886" i="2"/>
  <c r="T1885" i="2"/>
  <c r="K1885" i="2"/>
  <c r="H1885" i="2"/>
  <c r="G1885" i="2"/>
  <c r="F1885" i="2"/>
  <c r="D1885" i="2"/>
  <c r="T1884" i="2"/>
  <c r="K1884" i="2"/>
  <c r="H1884" i="2"/>
  <c r="G1884" i="2"/>
  <c r="F1884" i="2"/>
  <c r="D1884" i="2"/>
  <c r="T1883" i="2"/>
  <c r="K1883" i="2"/>
  <c r="H1883" i="2"/>
  <c r="G1883" i="2"/>
  <c r="F1883" i="2"/>
  <c r="D1883" i="2"/>
  <c r="T1882" i="2"/>
  <c r="K1882" i="2"/>
  <c r="H1882" i="2"/>
  <c r="G1882" i="2"/>
  <c r="F1882" i="2"/>
  <c r="D1882" i="2"/>
  <c r="T1881" i="2"/>
  <c r="K1881" i="2"/>
  <c r="G1881" i="2"/>
  <c r="F1881" i="2"/>
  <c r="T1880" i="2"/>
  <c r="K1880" i="2"/>
  <c r="H1880" i="2"/>
  <c r="G1880" i="2"/>
  <c r="F1880" i="2"/>
  <c r="T1879" i="2"/>
  <c r="K1879" i="2"/>
  <c r="H1879" i="2"/>
  <c r="G1879" i="2"/>
  <c r="F1879" i="2"/>
  <c r="T1878" i="2"/>
  <c r="K1878" i="2"/>
  <c r="H1878" i="2"/>
  <c r="G1878" i="2"/>
  <c r="F1878" i="2"/>
  <c r="T1877" i="2"/>
  <c r="P1877" i="2"/>
  <c r="K1877" i="2"/>
  <c r="I1877" i="2"/>
  <c r="G1877" i="2"/>
  <c r="F1877" i="2"/>
  <c r="C1877" i="2"/>
  <c r="T1876" i="2"/>
  <c r="K1876" i="2"/>
  <c r="H1876" i="2"/>
  <c r="G1876" i="2"/>
  <c r="F1876" i="2"/>
  <c r="T1875" i="2"/>
  <c r="K1875" i="2"/>
  <c r="H1875" i="2"/>
  <c r="G1875" i="2"/>
  <c r="F1875" i="2"/>
  <c r="D1875" i="2"/>
  <c r="T1874" i="2"/>
  <c r="K1874" i="2"/>
  <c r="H1874" i="2"/>
  <c r="G1874" i="2"/>
  <c r="F1874" i="2"/>
  <c r="E1874" i="2"/>
  <c r="D1874" i="2"/>
  <c r="T1873" i="2"/>
  <c r="K1873" i="2"/>
  <c r="G1873" i="2"/>
  <c r="F1873" i="2"/>
  <c r="E1873" i="2"/>
  <c r="D1873" i="2"/>
  <c r="H1873" i="2" s="1"/>
  <c r="P1873" i="2" s="1"/>
  <c r="C1873" i="2" s="1"/>
  <c r="T1872" i="2"/>
  <c r="K1872" i="2"/>
  <c r="D1872" i="2" s="1"/>
  <c r="H1872" i="2" s="1"/>
  <c r="G1872" i="2"/>
  <c r="F1872" i="2"/>
  <c r="E1872" i="2"/>
  <c r="T1871" i="2"/>
  <c r="K1871" i="2"/>
  <c r="D1871" i="2" s="1"/>
  <c r="H1871" i="2"/>
  <c r="P1871" i="2" s="1"/>
  <c r="C1871" i="2" s="1"/>
  <c r="G1871" i="2"/>
  <c r="F1871" i="2"/>
  <c r="E1871" i="2"/>
  <c r="T1870" i="2"/>
  <c r="K1870" i="2"/>
  <c r="D1870" i="2" s="1"/>
  <c r="H1870" i="2"/>
  <c r="G1870" i="2"/>
  <c r="F1870" i="2"/>
  <c r="E1870" i="2"/>
  <c r="T1869" i="2"/>
  <c r="K1869" i="2"/>
  <c r="D1869" i="2" s="1"/>
  <c r="H1869" i="2"/>
  <c r="G1869" i="2"/>
  <c r="F1869" i="2"/>
  <c r="E1869" i="2"/>
  <c r="T1868" i="2"/>
  <c r="K1868" i="2"/>
  <c r="D1868" i="2" s="1"/>
  <c r="G1868" i="2"/>
  <c r="F1868" i="2"/>
  <c r="E1868" i="2"/>
  <c r="T1867" i="2"/>
  <c r="K1867" i="2"/>
  <c r="H1867" i="2" s="1"/>
  <c r="G1867" i="2"/>
  <c r="F1867" i="2"/>
  <c r="E1867" i="2"/>
  <c r="T1866" i="2"/>
  <c r="K1866" i="2"/>
  <c r="H1866" i="2"/>
  <c r="G1866" i="2"/>
  <c r="F1866" i="2"/>
  <c r="E1866" i="2"/>
  <c r="D1866" i="2"/>
  <c r="T1865" i="2"/>
  <c r="K1865" i="2"/>
  <c r="H1865" i="2" s="1"/>
  <c r="G1865" i="2"/>
  <c r="F1865" i="2"/>
  <c r="E1865" i="2"/>
  <c r="T1864" i="2"/>
  <c r="K1864" i="2"/>
  <c r="H1864" i="2" s="1"/>
  <c r="G1864" i="2"/>
  <c r="F1864" i="2"/>
  <c r="E1864" i="2"/>
  <c r="D1864" i="2"/>
  <c r="T1863" i="2"/>
  <c r="K1863" i="2"/>
  <c r="D1863" i="2" s="1"/>
  <c r="H1863" i="2"/>
  <c r="G1863" i="2"/>
  <c r="F1863" i="2"/>
  <c r="E1863" i="2"/>
  <c r="T1862" i="2"/>
  <c r="K1862" i="2"/>
  <c r="H1862" i="2"/>
  <c r="G1862" i="2"/>
  <c r="F1862" i="2"/>
  <c r="E1862" i="2"/>
  <c r="D1862" i="2"/>
  <c r="T1861" i="2"/>
  <c r="K1861" i="2"/>
  <c r="H1861" i="2" s="1"/>
  <c r="G1861" i="2"/>
  <c r="F1861" i="2"/>
  <c r="T1860" i="2"/>
  <c r="K1860" i="2"/>
  <c r="H1860" i="2" s="1"/>
  <c r="G1860" i="2"/>
  <c r="F1860" i="2"/>
  <c r="T1859" i="2"/>
  <c r="K1859" i="2"/>
  <c r="H1859" i="2" s="1"/>
  <c r="G1859" i="2"/>
  <c r="F1859" i="2"/>
  <c r="D1859" i="2"/>
  <c r="T1858" i="2"/>
  <c r="K1858" i="2"/>
  <c r="H1858" i="2" s="1"/>
  <c r="G1858" i="2"/>
  <c r="F1858" i="2"/>
  <c r="T1857" i="2"/>
  <c r="K1857" i="2"/>
  <c r="H1857" i="2" s="1"/>
  <c r="G1857" i="2"/>
  <c r="F1857" i="2"/>
  <c r="D1857" i="2"/>
  <c r="T1856" i="2"/>
  <c r="K1856" i="2"/>
  <c r="H1856" i="2" s="1"/>
  <c r="G1856" i="2"/>
  <c r="F1856" i="2"/>
  <c r="T1855" i="2"/>
  <c r="K1855" i="2"/>
  <c r="G1855" i="2"/>
  <c r="F1855" i="2"/>
  <c r="T1854" i="2"/>
  <c r="K1854" i="2"/>
  <c r="H1854" i="2" s="1"/>
  <c r="G1854" i="2"/>
  <c r="F1854" i="2"/>
  <c r="D1854" i="2"/>
  <c r="T1853" i="2"/>
  <c r="K1853" i="2"/>
  <c r="H1853" i="2" s="1"/>
  <c r="G1853" i="2"/>
  <c r="F1853" i="2"/>
  <c r="T1852" i="2"/>
  <c r="K1852" i="2"/>
  <c r="G1852" i="2"/>
  <c r="F1852" i="2"/>
  <c r="T1851" i="2"/>
  <c r="K1851" i="2"/>
  <c r="H1851" i="2" s="1"/>
  <c r="G1851" i="2"/>
  <c r="F1851" i="2"/>
  <c r="T1850" i="2"/>
  <c r="K1850" i="2"/>
  <c r="H1850" i="2"/>
  <c r="G1850" i="2"/>
  <c r="F1850" i="2"/>
  <c r="D1850" i="2"/>
  <c r="T1849" i="2"/>
  <c r="P1849" i="2" s="1"/>
  <c r="K1849" i="2"/>
  <c r="G1849" i="2"/>
  <c r="F1849" i="2"/>
  <c r="D1849" i="2"/>
  <c r="H1849" i="2" s="1"/>
  <c r="T1848" i="2"/>
  <c r="K1848" i="2"/>
  <c r="H1848" i="2"/>
  <c r="G1848" i="2"/>
  <c r="F1848" i="2"/>
  <c r="D1848" i="2"/>
  <c r="T1847" i="2"/>
  <c r="K1847" i="2"/>
  <c r="H1847" i="2" s="1"/>
  <c r="G1847" i="2"/>
  <c r="F1847" i="2"/>
  <c r="T1846" i="2"/>
  <c r="K1846" i="2"/>
  <c r="G1846" i="2"/>
  <c r="F1846" i="2"/>
  <c r="T1845" i="2"/>
  <c r="K1845" i="2"/>
  <c r="D1845" i="2" s="1"/>
  <c r="H1845" i="2"/>
  <c r="G1845" i="2"/>
  <c r="F1845" i="2"/>
  <c r="T1844" i="2"/>
  <c r="K1844" i="2"/>
  <c r="D1844" i="2" s="1"/>
  <c r="H1844" i="2"/>
  <c r="G1844" i="2"/>
  <c r="F1844" i="2"/>
  <c r="T1843" i="2"/>
  <c r="K1843" i="2"/>
  <c r="G1843" i="2"/>
  <c r="F1843" i="2"/>
  <c r="T1842" i="2"/>
  <c r="K1842" i="2"/>
  <c r="H1842" i="2"/>
  <c r="G1842" i="2"/>
  <c r="F1842" i="2"/>
  <c r="D1842" i="2"/>
  <c r="T1841" i="2"/>
  <c r="K1841" i="2"/>
  <c r="H1841" i="2"/>
  <c r="G1841" i="2"/>
  <c r="F1841" i="2"/>
  <c r="D1841" i="2"/>
  <c r="T1840" i="2"/>
  <c r="K1840" i="2"/>
  <c r="H1840" i="2"/>
  <c r="G1840" i="2"/>
  <c r="F1840" i="2"/>
  <c r="D1840" i="2"/>
  <c r="T1839" i="2"/>
  <c r="K1839" i="2"/>
  <c r="H1839" i="2" s="1"/>
  <c r="G1839" i="2"/>
  <c r="F1839" i="2"/>
  <c r="T1838" i="2"/>
  <c r="K1838" i="2"/>
  <c r="D1838" i="2" s="1"/>
  <c r="H1838" i="2"/>
  <c r="G1838" i="2"/>
  <c r="F1838" i="2"/>
  <c r="T1837" i="2"/>
  <c r="K1837" i="2"/>
  <c r="D1837" i="2" s="1"/>
  <c r="H1837" i="2"/>
  <c r="G1837" i="2"/>
  <c r="F1837" i="2"/>
  <c r="T1836" i="2"/>
  <c r="K1836" i="2"/>
  <c r="D1836" i="2" s="1"/>
  <c r="H1836" i="2"/>
  <c r="G1836" i="2"/>
  <c r="F1836" i="2"/>
  <c r="T1835" i="2"/>
  <c r="K1835" i="2"/>
  <c r="H1835" i="2" s="1"/>
  <c r="G1835" i="2"/>
  <c r="F1835" i="2"/>
  <c r="D1835" i="2"/>
  <c r="T1834" i="2"/>
  <c r="K1834" i="2"/>
  <c r="H1834" i="2"/>
  <c r="G1834" i="2"/>
  <c r="F1834" i="2"/>
  <c r="D1834" i="2"/>
  <c r="T1833" i="2"/>
  <c r="K1833" i="2"/>
  <c r="H1833" i="2"/>
  <c r="G1833" i="2"/>
  <c r="F1833" i="2"/>
  <c r="D1833" i="2"/>
  <c r="T1832" i="2"/>
  <c r="K1832" i="2"/>
  <c r="H1832" i="2"/>
  <c r="G1832" i="2"/>
  <c r="F1832" i="2"/>
  <c r="D1832" i="2"/>
  <c r="D1926" i="2" s="1"/>
  <c r="H1926" i="2" s="1"/>
  <c r="T1831" i="2"/>
  <c r="O1831" i="2"/>
  <c r="N1831" i="2"/>
  <c r="M1831" i="2"/>
  <c r="L1831" i="2"/>
  <c r="J1831" i="2"/>
  <c r="T1830" i="2"/>
  <c r="P1830" i="2"/>
  <c r="G1830" i="2"/>
  <c r="F1830" i="2"/>
  <c r="D1830" i="2"/>
  <c r="C1830" i="2"/>
  <c r="T1829" i="2"/>
  <c r="P1829" i="2"/>
  <c r="C1829" i="2" s="1"/>
  <c r="G1829" i="2"/>
  <c r="F1829" i="2"/>
  <c r="D1829" i="2"/>
  <c r="T1828" i="2"/>
  <c r="K1828" i="2"/>
  <c r="H1828" i="2" s="1"/>
  <c r="P1828" i="2" s="1"/>
  <c r="C1828" i="2" s="1"/>
  <c r="T1827" i="2"/>
  <c r="K1827" i="2"/>
  <c r="H1827" i="2"/>
  <c r="P1827" i="2" s="1"/>
  <c r="C1827" i="2" s="1"/>
  <c r="F1827" i="2"/>
  <c r="T1826" i="2"/>
  <c r="K1826" i="2"/>
  <c r="H1826" i="2"/>
  <c r="P1826" i="2" s="1"/>
  <c r="F1826" i="2"/>
  <c r="C1826" i="2"/>
  <c r="T1825" i="2"/>
  <c r="P1825" i="2"/>
  <c r="C1825" i="2" s="1"/>
  <c r="K1825" i="2"/>
  <c r="G1825" i="2"/>
  <c r="F1825" i="2"/>
  <c r="D1825" i="2"/>
  <c r="H1825" i="2" s="1"/>
  <c r="T1824" i="2"/>
  <c r="K1824" i="2"/>
  <c r="G1824" i="2"/>
  <c r="F1824" i="2"/>
  <c r="D1824" i="2"/>
  <c r="H1824" i="2" s="1"/>
  <c r="P1824" i="2" s="1"/>
  <c r="C1824" i="2" s="1"/>
  <c r="T1823" i="2"/>
  <c r="K1823" i="2"/>
  <c r="G1823" i="2"/>
  <c r="F1823" i="2"/>
  <c r="D1823" i="2"/>
  <c r="H1823" i="2" s="1"/>
  <c r="P1823" i="2" s="1"/>
  <c r="C1823" i="2"/>
  <c r="T1822" i="2"/>
  <c r="K1822" i="2"/>
  <c r="G1822" i="2"/>
  <c r="F1822" i="2"/>
  <c r="D1822" i="2"/>
  <c r="H1822" i="2" s="1"/>
  <c r="P1822" i="2" s="1"/>
  <c r="C1822" i="2"/>
  <c r="T1821" i="2"/>
  <c r="K1821" i="2"/>
  <c r="H1821" i="2" s="1"/>
  <c r="P1821" i="2" s="1"/>
  <c r="C1821" i="2" s="1"/>
  <c r="T1820" i="2"/>
  <c r="K1820" i="2"/>
  <c r="G1820" i="2"/>
  <c r="F1820" i="2"/>
  <c r="T1819" i="2"/>
  <c r="G1819" i="2"/>
  <c r="F1819" i="2"/>
  <c r="T1818" i="2"/>
  <c r="K1818" i="2"/>
  <c r="H1818" i="2"/>
  <c r="C1818" i="2" s="1"/>
  <c r="G1818" i="2"/>
  <c r="F1818" i="2"/>
  <c r="D1818" i="2"/>
  <c r="T1817" i="2"/>
  <c r="G1817" i="2"/>
  <c r="F1817" i="2"/>
  <c r="T1816" i="2"/>
  <c r="R1816" i="2"/>
  <c r="Q1816" i="2"/>
  <c r="O1816" i="2"/>
  <c r="N1816" i="2"/>
  <c r="M1816" i="2"/>
  <c r="L1816" i="2"/>
  <c r="J1816" i="2"/>
  <c r="I1816" i="2"/>
  <c r="G1816" i="2"/>
  <c r="F1816" i="2"/>
  <c r="T1815" i="2"/>
  <c r="R1815" i="2"/>
  <c r="Q1815" i="2"/>
  <c r="O1815" i="2"/>
  <c r="N1815" i="2"/>
  <c r="M1815" i="2"/>
  <c r="L1815" i="2"/>
  <c r="J1815" i="2"/>
  <c r="I1815" i="2"/>
  <c r="G1815" i="2"/>
  <c r="F1815" i="2"/>
  <c r="T1814" i="2"/>
  <c r="K1814" i="2"/>
  <c r="K1815" i="2" s="1"/>
  <c r="T1813" i="2"/>
  <c r="G1813" i="2"/>
  <c r="F1813" i="2"/>
  <c r="D1813" i="2"/>
  <c r="T1812" i="2"/>
  <c r="K1812" i="2"/>
  <c r="H1812" i="2"/>
  <c r="P1812" i="2" s="1"/>
  <c r="C1812" i="2" s="1"/>
  <c r="G1812" i="2"/>
  <c r="F1812" i="2"/>
  <c r="T1811" i="2"/>
  <c r="K1811" i="2"/>
  <c r="H1811" i="2" s="1"/>
  <c r="P1811" i="2" s="1"/>
  <c r="C1811" i="2" s="1"/>
  <c r="T1810" i="2"/>
  <c r="P1810" i="2"/>
  <c r="C1810" i="2" s="1"/>
  <c r="K1810" i="2"/>
  <c r="G1810" i="2"/>
  <c r="F1810" i="2"/>
  <c r="D1810" i="2"/>
  <c r="H1810" i="2" s="1"/>
  <c r="T1809" i="2"/>
  <c r="P1809" i="2"/>
  <c r="C1809" i="2" s="1"/>
  <c r="K1809" i="2"/>
  <c r="G1809" i="2"/>
  <c r="F1809" i="2"/>
  <c r="D1809" i="2"/>
  <c r="H1809" i="2" s="1"/>
  <c r="T1808" i="2"/>
  <c r="K1808" i="2"/>
  <c r="G1808" i="2"/>
  <c r="F1808" i="2"/>
  <c r="D1808" i="2"/>
  <c r="H1808" i="2" s="1"/>
  <c r="P1808" i="2" s="1"/>
  <c r="C1808" i="2"/>
  <c r="T1807" i="2"/>
  <c r="K1807" i="2"/>
  <c r="G1807" i="2"/>
  <c r="F1807" i="2"/>
  <c r="D1807" i="2"/>
  <c r="H1807" i="2" s="1"/>
  <c r="P1807" i="2" s="1"/>
  <c r="C1807" i="2"/>
  <c r="T1806" i="2"/>
  <c r="K1806" i="2"/>
  <c r="G1806" i="2"/>
  <c r="F1806" i="2"/>
  <c r="D1806" i="2"/>
  <c r="H1806" i="2" s="1"/>
  <c r="P1806" i="2" s="1"/>
  <c r="C1806" i="2" s="1"/>
  <c r="T1805" i="2"/>
  <c r="P1805" i="2"/>
  <c r="C1805" i="2" s="1"/>
  <c r="K1805" i="2"/>
  <c r="H1805" i="2" s="1"/>
  <c r="T1804" i="2"/>
  <c r="K1804" i="2"/>
  <c r="H1804" i="2"/>
  <c r="P1804" i="2" s="1"/>
  <c r="C1804" i="2" s="1"/>
  <c r="G1804" i="2"/>
  <c r="F1804" i="2"/>
  <c r="T1803" i="2"/>
  <c r="G1803" i="2"/>
  <c r="F1803" i="2"/>
  <c r="D1803" i="2"/>
  <c r="K1803" i="2" s="1"/>
  <c r="T1802" i="2"/>
  <c r="G1802" i="2"/>
  <c r="F1802" i="2"/>
  <c r="D1802" i="2"/>
  <c r="K1802" i="2" s="1"/>
  <c r="T1801" i="2"/>
  <c r="P1801" i="2"/>
  <c r="C1801" i="2" s="1"/>
  <c r="K1801" i="2"/>
  <c r="H1801" i="2" s="1"/>
  <c r="T1800" i="2"/>
  <c r="G1800" i="2"/>
  <c r="F1800" i="2"/>
  <c r="D1800" i="2"/>
  <c r="T1799" i="2"/>
  <c r="H1799" i="2"/>
  <c r="P1799" i="2" s="1"/>
  <c r="C1799" i="2" s="1"/>
  <c r="G1799" i="2"/>
  <c r="F1799" i="2"/>
  <c r="D1799" i="2"/>
  <c r="K1799" i="2" s="1"/>
  <c r="T1798" i="2"/>
  <c r="G1798" i="2"/>
  <c r="F1798" i="2"/>
  <c r="T1797" i="2"/>
  <c r="K1797" i="2"/>
  <c r="H1797" i="2"/>
  <c r="P1797" i="2" s="1"/>
  <c r="C1797" i="2" s="1"/>
  <c r="D1797" i="2"/>
  <c r="T1796" i="2"/>
  <c r="O1796" i="2"/>
  <c r="N1796" i="2"/>
  <c r="M1796" i="2"/>
  <c r="H1796" i="2"/>
  <c r="L1796" i="2" s="1"/>
  <c r="G1796" i="2"/>
  <c r="F1796" i="2"/>
  <c r="T1795" i="2"/>
  <c r="O1795" i="2"/>
  <c r="N1795" i="2"/>
  <c r="M1795" i="2"/>
  <c r="G1795" i="2"/>
  <c r="F1795" i="2"/>
  <c r="T1794" i="2"/>
  <c r="K1794" i="2"/>
  <c r="H1794" i="2" s="1"/>
  <c r="D1794" i="2"/>
  <c r="T1793" i="2"/>
  <c r="G1793" i="2"/>
  <c r="F1793" i="2"/>
  <c r="D1793" i="2"/>
  <c r="K1793" i="2" s="1"/>
  <c r="T1792" i="2"/>
  <c r="G1792" i="2"/>
  <c r="F1792" i="2"/>
  <c r="D1792" i="2"/>
  <c r="T1791" i="2"/>
  <c r="P1791" i="2"/>
  <c r="C1791" i="2" s="1"/>
  <c r="H1791" i="2"/>
  <c r="G1791" i="2"/>
  <c r="F1791" i="2"/>
  <c r="D1791" i="2"/>
  <c r="K1791" i="2" s="1"/>
  <c r="T1790" i="2"/>
  <c r="K1790" i="2"/>
  <c r="H1790" i="2"/>
  <c r="P1790" i="2" s="1"/>
  <c r="C1790" i="2" s="1"/>
  <c r="T1789" i="2"/>
  <c r="G1789" i="2"/>
  <c r="F1789" i="2"/>
  <c r="D1789" i="2"/>
  <c r="H1789" i="2" s="1"/>
  <c r="P1789" i="2" s="1"/>
  <c r="C1789" i="2" s="1"/>
  <c r="T1788" i="2"/>
  <c r="K1788" i="2"/>
  <c r="G1788" i="2"/>
  <c r="F1788" i="2"/>
  <c r="D1788" i="2"/>
  <c r="H1788" i="2" s="1"/>
  <c r="P1788" i="2" s="1"/>
  <c r="C1788" i="2" s="1"/>
  <c r="T1787" i="2"/>
  <c r="G1787" i="2"/>
  <c r="F1787" i="2"/>
  <c r="D1787" i="2"/>
  <c r="H1787" i="2" s="1"/>
  <c r="P1787" i="2" s="1"/>
  <c r="C1787" i="2" s="1"/>
  <c r="T1786" i="2"/>
  <c r="K1786" i="2"/>
  <c r="H1786" i="2" s="1"/>
  <c r="P1786" i="2" s="1"/>
  <c r="C1786" i="2" s="1"/>
  <c r="T1785" i="2"/>
  <c r="P1785" i="2"/>
  <c r="C1785" i="2" s="1"/>
  <c r="K1785" i="2"/>
  <c r="H1785" i="2"/>
  <c r="G1785" i="2"/>
  <c r="F1785" i="2"/>
  <c r="T1784" i="2"/>
  <c r="H1784" i="2"/>
  <c r="P1784" i="2" s="1"/>
  <c r="C1784" i="2" s="1"/>
  <c r="G1784" i="2"/>
  <c r="F1784" i="2"/>
  <c r="T1783" i="2"/>
  <c r="G1783" i="2"/>
  <c r="F1783" i="2"/>
  <c r="T1782" i="2"/>
  <c r="K1782" i="2"/>
  <c r="H1782" i="2"/>
  <c r="D1782" i="2"/>
  <c r="T1781" i="2"/>
  <c r="P1781" i="2"/>
  <c r="C1781" i="2" s="1"/>
  <c r="K1781" i="2"/>
  <c r="G1781" i="2"/>
  <c r="F1781" i="2"/>
  <c r="D1781" i="2"/>
  <c r="H1781" i="2" s="1"/>
  <c r="T1780" i="2"/>
  <c r="K1780" i="2"/>
  <c r="H1780" i="2"/>
  <c r="P1780" i="2" s="1"/>
  <c r="C1780" i="2" s="1"/>
  <c r="G1780" i="2"/>
  <c r="F1780" i="2"/>
  <c r="D1780" i="2"/>
  <c r="T1779" i="2"/>
  <c r="K1779" i="2"/>
  <c r="H1779" i="2"/>
  <c r="P1779" i="2" s="1"/>
  <c r="C1779" i="2" s="1"/>
  <c r="G1779" i="2"/>
  <c r="F1779" i="2"/>
  <c r="D1779" i="2"/>
  <c r="T1778" i="2"/>
  <c r="P1778" i="2"/>
  <c r="C1778" i="2" s="1"/>
  <c r="K1778" i="2"/>
  <c r="H1778" i="2"/>
  <c r="T1777" i="2"/>
  <c r="G1777" i="2"/>
  <c r="F1777" i="2"/>
  <c r="D1777" i="2"/>
  <c r="K1777" i="2" s="1"/>
  <c r="T1776" i="2"/>
  <c r="G1776" i="2"/>
  <c r="F1776" i="2"/>
  <c r="D1776" i="2"/>
  <c r="T1775" i="2"/>
  <c r="P1775" i="2"/>
  <c r="C1775" i="2" s="1"/>
  <c r="K1775" i="2"/>
  <c r="H1775" i="2"/>
  <c r="T1774" i="2"/>
  <c r="P1774" i="2"/>
  <c r="C1774" i="2" s="1"/>
  <c r="K1774" i="2"/>
  <c r="H1774" i="2"/>
  <c r="G1774" i="2"/>
  <c r="F1774" i="2"/>
  <c r="D1774" i="2"/>
  <c r="T1773" i="2"/>
  <c r="K1773" i="2"/>
  <c r="G1773" i="2"/>
  <c r="F1773" i="2"/>
  <c r="D1773" i="2"/>
  <c r="T1772" i="2"/>
  <c r="R1772" i="2"/>
  <c r="Q1772" i="2" s="1"/>
  <c r="P1772" i="2" s="1"/>
  <c r="O1772" i="2"/>
  <c r="N1772" i="2" s="1"/>
  <c r="M1772" i="2" s="1"/>
  <c r="L1772" i="2" s="1"/>
  <c r="K1772" i="2" s="1"/>
  <c r="J1772" i="2" s="1"/>
  <c r="I1772" i="2" s="1"/>
  <c r="H1772" i="2" s="1"/>
  <c r="T1771" i="2"/>
  <c r="K1771" i="2"/>
  <c r="G1771" i="2"/>
  <c r="F1771" i="2"/>
  <c r="T1770" i="2"/>
  <c r="K1770" i="2"/>
  <c r="G1770" i="2"/>
  <c r="F1770" i="2"/>
  <c r="T1769" i="2"/>
  <c r="K1769" i="2"/>
  <c r="H1769" i="2"/>
  <c r="H1770" i="2" s="1"/>
  <c r="D1769" i="2"/>
  <c r="T1768" i="2"/>
  <c r="G1768" i="2"/>
  <c r="F1768" i="2"/>
  <c r="D1768" i="2"/>
  <c r="H1768" i="2" s="1"/>
  <c r="P1768" i="2" s="1"/>
  <c r="C1768" i="2" s="1"/>
  <c r="T1767" i="2"/>
  <c r="K1767" i="2"/>
  <c r="G1767" i="2"/>
  <c r="F1767" i="2"/>
  <c r="D1767" i="2"/>
  <c r="H1767" i="2" s="1"/>
  <c r="P1767" i="2" s="1"/>
  <c r="C1767" i="2" s="1"/>
  <c r="T1766" i="2"/>
  <c r="F1766" i="2"/>
  <c r="D1766" i="2"/>
  <c r="T1765" i="2"/>
  <c r="K1765" i="2"/>
  <c r="H1765" i="2"/>
  <c r="P1765" i="2" s="1"/>
  <c r="F1765" i="2"/>
  <c r="D1765" i="2"/>
  <c r="C1765" i="2"/>
  <c r="T1764" i="2"/>
  <c r="K1764" i="2"/>
  <c r="H1764" i="2"/>
  <c r="P1764" i="2" s="1"/>
  <c r="C1764" i="2" s="1"/>
  <c r="G1764" i="2"/>
  <c r="F1764" i="2"/>
  <c r="D1764" i="2"/>
  <c r="T1763" i="2"/>
  <c r="K1763" i="2"/>
  <c r="H1763" i="2"/>
  <c r="P1763" i="2" s="1"/>
  <c r="C1763" i="2" s="1"/>
  <c r="G1763" i="2"/>
  <c r="F1763" i="2"/>
  <c r="D1763" i="2"/>
  <c r="T1762" i="2"/>
  <c r="K1762" i="2"/>
  <c r="H1762" i="2"/>
  <c r="P1762" i="2" s="1"/>
  <c r="C1762" i="2" s="1"/>
  <c r="G1762" i="2"/>
  <c r="F1762" i="2"/>
  <c r="D1762" i="2"/>
  <c r="T1761" i="2"/>
  <c r="K1761" i="2"/>
  <c r="H1761" i="2"/>
  <c r="P1761" i="2" s="1"/>
  <c r="G1761" i="2"/>
  <c r="F1761" i="2"/>
  <c r="D1761" i="2"/>
  <c r="C1761" i="2"/>
  <c r="T1760" i="2"/>
  <c r="K1760" i="2"/>
  <c r="H1760" i="2"/>
  <c r="P1760" i="2" s="1"/>
  <c r="G1760" i="2"/>
  <c r="F1760" i="2"/>
  <c r="D1760" i="2"/>
  <c r="C1760" i="2"/>
  <c r="T1759" i="2"/>
  <c r="K1759" i="2"/>
  <c r="H1759" i="2"/>
  <c r="P1759" i="2" s="1"/>
  <c r="G1759" i="2"/>
  <c r="F1759" i="2"/>
  <c r="D1759" i="2"/>
  <c r="C1759" i="2"/>
  <c r="T1758" i="2"/>
  <c r="K1758" i="2"/>
  <c r="H1758" i="2"/>
  <c r="P1758" i="2" s="1"/>
  <c r="G1758" i="2"/>
  <c r="F1758" i="2"/>
  <c r="D1758" i="2"/>
  <c r="C1758" i="2"/>
  <c r="T1757" i="2"/>
  <c r="H1757" i="2"/>
  <c r="P1757" i="2" s="1"/>
  <c r="C1757" i="2" s="1"/>
  <c r="G1757" i="2"/>
  <c r="F1757" i="2"/>
  <c r="E1757" i="2"/>
  <c r="D1910" i="2" s="1"/>
  <c r="H1910" i="2" s="1"/>
  <c r="P1910" i="2" s="1"/>
  <c r="C1910" i="2" s="1"/>
  <c r="D1757" i="2"/>
  <c r="K1757" i="2" s="1"/>
  <c r="T1756" i="2"/>
  <c r="K1756" i="2"/>
  <c r="H1756" i="2"/>
  <c r="P1756" i="2" s="1"/>
  <c r="C1756" i="2" s="1"/>
  <c r="G1756" i="2"/>
  <c r="F1756" i="2"/>
  <c r="E1756" i="2"/>
  <c r="T1755" i="2"/>
  <c r="H1755" i="2"/>
  <c r="P1755" i="2" s="1"/>
  <c r="C1755" i="2" s="1"/>
  <c r="G1755" i="2"/>
  <c r="F1755" i="2"/>
  <c r="D1755" i="2"/>
  <c r="K1755" i="2" s="1"/>
  <c r="T1754" i="2"/>
  <c r="G1754" i="2"/>
  <c r="F1754" i="2"/>
  <c r="D1754" i="2"/>
  <c r="K1754" i="2" s="1"/>
  <c r="T1753" i="2"/>
  <c r="G1753" i="2"/>
  <c r="F1753" i="2"/>
  <c r="D1753" i="2"/>
  <c r="K1753" i="2" s="1"/>
  <c r="T1752" i="2"/>
  <c r="H1752" i="2"/>
  <c r="P1752" i="2" s="1"/>
  <c r="C1752" i="2" s="1"/>
  <c r="G1752" i="2"/>
  <c r="F1752" i="2"/>
  <c r="D1752" i="2"/>
  <c r="K1752" i="2" s="1"/>
  <c r="T1751" i="2"/>
  <c r="H1751" i="2"/>
  <c r="P1751" i="2" s="1"/>
  <c r="C1751" i="2" s="1"/>
  <c r="G1751" i="2"/>
  <c r="F1751" i="2"/>
  <c r="D1751" i="2"/>
  <c r="K1751" i="2" s="1"/>
  <c r="T1750" i="2"/>
  <c r="G1750" i="2"/>
  <c r="F1750" i="2"/>
  <c r="D1750" i="2"/>
  <c r="H1750" i="2" s="1"/>
  <c r="P1750" i="2" s="1"/>
  <c r="C1750" i="2" s="1"/>
  <c r="T1749" i="2"/>
  <c r="L1749" i="2"/>
  <c r="T1748" i="2"/>
  <c r="P1748" i="2"/>
  <c r="G1748" i="2"/>
  <c r="F1748" i="2"/>
  <c r="E1748" i="2"/>
  <c r="C1748" i="2"/>
  <c r="T1747" i="2"/>
  <c r="P1747" i="2"/>
  <c r="C1747" i="2" s="1"/>
  <c r="G1747" i="2"/>
  <c r="F1747" i="2"/>
  <c r="E1747" i="2"/>
  <c r="T1746" i="2"/>
  <c r="P1746" i="2"/>
  <c r="C1746" i="2" s="1"/>
  <c r="G1746" i="2"/>
  <c r="F1746" i="2"/>
  <c r="E1746" i="2"/>
  <c r="T1745" i="2"/>
  <c r="P1745" i="2"/>
  <c r="G1745" i="2"/>
  <c r="F1745" i="2"/>
  <c r="E1745" i="2"/>
  <c r="D1745" i="2"/>
  <c r="C1745" i="2"/>
  <c r="T1744" i="2"/>
  <c r="P1744" i="2"/>
  <c r="G1744" i="2"/>
  <c r="F1744" i="2"/>
  <c r="E1744" i="2"/>
  <c r="D1744" i="2"/>
  <c r="C1744" i="2"/>
  <c r="T1743" i="2"/>
  <c r="P1743" i="2"/>
  <c r="G1743" i="2"/>
  <c r="F1743" i="2"/>
  <c r="E1743" i="2"/>
  <c r="D1743" i="2"/>
  <c r="C1743" i="2"/>
  <c r="T1742" i="2"/>
  <c r="P1742" i="2"/>
  <c r="C1742" i="2" s="1"/>
  <c r="G1742" i="2"/>
  <c r="F1742" i="2"/>
  <c r="E1742" i="2"/>
  <c r="D1742" i="2"/>
  <c r="T1741" i="2"/>
  <c r="P1741" i="2"/>
  <c r="C1741" i="2" s="1"/>
  <c r="G1741" i="2"/>
  <c r="F1741" i="2"/>
  <c r="E1741" i="2"/>
  <c r="T1740" i="2"/>
  <c r="P1740" i="2"/>
  <c r="G1740" i="2"/>
  <c r="F1740" i="2"/>
  <c r="E1740" i="2"/>
  <c r="C1740" i="2"/>
  <c r="T1739" i="2"/>
  <c r="P1739" i="2"/>
  <c r="C1739" i="2" s="1"/>
  <c r="G1739" i="2"/>
  <c r="F1739" i="2"/>
  <c r="E1739" i="2"/>
  <c r="T1738" i="2"/>
  <c r="P1738" i="2"/>
  <c r="C1738" i="2" s="1"/>
  <c r="G1738" i="2"/>
  <c r="F1738" i="2"/>
  <c r="E1738" i="2"/>
  <c r="D1738" i="2"/>
  <c r="D1739" i="2" s="1"/>
  <c r="T1737" i="2"/>
  <c r="P1737" i="2"/>
  <c r="G1737" i="2"/>
  <c r="F1737" i="2"/>
  <c r="E1737" i="2"/>
  <c r="C1737" i="2"/>
  <c r="T1736" i="2"/>
  <c r="P1736" i="2"/>
  <c r="G1736" i="2"/>
  <c r="F1736" i="2"/>
  <c r="E1736" i="2"/>
  <c r="C1736" i="2"/>
  <c r="T1735" i="2"/>
  <c r="P1735" i="2"/>
  <c r="G1735" i="2"/>
  <c r="F1735" i="2"/>
  <c r="E1735" i="2"/>
  <c r="C1735" i="2"/>
  <c r="T1734" i="2"/>
  <c r="P1734" i="2"/>
  <c r="C1734" i="2" s="1"/>
  <c r="G1734" i="2"/>
  <c r="F1734" i="2"/>
  <c r="E1734" i="2"/>
  <c r="D1734" i="2"/>
  <c r="T1733" i="2"/>
  <c r="P1733" i="2"/>
  <c r="C1733" i="2" s="1"/>
  <c r="G1733" i="2"/>
  <c r="F1733" i="2"/>
  <c r="E1733" i="2"/>
  <c r="T1732" i="2"/>
  <c r="P1732" i="2"/>
  <c r="G1732" i="2"/>
  <c r="F1732" i="2"/>
  <c r="E1732" i="2"/>
  <c r="C1732" i="2"/>
  <c r="T1731" i="2"/>
  <c r="P1731" i="2"/>
  <c r="C1731" i="2" s="1"/>
  <c r="G1731" i="2"/>
  <c r="F1731" i="2"/>
  <c r="E1731" i="2"/>
  <c r="T1730" i="2"/>
  <c r="P1730" i="2"/>
  <c r="C1730" i="2" s="1"/>
  <c r="G1730" i="2"/>
  <c r="F1730" i="2"/>
  <c r="E1730" i="2"/>
  <c r="D1730" i="2"/>
  <c r="T1729" i="2"/>
  <c r="P1729" i="2"/>
  <c r="G1729" i="2"/>
  <c r="F1729" i="2"/>
  <c r="E1729" i="2"/>
  <c r="C1729" i="2"/>
  <c r="T1728" i="2"/>
  <c r="P1728" i="2"/>
  <c r="G1728" i="2"/>
  <c r="F1728" i="2"/>
  <c r="E1728" i="2"/>
  <c r="C1728" i="2"/>
  <c r="T1727" i="2"/>
  <c r="P1727" i="2"/>
  <c r="G1727" i="2"/>
  <c r="F1727" i="2"/>
  <c r="E1727" i="2"/>
  <c r="C1727" i="2"/>
  <c r="T1726" i="2"/>
  <c r="P1726" i="2"/>
  <c r="C1726" i="2" s="1"/>
  <c r="G1726" i="2"/>
  <c r="F1726" i="2"/>
  <c r="E1726" i="2"/>
  <c r="T1725" i="2"/>
  <c r="P1725" i="2"/>
  <c r="C1725" i="2" s="1"/>
  <c r="G1725" i="2"/>
  <c r="F1725" i="2"/>
  <c r="E1725" i="2"/>
  <c r="T1724" i="2"/>
  <c r="P1724" i="2"/>
  <c r="G1724" i="2"/>
  <c r="F1724" i="2"/>
  <c r="E1724" i="2"/>
  <c r="C1724" i="2"/>
  <c r="T1723" i="2"/>
  <c r="P1723" i="2"/>
  <c r="C1723" i="2" s="1"/>
  <c r="G1723" i="2"/>
  <c r="F1723" i="2"/>
  <c r="E1723" i="2"/>
  <c r="T1722" i="2"/>
  <c r="G1722" i="2"/>
  <c r="F1722" i="2"/>
  <c r="T1721" i="2"/>
  <c r="G1721" i="2"/>
  <c r="F1721" i="2"/>
  <c r="T1720" i="2"/>
  <c r="G1720" i="2"/>
  <c r="F1720" i="2"/>
  <c r="D1720" i="2"/>
  <c r="H1720" i="2" s="1"/>
  <c r="P1720" i="2" s="1"/>
  <c r="C1720" i="2" s="1"/>
  <c r="T1719" i="2"/>
  <c r="G1719" i="2"/>
  <c r="F1719" i="2"/>
  <c r="T1718" i="2"/>
  <c r="G1718" i="2"/>
  <c r="F1718" i="2"/>
  <c r="T1717" i="2"/>
  <c r="G1717" i="2"/>
  <c r="F1717" i="2"/>
  <c r="D1717" i="2"/>
  <c r="T1716" i="2"/>
  <c r="G1716" i="2"/>
  <c r="F1716" i="2"/>
  <c r="T1715" i="2"/>
  <c r="G1715" i="2"/>
  <c r="F1715" i="2"/>
  <c r="D1715" i="2"/>
  <c r="H1715" i="2" s="1"/>
  <c r="P1715" i="2" s="1"/>
  <c r="C1715" i="2" s="1"/>
  <c r="T1714" i="2"/>
  <c r="G1714" i="2"/>
  <c r="F1714" i="2"/>
  <c r="T1713" i="2"/>
  <c r="G1713" i="2"/>
  <c r="F1713" i="2"/>
  <c r="T1712" i="2"/>
  <c r="G1712" i="2"/>
  <c r="F1712" i="2"/>
  <c r="D1712" i="2"/>
  <c r="H1712" i="2" s="1"/>
  <c r="P1712" i="2" s="1"/>
  <c r="C1712" i="2" s="1"/>
  <c r="T1711" i="2"/>
  <c r="I1711" i="2"/>
  <c r="G1711" i="2"/>
  <c r="F1711" i="2"/>
  <c r="D1711" i="2"/>
  <c r="H1711" i="2" s="1"/>
  <c r="P1711" i="2" s="1"/>
  <c r="C1711" i="2" s="1"/>
  <c r="T1710" i="2"/>
  <c r="P1710" i="2"/>
  <c r="C1710" i="2" s="1"/>
  <c r="I1710" i="2"/>
  <c r="H1710" i="2"/>
  <c r="G1710" i="2"/>
  <c r="F1710" i="2"/>
  <c r="E1710" i="2"/>
  <c r="D1710" i="2"/>
  <c r="T1709" i="2"/>
  <c r="P1709" i="2"/>
  <c r="C1709" i="2" s="1"/>
  <c r="I1709" i="2"/>
  <c r="H1709" i="2"/>
  <c r="G1709" i="2"/>
  <c r="F1709" i="2"/>
  <c r="E1709" i="2"/>
  <c r="D1709" i="2"/>
  <c r="T1708" i="2"/>
  <c r="G1708" i="2"/>
  <c r="F1708" i="2"/>
  <c r="E1708" i="2"/>
  <c r="T1707" i="2"/>
  <c r="I1707" i="2"/>
  <c r="H1707" i="2"/>
  <c r="P1707" i="2" s="1"/>
  <c r="C1707" i="2" s="1"/>
  <c r="G1707" i="2"/>
  <c r="F1707" i="2"/>
  <c r="E1707" i="2"/>
  <c r="D1707" i="2"/>
  <c r="T1706" i="2"/>
  <c r="P1706" i="2"/>
  <c r="C1706" i="2" s="1"/>
  <c r="I1706" i="2"/>
  <c r="H1706" i="2"/>
  <c r="G1706" i="2"/>
  <c r="F1706" i="2"/>
  <c r="E1706" i="2"/>
  <c r="T1705" i="2"/>
  <c r="P1705" i="2"/>
  <c r="C1705" i="2" s="1"/>
  <c r="I1705" i="2"/>
  <c r="H1705" i="2"/>
  <c r="G1705" i="2"/>
  <c r="F1705" i="2"/>
  <c r="E1705" i="2"/>
  <c r="D1705" i="2"/>
  <c r="T1704" i="2"/>
  <c r="G1704" i="2"/>
  <c r="F1704" i="2"/>
  <c r="E1704" i="2"/>
  <c r="D1704" i="2"/>
  <c r="T1703" i="2"/>
  <c r="G1703" i="2"/>
  <c r="F1703" i="2"/>
  <c r="E1703" i="2"/>
  <c r="D1703" i="2"/>
  <c r="H1703" i="2" s="1"/>
  <c r="P1703" i="2" s="1"/>
  <c r="C1703" i="2" s="1"/>
  <c r="T1702" i="2"/>
  <c r="I1702" i="2"/>
  <c r="H1702" i="2"/>
  <c r="P1702" i="2" s="1"/>
  <c r="G1702" i="2"/>
  <c r="F1702" i="2"/>
  <c r="E1702" i="2"/>
  <c r="C1702" i="2"/>
  <c r="T1701" i="2"/>
  <c r="G1701" i="2"/>
  <c r="F1701" i="2"/>
  <c r="D1701" i="2"/>
  <c r="T1700" i="2"/>
  <c r="I1700" i="2"/>
  <c r="G1700" i="2"/>
  <c r="F1700" i="2"/>
  <c r="D1700" i="2"/>
  <c r="H1700" i="2" s="1"/>
  <c r="P1700" i="2" s="1"/>
  <c r="C1700" i="2" s="1"/>
  <c r="T1699" i="2"/>
  <c r="I1699" i="2"/>
  <c r="H1699" i="2"/>
  <c r="P1699" i="2" s="1"/>
  <c r="C1699" i="2" s="1"/>
  <c r="G1699" i="2"/>
  <c r="F1699" i="2"/>
  <c r="D1699" i="2"/>
  <c r="T1698" i="2"/>
  <c r="I1698" i="2"/>
  <c r="H1698" i="2"/>
  <c r="P1698" i="2" s="1"/>
  <c r="C1698" i="2" s="1"/>
  <c r="G1698" i="2"/>
  <c r="F1698" i="2"/>
  <c r="T1697" i="2"/>
  <c r="G1697" i="2"/>
  <c r="F1697" i="2"/>
  <c r="D1697" i="2"/>
  <c r="I1697" i="2" s="1"/>
  <c r="T1696" i="2"/>
  <c r="G1696" i="2"/>
  <c r="F1696" i="2"/>
  <c r="D1696" i="2"/>
  <c r="T1695" i="2"/>
  <c r="H1695" i="2"/>
  <c r="P1695" i="2" s="1"/>
  <c r="C1695" i="2" s="1"/>
  <c r="G1695" i="2"/>
  <c r="F1695" i="2"/>
  <c r="D1695" i="2"/>
  <c r="I1695" i="2" s="1"/>
  <c r="T1694" i="2"/>
  <c r="I1694" i="2"/>
  <c r="H1694" i="2"/>
  <c r="P1694" i="2" s="1"/>
  <c r="C1694" i="2" s="1"/>
  <c r="G1694" i="2"/>
  <c r="F1694" i="2"/>
  <c r="T1693" i="2"/>
  <c r="P1693" i="2"/>
  <c r="C1693" i="2" s="1"/>
  <c r="I1693" i="2"/>
  <c r="H1693" i="2"/>
  <c r="G1693" i="2"/>
  <c r="F1693" i="2"/>
  <c r="T1692" i="2"/>
  <c r="P1692" i="2"/>
  <c r="I1692" i="2"/>
  <c r="H1692" i="2"/>
  <c r="G1692" i="2"/>
  <c r="F1692" i="2"/>
  <c r="C1692" i="2"/>
  <c r="T1691" i="2"/>
  <c r="I1691" i="2"/>
  <c r="H1691" i="2"/>
  <c r="P1691" i="2" s="1"/>
  <c r="C1691" i="2" s="1"/>
  <c r="G1691" i="2"/>
  <c r="F1691" i="2"/>
  <c r="T1690" i="2"/>
  <c r="I1690" i="2"/>
  <c r="H1690" i="2"/>
  <c r="P1690" i="2" s="1"/>
  <c r="C1690" i="2" s="1"/>
  <c r="G1690" i="2"/>
  <c r="F1690" i="2"/>
  <c r="D1690" i="2"/>
  <c r="T1689" i="2"/>
  <c r="G1689" i="2"/>
  <c r="F1689" i="2"/>
  <c r="T1688" i="2"/>
  <c r="P1688" i="2"/>
  <c r="C1688" i="2" s="1"/>
  <c r="I1688" i="2"/>
  <c r="H1688" i="2"/>
  <c r="G1688" i="2"/>
  <c r="F1688" i="2"/>
  <c r="D1688" i="2"/>
  <c r="T1687" i="2"/>
  <c r="P1687" i="2"/>
  <c r="C1687" i="2" s="1"/>
  <c r="I1687" i="2"/>
  <c r="H1687" i="2"/>
  <c r="G1687" i="2"/>
  <c r="F1687" i="2"/>
  <c r="D1687" i="2"/>
  <c r="T1686" i="2"/>
  <c r="P1686" i="2"/>
  <c r="C1686" i="2" s="1"/>
  <c r="I1686" i="2"/>
  <c r="H1686" i="2"/>
  <c r="G1686" i="2"/>
  <c r="F1686" i="2"/>
  <c r="D1686" i="2"/>
  <c r="T1685" i="2"/>
  <c r="P1685" i="2"/>
  <c r="C1685" i="2" s="1"/>
  <c r="I1685" i="2"/>
  <c r="H1685" i="2"/>
  <c r="G1685" i="2"/>
  <c r="F1685" i="2"/>
  <c r="D1685" i="2"/>
  <c r="T1684" i="2"/>
  <c r="P1684" i="2"/>
  <c r="C1684" i="2" s="1"/>
  <c r="I1684" i="2"/>
  <c r="H1684" i="2"/>
  <c r="G1684" i="2"/>
  <c r="F1684" i="2"/>
  <c r="D1684" i="2"/>
  <c r="T1683" i="2"/>
  <c r="P1683" i="2"/>
  <c r="C1683" i="2" s="1"/>
  <c r="I1683" i="2"/>
  <c r="H1683" i="2"/>
  <c r="G1683" i="2"/>
  <c r="F1683" i="2"/>
  <c r="D1683" i="2"/>
  <c r="T1682" i="2"/>
  <c r="P1682" i="2"/>
  <c r="C1682" i="2" s="1"/>
  <c r="I1682" i="2"/>
  <c r="H1682" i="2"/>
  <c r="G1682" i="2"/>
  <c r="F1682" i="2"/>
  <c r="D1682" i="2"/>
  <c r="T1681" i="2"/>
  <c r="P1681" i="2"/>
  <c r="C1681" i="2" s="1"/>
  <c r="I1681" i="2"/>
  <c r="H1681" i="2"/>
  <c r="G1681" i="2"/>
  <c r="F1681" i="2"/>
  <c r="D1681" i="2"/>
  <c r="D1689" i="2" s="1"/>
  <c r="T1680" i="2"/>
  <c r="P1680" i="2"/>
  <c r="C1680" i="2" s="1"/>
  <c r="I1680" i="2"/>
  <c r="H1680" i="2"/>
  <c r="G1680" i="2"/>
  <c r="F1680" i="2"/>
  <c r="D1680" i="2"/>
  <c r="T1679" i="2"/>
  <c r="G1679" i="2"/>
  <c r="F1679" i="2"/>
  <c r="T1678" i="2"/>
  <c r="G1678" i="2"/>
  <c r="F1678" i="2"/>
  <c r="T1677" i="2"/>
  <c r="G1677" i="2"/>
  <c r="F1677" i="2"/>
  <c r="T1676" i="2"/>
  <c r="G1676" i="2"/>
  <c r="F1676" i="2"/>
  <c r="T1675" i="2"/>
  <c r="I1675" i="2"/>
  <c r="D1675" i="2"/>
  <c r="T1674" i="2"/>
  <c r="G1674" i="2"/>
  <c r="F1674" i="2"/>
  <c r="D1674" i="2"/>
  <c r="I1674" i="2" s="1"/>
  <c r="T1673" i="2"/>
  <c r="G1673" i="2"/>
  <c r="F1673" i="2"/>
  <c r="D1673" i="2"/>
  <c r="I1673" i="2" s="1"/>
  <c r="T1672" i="2"/>
  <c r="I1672" i="2"/>
  <c r="H1672" i="2"/>
  <c r="P1672" i="2" s="1"/>
  <c r="C1672" i="2" s="1"/>
  <c r="T1671" i="2"/>
  <c r="P1671" i="2"/>
  <c r="C1671" i="2" s="1"/>
  <c r="I1671" i="2"/>
  <c r="G1671" i="2"/>
  <c r="F1671" i="2"/>
  <c r="D1671" i="2"/>
  <c r="H1671" i="2" s="1"/>
  <c r="T1670" i="2"/>
  <c r="P1670" i="2"/>
  <c r="C1670" i="2" s="1"/>
  <c r="I1670" i="2"/>
  <c r="G1670" i="2"/>
  <c r="F1670" i="2"/>
  <c r="D1670" i="2"/>
  <c r="H1670" i="2" s="1"/>
  <c r="T1669" i="2"/>
  <c r="P1669" i="2"/>
  <c r="C1669" i="2" s="1"/>
  <c r="I1669" i="2"/>
  <c r="G1669" i="2"/>
  <c r="F1669" i="2"/>
  <c r="D1669" i="2"/>
  <c r="H1669" i="2" s="1"/>
  <c r="T1668" i="2"/>
  <c r="I1668" i="2"/>
  <c r="G1668" i="2"/>
  <c r="F1668" i="2"/>
  <c r="D1668" i="2"/>
  <c r="H1668" i="2" s="1"/>
  <c r="P1668" i="2" s="1"/>
  <c r="C1668" i="2" s="1"/>
  <c r="T1667" i="2"/>
  <c r="G1667" i="2"/>
  <c r="F1667" i="2"/>
  <c r="D1667" i="2"/>
  <c r="H1667" i="2" s="1"/>
  <c r="P1667" i="2" s="1"/>
  <c r="C1667" i="2" s="1"/>
  <c r="T1666" i="2"/>
  <c r="P1666" i="2"/>
  <c r="I1666" i="2"/>
  <c r="H1666" i="2"/>
  <c r="C1666" i="2"/>
  <c r="T1665" i="2"/>
  <c r="G1665" i="2"/>
  <c r="F1665" i="2"/>
  <c r="T1664" i="2"/>
  <c r="G1664" i="2"/>
  <c r="F1664" i="2"/>
  <c r="T1663" i="2"/>
  <c r="G1663" i="2"/>
  <c r="F1663" i="2"/>
  <c r="T1662" i="2"/>
  <c r="I1662" i="2"/>
  <c r="D1662" i="2"/>
  <c r="T1661" i="2"/>
  <c r="G1661" i="2"/>
  <c r="F1661" i="2"/>
  <c r="T1660" i="2"/>
  <c r="G1660" i="2"/>
  <c r="F1660" i="2"/>
  <c r="T1659" i="2"/>
  <c r="G1659" i="2"/>
  <c r="F1659" i="2"/>
  <c r="T1658" i="2"/>
  <c r="D1658" i="2"/>
  <c r="T1657" i="2"/>
  <c r="G1657" i="2"/>
  <c r="F1657" i="2"/>
  <c r="T1656" i="2"/>
  <c r="G1656" i="2"/>
  <c r="F1656" i="2"/>
  <c r="T1655" i="2"/>
  <c r="H1655" i="2"/>
  <c r="P1655" i="2" s="1"/>
  <c r="C1655" i="2" s="1"/>
  <c r="D1655" i="2"/>
  <c r="D1656" i="2" s="1"/>
  <c r="T1654" i="2"/>
  <c r="H1654" i="2"/>
  <c r="P1654" i="2" s="1"/>
  <c r="C1654" i="2" s="1"/>
  <c r="G1654" i="2"/>
  <c r="F1654" i="2"/>
  <c r="D1654" i="2"/>
  <c r="I1654" i="2" s="1"/>
  <c r="T1653" i="2"/>
  <c r="G1653" i="2"/>
  <c r="F1653" i="2"/>
  <c r="T1652" i="2"/>
  <c r="H1652" i="2"/>
  <c r="P1652" i="2" s="1"/>
  <c r="C1652" i="2" s="1"/>
  <c r="G1652" i="2"/>
  <c r="F1652" i="2"/>
  <c r="D1652" i="2"/>
  <c r="I1652" i="2" s="1"/>
  <c r="T1651" i="2"/>
  <c r="H1651" i="2"/>
  <c r="P1651" i="2" s="1"/>
  <c r="C1651" i="2" s="1"/>
  <c r="G1651" i="2"/>
  <c r="F1651" i="2"/>
  <c r="D1651" i="2"/>
  <c r="D1653" i="2" s="1"/>
  <c r="I1653" i="2" s="1"/>
  <c r="T1650" i="2"/>
  <c r="I1650" i="2"/>
  <c r="H1650" i="2"/>
  <c r="P1650" i="2" s="1"/>
  <c r="C1650" i="2" s="1"/>
  <c r="D1650" i="2"/>
  <c r="T1649" i="2"/>
  <c r="G1649" i="2"/>
  <c r="F1649" i="2"/>
  <c r="T1648" i="2"/>
  <c r="G1648" i="2"/>
  <c r="F1648" i="2"/>
  <c r="T1647" i="2"/>
  <c r="I1647" i="2"/>
  <c r="G1647" i="2"/>
  <c r="F1647" i="2"/>
  <c r="D1647" i="2"/>
  <c r="H1647" i="2" s="1"/>
  <c r="P1647" i="2" s="1"/>
  <c r="C1647" i="2"/>
  <c r="T1646" i="2"/>
  <c r="I1646" i="2"/>
  <c r="D1646" i="2"/>
  <c r="T1645" i="2"/>
  <c r="G1645" i="2"/>
  <c r="F1645" i="2"/>
  <c r="T1644" i="2"/>
  <c r="G1644" i="2"/>
  <c r="F1644" i="2"/>
  <c r="T1643" i="2"/>
  <c r="P1643" i="2"/>
  <c r="C1643" i="2" s="1"/>
  <c r="H1643" i="2"/>
  <c r="D1643" i="2"/>
  <c r="D1741" i="2" s="1"/>
  <c r="T1642" i="2"/>
  <c r="H1642" i="2"/>
  <c r="P1642" i="2" s="1"/>
  <c r="C1642" i="2" s="1"/>
  <c r="G1642" i="2"/>
  <c r="F1642" i="2"/>
  <c r="E1642" i="2"/>
  <c r="D1642" i="2" s="1"/>
  <c r="I1642" i="2" s="1"/>
  <c r="T1641" i="2"/>
  <c r="I1641" i="2"/>
  <c r="H1641" i="2"/>
  <c r="P1641" i="2" s="1"/>
  <c r="C1641" i="2" s="1"/>
  <c r="G1641" i="2"/>
  <c r="F1641" i="2"/>
  <c r="E1641" i="2"/>
  <c r="D1731" i="2" s="1"/>
  <c r="D1641" i="2"/>
  <c r="T1640" i="2"/>
  <c r="P1640" i="2"/>
  <c r="C1640" i="2" s="1"/>
  <c r="I1640" i="2"/>
  <c r="H1640" i="2"/>
  <c r="G1640" i="2"/>
  <c r="F1640" i="2"/>
  <c r="E1640" i="2"/>
  <c r="D1732" i="2" s="1"/>
  <c r="D1640" i="2"/>
  <c r="T1639" i="2"/>
  <c r="I1639" i="2"/>
  <c r="H1639" i="2"/>
  <c r="P1639" i="2" s="1"/>
  <c r="C1639" i="2" s="1"/>
  <c r="G1639" i="2"/>
  <c r="F1639" i="2"/>
  <c r="E1639" i="2"/>
  <c r="D1733" i="2" s="1"/>
  <c r="D1639" i="2"/>
  <c r="T1638" i="2"/>
  <c r="I1638" i="2"/>
  <c r="G1638" i="2"/>
  <c r="F1638" i="2"/>
  <c r="D1638" i="2"/>
  <c r="H1638" i="2" s="1"/>
  <c r="P1638" i="2" s="1"/>
  <c r="C1638" i="2" s="1"/>
  <c r="T1637" i="2"/>
  <c r="G1637" i="2"/>
  <c r="F1637" i="2"/>
  <c r="E1637" i="2"/>
  <c r="D1735" i="2" s="1"/>
  <c r="D1637" i="2"/>
  <c r="T1636" i="2"/>
  <c r="G1636" i="2"/>
  <c r="F1636" i="2"/>
  <c r="E1636" i="2"/>
  <c r="T1635" i="2"/>
  <c r="G1635" i="2"/>
  <c r="F1635" i="2"/>
  <c r="E1635" i="2"/>
  <c r="D1728" i="2" s="1"/>
  <c r="D1635" i="2"/>
  <c r="I1635" i="2" s="1"/>
  <c r="T1634" i="2"/>
  <c r="G1634" i="2"/>
  <c r="F1634" i="2"/>
  <c r="E1634" i="2"/>
  <c r="D1727" i="2" s="1"/>
  <c r="T1633" i="2"/>
  <c r="G1633" i="2"/>
  <c r="F1633" i="2"/>
  <c r="E1633" i="2"/>
  <c r="D1726" i="2" s="1"/>
  <c r="T1632" i="2"/>
  <c r="I1632" i="2"/>
  <c r="H1632" i="2"/>
  <c r="P1632" i="2" s="1"/>
  <c r="C1632" i="2" s="1"/>
  <c r="G1632" i="2"/>
  <c r="F1632" i="2"/>
  <c r="E1632" i="2"/>
  <c r="D1725" i="2" s="1"/>
  <c r="D1632" i="2"/>
  <c r="T1631" i="2"/>
  <c r="P1631" i="2"/>
  <c r="C1631" i="2" s="1"/>
  <c r="I1631" i="2"/>
  <c r="H1631" i="2"/>
  <c r="G1631" i="2"/>
  <c r="F1631" i="2"/>
  <c r="E1631" i="2"/>
  <c r="D1724" i="2" s="1"/>
  <c r="D1631" i="2"/>
  <c r="T1630" i="2"/>
  <c r="I1630" i="2"/>
  <c r="H1630" i="2"/>
  <c r="P1630" i="2" s="1"/>
  <c r="G1630" i="2"/>
  <c r="F1630" i="2"/>
  <c r="E1630" i="2"/>
  <c r="D1713" i="2" s="1"/>
  <c r="D1630" i="2"/>
  <c r="C1630" i="2"/>
  <c r="T1629" i="2"/>
  <c r="L1629" i="2"/>
  <c r="H1629" i="2" s="1"/>
  <c r="C1629" i="2"/>
  <c r="T1628" i="2"/>
  <c r="H1628" i="2"/>
  <c r="P1628" i="2" s="1"/>
  <c r="C1628" i="2" s="1"/>
  <c r="G1628" i="2"/>
  <c r="F1628" i="2"/>
  <c r="E1628" i="2"/>
  <c r="T1627" i="2"/>
  <c r="H1627" i="2"/>
  <c r="P1627" i="2" s="1"/>
  <c r="C1627" i="2" s="1"/>
  <c r="G1627" i="2"/>
  <c r="F1627" i="2"/>
  <c r="E1627" i="2"/>
  <c r="T1626" i="2"/>
  <c r="H1626" i="2"/>
  <c r="P1626" i="2" s="1"/>
  <c r="C1626" i="2" s="1"/>
  <c r="G1626" i="2"/>
  <c r="F1626" i="2"/>
  <c r="E1626" i="2"/>
  <c r="T1625" i="2"/>
  <c r="P1625" i="2"/>
  <c r="H1625" i="2"/>
  <c r="G1625" i="2"/>
  <c r="F1625" i="2"/>
  <c r="E1625" i="2"/>
  <c r="C1625" i="2"/>
  <c r="T1624" i="2"/>
  <c r="P1624" i="2"/>
  <c r="C1624" i="2" s="1"/>
  <c r="H1624" i="2"/>
  <c r="G1624" i="2"/>
  <c r="F1624" i="2"/>
  <c r="E1624" i="2"/>
  <c r="T1623" i="2"/>
  <c r="P1623" i="2"/>
  <c r="C1623" i="2" s="1"/>
  <c r="G1623" i="2"/>
  <c r="F1623" i="2"/>
  <c r="E1623" i="2"/>
  <c r="D1623" i="2"/>
  <c r="T1622" i="2"/>
  <c r="P1622" i="2"/>
  <c r="G1622" i="2"/>
  <c r="F1622" i="2"/>
  <c r="E1622" i="2"/>
  <c r="T1621" i="2"/>
  <c r="P1621" i="2"/>
  <c r="G1621" i="2"/>
  <c r="E1621" i="2"/>
  <c r="C1621" i="2"/>
  <c r="T1620" i="2"/>
  <c r="P1620" i="2"/>
  <c r="G1620" i="2"/>
  <c r="E1620" i="2"/>
  <c r="C1620" i="2"/>
  <c r="T1619" i="2"/>
  <c r="P1619" i="2"/>
  <c r="C1619" i="2" s="1"/>
  <c r="G1619" i="2"/>
  <c r="E1619" i="2"/>
  <c r="T1618" i="2"/>
  <c r="P1618" i="2"/>
  <c r="G1618" i="2"/>
  <c r="E1618" i="2"/>
  <c r="C1618" i="2"/>
  <c r="T1617" i="2"/>
  <c r="P1617" i="2"/>
  <c r="C1617" i="2" s="1"/>
  <c r="G1617" i="2"/>
  <c r="F1617" i="2"/>
  <c r="E1617" i="2"/>
  <c r="T1616" i="2"/>
  <c r="P1616" i="2"/>
  <c r="C1616" i="2" s="1"/>
  <c r="G1616" i="2"/>
  <c r="E1616" i="2"/>
  <c r="T1615" i="2"/>
  <c r="P1615" i="2"/>
  <c r="G1615" i="2"/>
  <c r="E1615" i="2"/>
  <c r="C1615" i="2"/>
  <c r="T1614" i="2"/>
  <c r="P1614" i="2"/>
  <c r="C1614" i="2" s="1"/>
  <c r="G1614" i="2"/>
  <c r="E1614" i="2"/>
  <c r="T1613" i="2"/>
  <c r="G1613" i="2"/>
  <c r="E1613" i="2"/>
  <c r="T1612" i="2"/>
  <c r="K1612" i="2"/>
  <c r="D1612" i="2" s="1"/>
  <c r="H1612" i="2" s="1"/>
  <c r="P1612" i="2" s="1"/>
  <c r="C1612" i="2" s="1"/>
  <c r="G1612" i="2"/>
  <c r="F1612" i="2"/>
  <c r="E1612" i="2"/>
  <c r="T1611" i="2"/>
  <c r="P1611" i="2"/>
  <c r="C1611" i="2" s="1"/>
  <c r="G1611" i="2"/>
  <c r="E1611" i="2"/>
  <c r="T1610" i="2"/>
  <c r="P1610" i="2"/>
  <c r="G1610" i="2"/>
  <c r="F1610" i="2"/>
  <c r="E1610" i="2"/>
  <c r="C1610" i="2"/>
  <c r="T1609" i="2"/>
  <c r="P1609" i="2"/>
  <c r="G1609" i="2"/>
  <c r="F1609" i="2"/>
  <c r="E1609" i="2"/>
  <c r="D1609" i="2"/>
  <c r="D1610" i="2" s="1"/>
  <c r="C1609" i="2"/>
  <c r="T1608" i="2"/>
  <c r="P1608" i="2"/>
  <c r="G1608" i="2"/>
  <c r="F1608" i="2"/>
  <c r="E1608" i="2"/>
  <c r="C1608" i="2"/>
  <c r="T1607" i="2"/>
  <c r="P1607" i="2"/>
  <c r="C1607" i="2" s="1"/>
  <c r="G1607" i="2"/>
  <c r="F1607" i="2"/>
  <c r="E1607" i="2"/>
  <c r="T1606" i="2"/>
  <c r="P1606" i="2"/>
  <c r="C1606" i="2" s="1"/>
  <c r="G1606" i="2"/>
  <c r="F1606" i="2"/>
  <c r="E1606" i="2"/>
  <c r="T1605" i="2"/>
  <c r="P1605" i="2"/>
  <c r="C1605" i="2" s="1"/>
  <c r="G1605" i="2"/>
  <c r="F1605" i="2"/>
  <c r="E1605" i="2"/>
  <c r="T1604" i="2"/>
  <c r="P1604" i="2"/>
  <c r="C1604" i="2" s="1"/>
  <c r="G1604" i="2"/>
  <c r="F1604" i="2"/>
  <c r="E1604" i="2"/>
  <c r="T1603" i="2"/>
  <c r="P1603" i="2"/>
  <c r="G1603" i="2"/>
  <c r="F1603" i="2"/>
  <c r="E1603" i="2"/>
  <c r="C1603" i="2"/>
  <c r="T1602" i="2"/>
  <c r="P1602" i="2"/>
  <c r="G1602" i="2"/>
  <c r="F1602" i="2"/>
  <c r="E1602" i="2"/>
  <c r="C1602" i="2"/>
  <c r="T1601" i="2"/>
  <c r="P1601" i="2"/>
  <c r="G1601" i="2"/>
  <c r="F1601" i="2"/>
  <c r="E1601" i="2"/>
  <c r="C1601" i="2"/>
  <c r="T1600" i="2"/>
  <c r="P1600" i="2"/>
  <c r="H1600" i="2"/>
  <c r="G1600" i="2"/>
  <c r="F1600" i="2"/>
  <c r="E1600" i="2"/>
  <c r="C1600" i="2"/>
  <c r="T1599" i="2"/>
  <c r="P1599" i="2"/>
  <c r="C1599" i="2" s="1"/>
  <c r="G1599" i="2"/>
  <c r="F1599" i="2"/>
  <c r="E1599" i="2"/>
  <c r="T1598" i="2"/>
  <c r="P1598" i="2"/>
  <c r="C1598" i="2" s="1"/>
  <c r="G1598" i="2"/>
  <c r="F1598" i="2"/>
  <c r="E1598" i="2"/>
  <c r="D1598" i="2"/>
  <c r="T1597" i="2"/>
  <c r="P1597" i="2"/>
  <c r="C1597" i="2" s="1"/>
  <c r="G1597" i="2"/>
  <c r="F1597" i="2"/>
  <c r="E1597" i="2"/>
  <c r="T1596" i="2"/>
  <c r="P1596" i="2"/>
  <c r="C1596" i="2" s="1"/>
  <c r="G1596" i="2"/>
  <c r="F1596" i="2"/>
  <c r="E1596" i="2"/>
  <c r="T1595" i="2"/>
  <c r="P1595" i="2"/>
  <c r="G1595" i="2"/>
  <c r="E1595" i="2"/>
  <c r="C1595" i="2"/>
  <c r="T1594" i="2"/>
  <c r="P1594" i="2"/>
  <c r="J1594" i="2"/>
  <c r="H1594" i="2"/>
  <c r="G1594" i="2"/>
  <c r="F1594" i="2"/>
  <c r="C1594" i="2"/>
  <c r="T1593" i="2"/>
  <c r="P1593" i="2"/>
  <c r="C1593" i="2" s="1"/>
  <c r="J1593" i="2"/>
  <c r="H1593" i="2"/>
  <c r="G1593" i="2"/>
  <c r="F1593" i="2"/>
  <c r="T1592" i="2"/>
  <c r="G1592" i="2"/>
  <c r="F1592" i="2"/>
  <c r="T1591" i="2"/>
  <c r="G1591" i="2"/>
  <c r="F1591" i="2"/>
  <c r="T1590" i="2"/>
  <c r="G1590" i="2"/>
  <c r="F1590" i="2"/>
  <c r="T1589" i="2"/>
  <c r="G1589" i="2"/>
  <c r="F1589" i="2"/>
  <c r="T1588" i="2"/>
  <c r="G1588" i="2"/>
  <c r="F1588" i="2"/>
  <c r="T1587" i="2"/>
  <c r="G1587" i="2"/>
  <c r="F1587" i="2"/>
  <c r="T1586" i="2"/>
  <c r="J1586" i="2"/>
  <c r="H1586" i="2"/>
  <c r="P1586" i="2" s="1"/>
  <c r="C1586" i="2" s="1"/>
  <c r="G1586" i="2"/>
  <c r="F1586" i="2"/>
  <c r="D1586" i="2"/>
  <c r="T1585" i="2"/>
  <c r="J1585" i="2"/>
  <c r="H1585" i="2"/>
  <c r="P1585" i="2" s="1"/>
  <c r="C1585" i="2" s="1"/>
  <c r="G1585" i="2"/>
  <c r="F1585" i="2"/>
  <c r="D1585" i="2"/>
  <c r="T1584" i="2"/>
  <c r="J1584" i="2"/>
  <c r="H1584" i="2"/>
  <c r="P1584" i="2" s="1"/>
  <c r="C1584" i="2" s="1"/>
  <c r="G1584" i="2"/>
  <c r="F1584" i="2"/>
  <c r="D1584" i="2"/>
  <c r="T1583" i="2"/>
  <c r="J1583" i="2"/>
  <c r="H1583" i="2"/>
  <c r="P1583" i="2" s="1"/>
  <c r="G1583" i="2"/>
  <c r="F1583" i="2"/>
  <c r="E1583" i="2"/>
  <c r="D1583" i="2"/>
  <c r="C1583" i="2"/>
  <c r="T1582" i="2"/>
  <c r="P1582" i="2"/>
  <c r="J1582" i="2"/>
  <c r="H1582" i="2"/>
  <c r="G1582" i="2"/>
  <c r="F1582" i="2"/>
  <c r="E1582" i="2"/>
  <c r="C1582" i="2"/>
  <c r="T1581" i="2"/>
  <c r="G1581" i="2"/>
  <c r="F1581" i="2"/>
  <c r="E1581" i="2"/>
  <c r="T1580" i="2"/>
  <c r="P1580" i="2"/>
  <c r="H1580" i="2"/>
  <c r="G1580" i="2"/>
  <c r="F1580" i="2"/>
  <c r="E1580" i="2"/>
  <c r="D1580" i="2"/>
  <c r="J1580" i="2" s="1"/>
  <c r="C1580" i="2"/>
  <c r="T1579" i="2"/>
  <c r="J1579" i="2"/>
  <c r="H1579" i="2"/>
  <c r="P1579" i="2" s="1"/>
  <c r="C1579" i="2" s="1"/>
  <c r="G1579" i="2"/>
  <c r="F1579" i="2"/>
  <c r="E1579" i="2"/>
  <c r="T1578" i="2"/>
  <c r="G1578" i="2"/>
  <c r="F1578" i="2"/>
  <c r="E1578" i="2"/>
  <c r="D1578" i="2"/>
  <c r="D1581" i="2" s="1"/>
  <c r="T1577" i="2"/>
  <c r="G1577" i="2"/>
  <c r="F1577" i="2"/>
  <c r="E1577" i="2"/>
  <c r="D1577" i="2"/>
  <c r="J1577" i="2" s="1"/>
  <c r="T1576" i="2"/>
  <c r="J1576" i="2"/>
  <c r="H1576" i="2"/>
  <c r="P1576" i="2" s="1"/>
  <c r="C1576" i="2" s="1"/>
  <c r="G1576" i="2"/>
  <c r="F1576" i="2"/>
  <c r="E1576" i="2"/>
  <c r="D1576" i="2"/>
  <c r="T1575" i="2"/>
  <c r="P1575" i="2"/>
  <c r="C1575" i="2" s="1"/>
  <c r="J1575" i="2"/>
  <c r="H1575" i="2"/>
  <c r="G1575" i="2"/>
  <c r="F1575" i="2"/>
  <c r="E1575" i="2"/>
  <c r="D1575" i="2"/>
  <c r="T1574" i="2"/>
  <c r="P1574" i="2"/>
  <c r="C1574" i="2" s="1"/>
  <c r="J1574" i="2"/>
  <c r="H1574" i="2"/>
  <c r="G1574" i="2"/>
  <c r="F1574" i="2"/>
  <c r="D1574" i="2"/>
  <c r="T1573" i="2"/>
  <c r="J1573" i="2"/>
  <c r="H1573" i="2"/>
  <c r="P1573" i="2" s="1"/>
  <c r="C1573" i="2" s="1"/>
  <c r="G1573" i="2"/>
  <c r="F1573" i="2"/>
  <c r="T1572" i="2"/>
  <c r="P1572" i="2"/>
  <c r="C1572" i="2" s="1"/>
  <c r="J1572" i="2"/>
  <c r="H1572" i="2"/>
  <c r="G1572" i="2"/>
  <c r="F1572" i="2"/>
  <c r="D1572" i="2"/>
  <c r="T1571" i="2"/>
  <c r="P1571" i="2"/>
  <c r="C1571" i="2" s="1"/>
  <c r="J1571" i="2"/>
  <c r="H1571" i="2"/>
  <c r="G1571" i="2"/>
  <c r="F1571" i="2"/>
  <c r="D1571" i="2"/>
  <c r="T1570" i="2"/>
  <c r="P1570" i="2"/>
  <c r="C1570" i="2" s="1"/>
  <c r="J1570" i="2"/>
  <c r="H1570" i="2"/>
  <c r="G1570" i="2"/>
  <c r="F1570" i="2"/>
  <c r="D1570" i="2"/>
  <c r="T1569" i="2"/>
  <c r="P1569" i="2"/>
  <c r="C1569" i="2" s="1"/>
  <c r="J1569" i="2"/>
  <c r="H1569" i="2"/>
  <c r="G1569" i="2"/>
  <c r="F1569" i="2"/>
  <c r="D1569" i="2"/>
  <c r="T1568" i="2"/>
  <c r="P1568" i="2"/>
  <c r="C1568" i="2" s="1"/>
  <c r="J1568" i="2"/>
  <c r="H1568" i="2"/>
  <c r="G1568" i="2"/>
  <c r="F1568" i="2"/>
  <c r="D1568" i="2"/>
  <c r="T1567" i="2"/>
  <c r="P1567" i="2"/>
  <c r="C1567" i="2" s="1"/>
  <c r="J1567" i="2"/>
  <c r="H1567" i="2"/>
  <c r="G1567" i="2"/>
  <c r="F1567" i="2"/>
  <c r="T1566" i="2"/>
  <c r="J1566" i="2"/>
  <c r="H1566" i="2"/>
  <c r="P1566" i="2" s="1"/>
  <c r="G1566" i="2"/>
  <c r="F1566" i="2"/>
  <c r="C1566" i="2"/>
  <c r="T1565" i="2"/>
  <c r="J1565" i="2"/>
  <c r="H1565" i="2"/>
  <c r="P1565" i="2" s="1"/>
  <c r="G1565" i="2"/>
  <c r="F1565" i="2"/>
  <c r="C1565" i="2"/>
  <c r="T1564" i="2"/>
  <c r="J1564" i="2"/>
  <c r="H1564" i="2"/>
  <c r="P1564" i="2" s="1"/>
  <c r="C1564" i="2" s="1"/>
  <c r="G1564" i="2"/>
  <c r="F1564" i="2"/>
  <c r="T1563" i="2"/>
  <c r="P1563" i="2"/>
  <c r="J1563" i="2"/>
  <c r="H1563" i="2"/>
  <c r="G1563" i="2"/>
  <c r="F1563" i="2"/>
  <c r="C1563" i="2"/>
  <c r="T1562" i="2"/>
  <c r="P1562" i="2"/>
  <c r="C1562" i="2" s="1"/>
  <c r="J1562" i="2"/>
  <c r="H1562" i="2"/>
  <c r="G1562" i="2"/>
  <c r="F1562" i="2"/>
  <c r="T1561" i="2"/>
  <c r="J1561" i="2"/>
  <c r="H1561" i="2"/>
  <c r="P1561" i="2" s="1"/>
  <c r="C1561" i="2" s="1"/>
  <c r="G1561" i="2"/>
  <c r="F1561" i="2"/>
  <c r="T1560" i="2"/>
  <c r="J1560" i="2"/>
  <c r="H1560" i="2"/>
  <c r="P1560" i="2" s="1"/>
  <c r="C1560" i="2" s="1"/>
  <c r="G1560" i="2"/>
  <c r="F1560" i="2"/>
  <c r="T1559" i="2"/>
  <c r="P1559" i="2"/>
  <c r="C1559" i="2" s="1"/>
  <c r="J1559" i="2"/>
  <c r="H1559" i="2"/>
  <c r="G1559" i="2"/>
  <c r="F1559" i="2"/>
  <c r="T1558" i="2"/>
  <c r="J1558" i="2"/>
  <c r="H1558" i="2"/>
  <c r="P1558" i="2" s="1"/>
  <c r="G1558" i="2"/>
  <c r="F1558" i="2"/>
  <c r="C1558" i="2"/>
  <c r="T1557" i="2"/>
  <c r="J1557" i="2"/>
  <c r="H1557" i="2"/>
  <c r="P1557" i="2" s="1"/>
  <c r="C1557" i="2" s="1"/>
  <c r="G1557" i="2"/>
  <c r="F1557" i="2"/>
  <c r="T1556" i="2"/>
  <c r="J1556" i="2"/>
  <c r="H1556" i="2"/>
  <c r="P1556" i="2" s="1"/>
  <c r="C1556" i="2" s="1"/>
  <c r="G1556" i="2"/>
  <c r="F1556" i="2"/>
  <c r="T1555" i="2"/>
  <c r="P1555" i="2"/>
  <c r="J1555" i="2"/>
  <c r="H1555" i="2"/>
  <c r="G1555" i="2"/>
  <c r="F1555" i="2"/>
  <c r="C1555" i="2"/>
  <c r="T1554" i="2"/>
  <c r="P1554" i="2"/>
  <c r="C1554" i="2" s="1"/>
  <c r="J1554" i="2"/>
  <c r="H1554" i="2"/>
  <c r="G1554" i="2"/>
  <c r="F1554" i="2"/>
  <c r="T1553" i="2"/>
  <c r="J1553" i="2"/>
  <c r="H1553" i="2"/>
  <c r="P1553" i="2" s="1"/>
  <c r="C1553" i="2" s="1"/>
  <c r="G1553" i="2"/>
  <c r="F1553" i="2"/>
  <c r="T1552" i="2"/>
  <c r="P1552" i="2"/>
  <c r="C1552" i="2" s="1"/>
  <c r="J1552" i="2"/>
  <c r="H1552" i="2"/>
  <c r="G1552" i="2"/>
  <c r="F1552" i="2"/>
  <c r="T1551" i="2"/>
  <c r="P1551" i="2"/>
  <c r="C1551" i="2" s="1"/>
  <c r="J1551" i="2"/>
  <c r="H1551" i="2"/>
  <c r="G1551" i="2"/>
  <c r="F1551" i="2"/>
  <c r="T1550" i="2"/>
  <c r="J1550" i="2"/>
  <c r="H1550" i="2"/>
  <c r="P1550" i="2" s="1"/>
  <c r="C1550" i="2" s="1"/>
  <c r="T1549" i="2"/>
  <c r="P1549" i="2"/>
  <c r="J1549" i="2"/>
  <c r="H1549" i="2"/>
  <c r="G1549" i="2"/>
  <c r="F1549" i="2"/>
  <c r="C1549" i="2"/>
  <c r="T1548" i="2"/>
  <c r="P1548" i="2"/>
  <c r="C1548" i="2" s="1"/>
  <c r="J1548" i="2"/>
  <c r="H1548" i="2"/>
  <c r="G1548" i="2"/>
  <c r="F1548" i="2"/>
  <c r="T1547" i="2"/>
  <c r="J1547" i="2"/>
  <c r="H1547" i="2"/>
  <c r="P1547" i="2" s="1"/>
  <c r="C1547" i="2" s="1"/>
  <c r="G1547" i="2"/>
  <c r="F1547" i="2"/>
  <c r="D1547" i="2"/>
  <c r="T1546" i="2"/>
  <c r="J1546" i="2"/>
  <c r="H1546" i="2"/>
  <c r="P1546" i="2" s="1"/>
  <c r="C1546" i="2" s="1"/>
  <c r="G1546" i="2"/>
  <c r="F1546" i="2"/>
  <c r="D1546" i="2"/>
  <c r="T1545" i="2"/>
  <c r="J1545" i="2"/>
  <c r="H1545" i="2"/>
  <c r="P1545" i="2" s="1"/>
  <c r="C1545" i="2" s="1"/>
  <c r="G1545" i="2"/>
  <c r="F1545" i="2"/>
  <c r="D1545" i="2"/>
  <c r="T1544" i="2"/>
  <c r="J1544" i="2"/>
  <c r="H1544" i="2"/>
  <c r="P1544" i="2" s="1"/>
  <c r="C1544" i="2" s="1"/>
  <c r="D1544" i="2"/>
  <c r="T1543" i="2"/>
  <c r="P1543" i="2"/>
  <c r="J1543" i="2"/>
  <c r="H1543" i="2"/>
  <c r="G1543" i="2"/>
  <c r="F1543" i="2"/>
  <c r="D1543" i="2"/>
  <c r="C1543" i="2"/>
  <c r="T1542" i="2"/>
  <c r="P1542" i="2"/>
  <c r="J1542" i="2"/>
  <c r="H1542" i="2"/>
  <c r="G1542" i="2"/>
  <c r="F1542" i="2"/>
  <c r="D1542" i="2"/>
  <c r="C1542" i="2"/>
  <c r="T1541" i="2"/>
  <c r="P1541" i="2"/>
  <c r="J1541" i="2"/>
  <c r="H1541" i="2"/>
  <c r="G1541" i="2"/>
  <c r="F1541" i="2"/>
  <c r="D1541" i="2"/>
  <c r="C1541" i="2"/>
  <c r="T1540" i="2"/>
  <c r="P1540" i="2"/>
  <c r="J1540" i="2"/>
  <c r="H1540" i="2"/>
  <c r="G1540" i="2"/>
  <c r="F1540" i="2"/>
  <c r="D1540" i="2"/>
  <c r="C1540" i="2"/>
  <c r="T1539" i="2"/>
  <c r="P1539" i="2"/>
  <c r="J1539" i="2"/>
  <c r="H1539" i="2"/>
  <c r="C1539" i="2"/>
  <c r="T1538" i="2"/>
  <c r="J1538" i="2"/>
  <c r="H1538" i="2"/>
  <c r="P1538" i="2" s="1"/>
  <c r="C1538" i="2" s="1"/>
  <c r="G1538" i="2"/>
  <c r="F1538" i="2"/>
  <c r="D1538" i="2"/>
  <c r="T1537" i="2"/>
  <c r="J1537" i="2"/>
  <c r="H1537" i="2"/>
  <c r="P1537" i="2" s="1"/>
  <c r="G1537" i="2"/>
  <c r="F1537" i="2"/>
  <c r="D1537" i="2"/>
  <c r="C1537" i="2"/>
  <c r="T1536" i="2"/>
  <c r="J1536" i="2"/>
  <c r="H1536" i="2"/>
  <c r="P1536" i="2" s="1"/>
  <c r="C1536" i="2" s="1"/>
  <c r="G1536" i="2"/>
  <c r="F1536" i="2"/>
  <c r="D1536" i="2"/>
  <c r="T1535" i="2"/>
  <c r="J1535" i="2"/>
  <c r="H1535" i="2"/>
  <c r="P1535" i="2" s="1"/>
  <c r="G1535" i="2"/>
  <c r="F1535" i="2"/>
  <c r="D1535" i="2"/>
  <c r="C1535" i="2"/>
  <c r="T1534" i="2"/>
  <c r="J1534" i="2"/>
  <c r="H1534" i="2"/>
  <c r="P1534" i="2" s="1"/>
  <c r="G1534" i="2"/>
  <c r="F1534" i="2"/>
  <c r="D1534" i="2"/>
  <c r="C1534" i="2"/>
  <c r="T1533" i="2"/>
  <c r="J1533" i="2"/>
  <c r="H1533" i="2"/>
  <c r="P1533" i="2" s="1"/>
  <c r="C1533" i="2" s="1"/>
  <c r="T1532" i="2"/>
  <c r="J1532" i="2"/>
  <c r="G1532" i="2"/>
  <c r="F1532" i="2"/>
  <c r="T1531" i="2"/>
  <c r="G1531" i="2"/>
  <c r="F1531" i="2"/>
  <c r="T1530" i="2"/>
  <c r="G1530" i="2"/>
  <c r="F1530" i="2"/>
  <c r="T1529" i="2"/>
  <c r="J1529" i="2"/>
  <c r="H1529" i="2"/>
  <c r="P1529" i="2" s="1"/>
  <c r="C1529" i="2" s="1"/>
  <c r="D1529" i="2"/>
  <c r="D1532" i="2" s="1"/>
  <c r="H1532" i="2" s="1"/>
  <c r="P1532" i="2" s="1"/>
  <c r="C1532" i="2" s="1"/>
  <c r="T1528" i="2"/>
  <c r="G1528" i="2"/>
  <c r="F1528" i="2"/>
  <c r="T1527" i="2"/>
  <c r="G1527" i="2"/>
  <c r="F1527" i="2"/>
  <c r="T1526" i="2"/>
  <c r="G1526" i="2"/>
  <c r="F1526" i="2"/>
  <c r="T1525" i="2"/>
  <c r="J1525" i="2"/>
  <c r="D1525" i="2"/>
  <c r="T1524" i="2"/>
  <c r="G1524" i="2"/>
  <c r="F1524" i="2"/>
  <c r="T1523" i="2"/>
  <c r="G1523" i="2"/>
  <c r="F1523" i="2"/>
  <c r="T1522" i="2"/>
  <c r="D1522" i="2"/>
  <c r="D1523" i="2" s="1"/>
  <c r="T1521" i="2"/>
  <c r="G1521" i="2"/>
  <c r="F1521" i="2"/>
  <c r="D1521" i="2"/>
  <c r="T1520" i="2"/>
  <c r="G1520" i="2"/>
  <c r="F1520" i="2"/>
  <c r="D1520" i="2"/>
  <c r="T1519" i="2"/>
  <c r="G1519" i="2"/>
  <c r="F1519" i="2"/>
  <c r="D1519" i="2"/>
  <c r="T1518" i="2"/>
  <c r="P1518" i="2"/>
  <c r="C1518" i="2" s="1"/>
  <c r="H1518" i="2"/>
  <c r="D1518" i="2"/>
  <c r="J1518" i="2" s="1"/>
  <c r="T1517" i="2"/>
  <c r="H1517" i="2"/>
  <c r="P1517" i="2" s="1"/>
  <c r="C1517" i="2" s="1"/>
  <c r="G1517" i="2"/>
  <c r="F1517" i="2"/>
  <c r="T1516" i="2"/>
  <c r="G1516" i="2"/>
  <c r="F1516" i="2"/>
  <c r="T1515" i="2"/>
  <c r="G1515" i="2"/>
  <c r="F1515" i="2"/>
  <c r="T1514" i="2"/>
  <c r="G1514" i="2"/>
  <c r="F1514" i="2"/>
  <c r="T1513" i="2"/>
  <c r="J1513" i="2"/>
  <c r="H1513" i="2"/>
  <c r="P1513" i="2" s="1"/>
  <c r="C1513" i="2" s="1"/>
  <c r="D1513" i="2"/>
  <c r="D1517" i="2" s="1"/>
  <c r="J1517" i="2" s="1"/>
  <c r="T1512" i="2"/>
  <c r="G1512" i="2"/>
  <c r="F1512" i="2"/>
  <c r="T1511" i="2"/>
  <c r="G1511" i="2"/>
  <c r="F1511" i="2"/>
  <c r="T1510" i="2"/>
  <c r="G1510" i="2"/>
  <c r="F1510" i="2"/>
  <c r="T1509" i="2"/>
  <c r="J1509" i="2"/>
  <c r="D1509" i="2"/>
  <c r="T1508" i="2"/>
  <c r="G1508" i="2"/>
  <c r="F1508" i="2"/>
  <c r="D1508" i="2"/>
  <c r="T1507" i="2"/>
  <c r="G1507" i="2"/>
  <c r="F1507" i="2"/>
  <c r="T1506" i="2"/>
  <c r="D1506" i="2"/>
  <c r="J1506" i="2" s="1"/>
  <c r="T1505" i="2"/>
  <c r="G1505" i="2"/>
  <c r="F1505" i="2"/>
  <c r="E1505" i="2"/>
  <c r="T1504" i="2"/>
  <c r="G1504" i="2"/>
  <c r="F1504" i="2"/>
  <c r="E1504" i="2"/>
  <c r="D1604" i="2" s="1"/>
  <c r="D1504" i="2"/>
  <c r="H1504" i="2" s="1"/>
  <c r="P1504" i="2" s="1"/>
  <c r="C1504" i="2" s="1"/>
  <c r="T1503" i="2"/>
  <c r="G1503" i="2"/>
  <c r="F1503" i="2"/>
  <c r="E1503" i="2"/>
  <c r="T1502" i="2"/>
  <c r="G1502" i="2"/>
  <c r="F1502" i="2"/>
  <c r="E1502" i="2"/>
  <c r="T1501" i="2"/>
  <c r="P1501" i="2"/>
  <c r="C1501" i="2" s="1"/>
  <c r="J1501" i="2"/>
  <c r="G1501" i="2"/>
  <c r="F1501" i="2"/>
  <c r="E1501" i="2"/>
  <c r="D1607" i="2" s="1"/>
  <c r="D1501" i="2"/>
  <c r="H1501" i="2" s="1"/>
  <c r="T1500" i="2"/>
  <c r="G1500" i="2"/>
  <c r="F1500" i="2"/>
  <c r="E1500" i="2"/>
  <c r="T1499" i="2"/>
  <c r="J1499" i="2"/>
  <c r="H1499" i="2"/>
  <c r="P1499" i="2" s="1"/>
  <c r="C1499" i="2" s="1"/>
  <c r="G1499" i="2"/>
  <c r="F1499" i="2"/>
  <c r="E1499" i="2"/>
  <c r="D1499" i="2"/>
  <c r="T1498" i="2"/>
  <c r="P1498" i="2"/>
  <c r="C1498" i="2" s="1"/>
  <c r="J1498" i="2"/>
  <c r="G1498" i="2"/>
  <c r="F1498" i="2"/>
  <c r="D1498" i="2"/>
  <c r="H1498" i="2" s="1"/>
  <c r="T1497" i="2"/>
  <c r="J1497" i="2"/>
  <c r="G1497" i="2"/>
  <c r="F1497" i="2"/>
  <c r="E1497" i="2"/>
  <c r="D1497" i="2"/>
  <c r="H1497" i="2" s="1"/>
  <c r="P1497" i="2" s="1"/>
  <c r="C1497" i="2" s="1"/>
  <c r="T1496" i="2"/>
  <c r="G1496" i="2"/>
  <c r="F1496" i="2"/>
  <c r="E1496" i="2"/>
  <c r="T1495" i="2"/>
  <c r="P1495" i="2"/>
  <c r="C1495" i="2" s="1"/>
  <c r="J1495" i="2"/>
  <c r="H1495" i="2"/>
  <c r="G1495" i="2"/>
  <c r="F1495" i="2"/>
  <c r="D1495" i="2"/>
  <c r="T1494" i="2"/>
  <c r="P1494" i="2"/>
  <c r="C1494" i="2" s="1"/>
  <c r="J1494" i="2"/>
  <c r="G1494" i="2"/>
  <c r="F1494" i="2"/>
  <c r="E1494" i="2"/>
  <c r="D1599" i="2" s="1"/>
  <c r="D1494" i="2"/>
  <c r="H1494" i="2" s="1"/>
  <c r="T1493" i="2"/>
  <c r="G1493" i="2"/>
  <c r="F1493" i="2"/>
  <c r="E1493" i="2"/>
  <c r="D1591" i="2" s="1"/>
  <c r="H1591" i="2" s="1"/>
  <c r="P1591" i="2" s="1"/>
  <c r="C1591" i="2" s="1"/>
  <c r="T1492" i="2"/>
  <c r="J1492" i="2"/>
  <c r="G1492" i="2"/>
  <c r="F1492" i="2"/>
  <c r="E1492" i="2"/>
  <c r="D1492" i="2" s="1"/>
  <c r="T1491" i="2"/>
  <c r="P1491" i="2"/>
  <c r="L1491" i="2"/>
  <c r="H1491" i="2" s="1"/>
  <c r="T1490" i="2"/>
  <c r="P1490" i="2"/>
  <c r="L1490" i="2"/>
  <c r="H1490" i="2"/>
  <c r="D1490" i="2"/>
  <c r="T1489" i="2"/>
  <c r="G1489" i="2"/>
  <c r="F1489" i="2"/>
  <c r="E1489" i="2"/>
  <c r="C1489" i="2"/>
  <c r="T1488" i="2"/>
  <c r="G1488" i="2"/>
  <c r="F1488" i="2"/>
  <c r="E1488" i="2"/>
  <c r="C1488" i="2"/>
  <c r="T1487" i="2"/>
  <c r="G1487" i="2"/>
  <c r="F1487" i="2"/>
  <c r="E1487" i="2"/>
  <c r="D1487" i="2"/>
  <c r="C1487" i="2"/>
  <c r="T1486" i="2"/>
  <c r="G1486" i="2"/>
  <c r="F1486" i="2"/>
  <c r="E1486" i="2"/>
  <c r="C1486" i="2"/>
  <c r="T1485" i="2"/>
  <c r="G1485" i="2"/>
  <c r="F1485" i="2"/>
  <c r="E1485" i="2"/>
  <c r="C1485" i="2"/>
  <c r="T1484" i="2"/>
  <c r="N1484" i="2"/>
  <c r="M1484" i="2"/>
  <c r="J1484" i="2"/>
  <c r="I1484" i="2"/>
  <c r="G1484" i="2"/>
  <c r="F1484" i="2"/>
  <c r="E1484" i="2"/>
  <c r="T1483" i="2"/>
  <c r="N1483" i="2"/>
  <c r="M1483" i="2"/>
  <c r="K1483" i="2"/>
  <c r="J1483" i="2"/>
  <c r="I1483" i="2"/>
  <c r="G1483" i="2"/>
  <c r="F1483" i="2"/>
  <c r="E1483" i="2"/>
  <c r="T1482" i="2"/>
  <c r="N1482" i="2"/>
  <c r="M1482" i="2"/>
  <c r="J1482" i="2"/>
  <c r="I1482" i="2"/>
  <c r="G1482" i="2"/>
  <c r="F1482" i="2"/>
  <c r="T1481" i="2"/>
  <c r="L1481" i="2"/>
  <c r="K1481" i="2"/>
  <c r="H1481" i="2" s="1"/>
  <c r="T1480" i="2"/>
  <c r="G1480" i="2"/>
  <c r="F1480" i="2"/>
  <c r="E1480" i="2"/>
  <c r="C1480" i="2"/>
  <c r="T1479" i="2"/>
  <c r="G1479" i="2"/>
  <c r="F1479" i="2"/>
  <c r="E1479" i="2"/>
  <c r="C1479" i="2"/>
  <c r="T1478" i="2"/>
  <c r="G1478" i="2"/>
  <c r="F1478" i="2"/>
  <c r="E1478" i="2"/>
  <c r="D1478" i="2"/>
  <c r="C1478" i="2"/>
  <c r="T1477" i="2"/>
  <c r="G1477" i="2"/>
  <c r="F1477" i="2"/>
  <c r="E1477" i="2"/>
  <c r="C1477" i="2"/>
  <c r="T1476" i="2"/>
  <c r="G1476" i="2"/>
  <c r="F1476" i="2"/>
  <c r="E1476" i="2"/>
  <c r="C1476" i="2"/>
  <c r="T1475" i="2"/>
  <c r="N1475" i="2"/>
  <c r="M1475" i="2"/>
  <c r="J1475" i="2"/>
  <c r="I1475" i="2"/>
  <c r="G1475" i="2"/>
  <c r="F1475" i="2"/>
  <c r="E1475" i="2"/>
  <c r="T1474" i="2"/>
  <c r="N1474" i="2"/>
  <c r="M1474" i="2"/>
  <c r="J1474" i="2"/>
  <c r="I1474" i="2"/>
  <c r="G1474" i="2"/>
  <c r="F1474" i="2"/>
  <c r="E1474" i="2"/>
  <c r="T1473" i="2"/>
  <c r="N1473" i="2"/>
  <c r="M1473" i="2"/>
  <c r="J1473" i="2"/>
  <c r="I1473" i="2"/>
  <c r="G1473" i="2"/>
  <c r="F1473" i="2"/>
  <c r="T1472" i="2"/>
  <c r="L1472" i="2"/>
  <c r="L1475" i="2" s="1"/>
  <c r="K1472" i="2"/>
  <c r="K1475" i="2" s="1"/>
  <c r="T1471" i="2"/>
  <c r="G1471" i="2"/>
  <c r="F1471" i="2"/>
  <c r="E1471" i="2"/>
  <c r="C1471" i="2"/>
  <c r="T1470" i="2"/>
  <c r="G1470" i="2"/>
  <c r="F1470" i="2"/>
  <c r="E1470" i="2"/>
  <c r="C1470" i="2"/>
  <c r="T1469" i="2"/>
  <c r="G1469" i="2"/>
  <c r="F1469" i="2"/>
  <c r="E1469" i="2"/>
  <c r="D1469" i="2"/>
  <c r="C1469" i="2"/>
  <c r="T1468" i="2"/>
  <c r="G1468" i="2"/>
  <c r="F1468" i="2"/>
  <c r="E1468" i="2"/>
  <c r="C1468" i="2"/>
  <c r="T1467" i="2"/>
  <c r="G1467" i="2"/>
  <c r="F1467" i="2"/>
  <c r="E1467" i="2"/>
  <c r="C1467" i="2"/>
  <c r="T1466" i="2"/>
  <c r="N1466" i="2"/>
  <c r="M1466" i="2"/>
  <c r="L1466" i="2"/>
  <c r="K1466" i="2"/>
  <c r="J1466" i="2"/>
  <c r="I1466" i="2"/>
  <c r="G1466" i="2"/>
  <c r="F1466" i="2"/>
  <c r="E1466" i="2"/>
  <c r="T1465" i="2"/>
  <c r="N1465" i="2"/>
  <c r="M1465" i="2"/>
  <c r="L1465" i="2"/>
  <c r="K1465" i="2"/>
  <c r="J1465" i="2"/>
  <c r="I1465" i="2"/>
  <c r="G1465" i="2"/>
  <c r="F1465" i="2"/>
  <c r="E1465" i="2"/>
  <c r="T1464" i="2"/>
  <c r="N1464" i="2"/>
  <c r="M1464" i="2"/>
  <c r="L1464" i="2"/>
  <c r="K1464" i="2"/>
  <c r="J1464" i="2"/>
  <c r="I1464" i="2"/>
  <c r="H1464" i="2"/>
  <c r="C1464" i="2" s="1"/>
  <c r="G1464" i="2"/>
  <c r="F1464" i="2"/>
  <c r="T1463" i="2"/>
  <c r="L1463" i="2"/>
  <c r="K1463" i="2"/>
  <c r="H1463" i="2"/>
  <c r="H1466" i="2" s="1"/>
  <c r="C1466" i="2" s="1"/>
  <c r="T1462" i="2"/>
  <c r="G1462" i="2"/>
  <c r="F1462" i="2"/>
  <c r="E1462" i="2"/>
  <c r="C1462" i="2"/>
  <c r="T1461" i="2"/>
  <c r="G1461" i="2"/>
  <c r="F1461" i="2"/>
  <c r="E1461" i="2"/>
  <c r="C1461" i="2"/>
  <c r="T1460" i="2"/>
  <c r="G1460" i="2"/>
  <c r="F1460" i="2"/>
  <c r="E1460" i="2"/>
  <c r="D1460" i="2"/>
  <c r="C1460" i="2"/>
  <c r="T1459" i="2"/>
  <c r="G1459" i="2"/>
  <c r="F1459" i="2"/>
  <c r="E1459" i="2"/>
  <c r="C1459" i="2"/>
  <c r="T1458" i="2"/>
  <c r="G1458" i="2"/>
  <c r="F1458" i="2"/>
  <c r="E1458" i="2"/>
  <c r="C1458" i="2"/>
  <c r="T1457" i="2"/>
  <c r="N1457" i="2"/>
  <c r="M1457" i="2"/>
  <c r="K1457" i="2"/>
  <c r="J1457" i="2"/>
  <c r="I1457" i="2"/>
  <c r="G1457" i="2"/>
  <c r="F1457" i="2"/>
  <c r="E1457" i="2"/>
  <c r="T1456" i="2"/>
  <c r="N1456" i="2"/>
  <c r="M1456" i="2"/>
  <c r="L1456" i="2"/>
  <c r="K1456" i="2"/>
  <c r="J1456" i="2"/>
  <c r="I1456" i="2"/>
  <c r="G1456" i="2"/>
  <c r="F1456" i="2"/>
  <c r="E1456" i="2"/>
  <c r="T1455" i="2"/>
  <c r="N1455" i="2"/>
  <c r="M1455" i="2"/>
  <c r="K1455" i="2"/>
  <c r="J1455" i="2"/>
  <c r="I1455" i="2"/>
  <c r="G1455" i="2"/>
  <c r="F1455" i="2"/>
  <c r="T1454" i="2"/>
  <c r="P1454" i="2"/>
  <c r="C1454" i="2" s="1"/>
  <c r="L1454" i="2"/>
  <c r="L1457" i="2" s="1"/>
  <c r="K1454" i="2"/>
  <c r="H1454" i="2"/>
  <c r="H1457" i="2" s="1"/>
  <c r="C1457" i="2" s="1"/>
  <c r="T1453" i="2"/>
  <c r="G1453" i="2"/>
  <c r="F1453" i="2"/>
  <c r="E1453" i="2"/>
  <c r="C1453" i="2"/>
  <c r="T1452" i="2"/>
  <c r="G1452" i="2"/>
  <c r="F1452" i="2"/>
  <c r="E1452" i="2"/>
  <c r="C1452" i="2"/>
  <c r="T1451" i="2"/>
  <c r="G1451" i="2"/>
  <c r="F1451" i="2"/>
  <c r="E1451" i="2"/>
  <c r="D1451" i="2"/>
  <c r="C1451" i="2"/>
  <c r="T1450" i="2"/>
  <c r="G1450" i="2"/>
  <c r="F1450" i="2"/>
  <c r="E1450" i="2"/>
  <c r="C1450" i="2"/>
  <c r="T1449" i="2"/>
  <c r="G1449" i="2"/>
  <c r="F1449" i="2"/>
  <c r="E1449" i="2"/>
  <c r="C1449" i="2"/>
  <c r="T1448" i="2"/>
  <c r="N1448" i="2"/>
  <c r="M1448" i="2"/>
  <c r="K1448" i="2"/>
  <c r="J1448" i="2"/>
  <c r="I1448" i="2"/>
  <c r="G1448" i="2"/>
  <c r="F1448" i="2"/>
  <c r="E1448" i="2"/>
  <c r="T1447" i="2"/>
  <c r="N1447" i="2"/>
  <c r="M1447" i="2"/>
  <c r="J1447" i="2"/>
  <c r="I1447" i="2"/>
  <c r="G1447" i="2"/>
  <c r="F1447" i="2"/>
  <c r="E1447" i="2"/>
  <c r="T1446" i="2"/>
  <c r="N1446" i="2"/>
  <c r="M1446" i="2"/>
  <c r="K1446" i="2"/>
  <c r="J1446" i="2"/>
  <c r="I1446" i="2"/>
  <c r="G1446" i="2"/>
  <c r="F1446" i="2"/>
  <c r="T1445" i="2"/>
  <c r="L1445" i="2"/>
  <c r="L1448" i="2" s="1"/>
  <c r="K1445" i="2"/>
  <c r="H1445" i="2" s="1"/>
  <c r="T1444" i="2"/>
  <c r="G1444" i="2"/>
  <c r="F1444" i="2"/>
  <c r="E1444" i="2"/>
  <c r="C1444" i="2"/>
  <c r="T1443" i="2"/>
  <c r="G1443" i="2"/>
  <c r="F1443" i="2"/>
  <c r="E1443" i="2"/>
  <c r="C1443" i="2"/>
  <c r="T1442" i="2"/>
  <c r="G1442" i="2"/>
  <c r="F1442" i="2"/>
  <c r="E1442" i="2"/>
  <c r="D1442" i="2"/>
  <c r="C1442" i="2"/>
  <c r="T1441" i="2"/>
  <c r="G1441" i="2"/>
  <c r="F1441" i="2"/>
  <c r="E1441" i="2"/>
  <c r="C1441" i="2"/>
  <c r="T1440" i="2"/>
  <c r="G1440" i="2"/>
  <c r="F1440" i="2"/>
  <c r="E1440" i="2"/>
  <c r="C1440" i="2"/>
  <c r="T1439" i="2"/>
  <c r="N1439" i="2"/>
  <c r="M1439" i="2"/>
  <c r="J1439" i="2"/>
  <c r="I1439" i="2"/>
  <c r="G1439" i="2"/>
  <c r="F1439" i="2"/>
  <c r="E1439" i="2"/>
  <c r="T1438" i="2"/>
  <c r="N1438" i="2"/>
  <c r="M1438" i="2"/>
  <c r="L1438" i="2"/>
  <c r="J1438" i="2"/>
  <c r="I1438" i="2"/>
  <c r="G1438" i="2"/>
  <c r="F1438" i="2"/>
  <c r="E1438" i="2"/>
  <c r="T1437" i="2"/>
  <c r="N1437" i="2"/>
  <c r="M1437" i="2"/>
  <c r="J1437" i="2"/>
  <c r="I1437" i="2"/>
  <c r="G1437" i="2"/>
  <c r="F1437" i="2"/>
  <c r="T1436" i="2"/>
  <c r="L1436" i="2"/>
  <c r="L1439" i="2" s="1"/>
  <c r="K1436" i="2"/>
  <c r="T1435" i="2"/>
  <c r="G1435" i="2"/>
  <c r="F1435" i="2"/>
  <c r="E1435" i="2"/>
  <c r="C1435" i="2"/>
  <c r="T1434" i="2"/>
  <c r="G1434" i="2"/>
  <c r="F1434" i="2"/>
  <c r="E1434" i="2"/>
  <c r="C1434" i="2"/>
  <c r="T1433" i="2"/>
  <c r="G1433" i="2"/>
  <c r="F1433" i="2"/>
  <c r="E1433" i="2"/>
  <c r="D1433" i="2"/>
  <c r="C1433" i="2"/>
  <c r="T1432" i="2"/>
  <c r="G1432" i="2"/>
  <c r="F1432" i="2"/>
  <c r="E1432" i="2"/>
  <c r="C1432" i="2"/>
  <c r="T1431" i="2"/>
  <c r="G1431" i="2"/>
  <c r="F1431" i="2"/>
  <c r="E1431" i="2"/>
  <c r="C1431" i="2"/>
  <c r="T1430" i="2"/>
  <c r="N1430" i="2"/>
  <c r="M1430" i="2"/>
  <c r="L1430" i="2"/>
  <c r="J1430" i="2"/>
  <c r="I1430" i="2"/>
  <c r="G1430" i="2"/>
  <c r="F1430" i="2"/>
  <c r="E1430" i="2"/>
  <c r="T1429" i="2"/>
  <c r="N1429" i="2"/>
  <c r="M1429" i="2"/>
  <c r="L1429" i="2"/>
  <c r="J1429" i="2"/>
  <c r="I1429" i="2"/>
  <c r="G1429" i="2"/>
  <c r="F1429" i="2"/>
  <c r="E1429" i="2"/>
  <c r="T1428" i="2"/>
  <c r="N1428" i="2"/>
  <c r="M1428" i="2"/>
  <c r="L1428" i="2"/>
  <c r="J1428" i="2"/>
  <c r="I1428" i="2"/>
  <c r="G1428" i="2"/>
  <c r="F1428" i="2"/>
  <c r="T1427" i="2"/>
  <c r="L1427" i="2"/>
  <c r="K1427" i="2"/>
  <c r="K1430" i="2" s="1"/>
  <c r="T1426" i="2"/>
  <c r="G1426" i="2"/>
  <c r="F1426" i="2"/>
  <c r="E1426" i="2"/>
  <c r="C1426" i="2"/>
  <c r="T1425" i="2"/>
  <c r="G1425" i="2"/>
  <c r="F1425" i="2"/>
  <c r="E1425" i="2"/>
  <c r="C1425" i="2"/>
  <c r="T1424" i="2"/>
  <c r="G1424" i="2"/>
  <c r="F1424" i="2"/>
  <c r="E1424" i="2"/>
  <c r="D1424" i="2"/>
  <c r="C1424" i="2"/>
  <c r="T1423" i="2"/>
  <c r="G1423" i="2"/>
  <c r="F1423" i="2"/>
  <c r="E1423" i="2"/>
  <c r="C1423" i="2"/>
  <c r="T1422" i="2"/>
  <c r="G1422" i="2"/>
  <c r="F1422" i="2"/>
  <c r="E1422" i="2"/>
  <c r="C1422" i="2"/>
  <c r="T1421" i="2"/>
  <c r="N1421" i="2"/>
  <c r="M1421" i="2"/>
  <c r="L1421" i="2"/>
  <c r="K1421" i="2"/>
  <c r="J1421" i="2"/>
  <c r="I1421" i="2"/>
  <c r="G1421" i="2"/>
  <c r="F1421" i="2"/>
  <c r="E1421" i="2"/>
  <c r="T1420" i="2"/>
  <c r="N1420" i="2"/>
  <c r="M1420" i="2"/>
  <c r="K1420" i="2"/>
  <c r="J1420" i="2"/>
  <c r="I1420" i="2"/>
  <c r="G1420" i="2"/>
  <c r="F1420" i="2"/>
  <c r="E1420" i="2"/>
  <c r="T1419" i="2"/>
  <c r="N1419" i="2"/>
  <c r="M1419" i="2"/>
  <c r="L1419" i="2"/>
  <c r="K1419" i="2"/>
  <c r="J1419" i="2"/>
  <c r="I1419" i="2"/>
  <c r="G1419" i="2"/>
  <c r="F1419" i="2"/>
  <c r="T1418" i="2"/>
  <c r="L1418" i="2"/>
  <c r="L1420" i="2" s="1"/>
  <c r="K1418" i="2"/>
  <c r="H1418" i="2" s="1"/>
  <c r="T1417" i="2"/>
  <c r="G1417" i="2"/>
  <c r="F1417" i="2"/>
  <c r="E1417" i="2"/>
  <c r="C1417" i="2"/>
  <c r="T1416" i="2"/>
  <c r="G1416" i="2"/>
  <c r="F1416" i="2"/>
  <c r="E1416" i="2"/>
  <c r="C1416" i="2"/>
  <c r="T1415" i="2"/>
  <c r="G1415" i="2"/>
  <c r="F1415" i="2"/>
  <c r="E1415" i="2"/>
  <c r="C1415" i="2"/>
  <c r="T1414" i="2"/>
  <c r="Q1414" i="2"/>
  <c r="G1414" i="2"/>
  <c r="F1414" i="2"/>
  <c r="E1414" i="2"/>
  <c r="T1413" i="2"/>
  <c r="Q1413" i="2"/>
  <c r="G1413" i="2"/>
  <c r="F1413" i="2"/>
  <c r="E1413" i="2"/>
  <c r="T1412" i="2"/>
  <c r="Q1412" i="2"/>
  <c r="N1412" i="2"/>
  <c r="M1412" i="2"/>
  <c r="J1412" i="2"/>
  <c r="I1412" i="2"/>
  <c r="G1412" i="2"/>
  <c r="F1412" i="2"/>
  <c r="E1412" i="2"/>
  <c r="T1411" i="2"/>
  <c r="Q1411" i="2"/>
  <c r="N1411" i="2"/>
  <c r="M1411" i="2"/>
  <c r="L1411" i="2"/>
  <c r="K1411" i="2"/>
  <c r="J1411" i="2"/>
  <c r="I1411" i="2"/>
  <c r="G1411" i="2"/>
  <c r="F1411" i="2"/>
  <c r="T1410" i="2"/>
  <c r="L1410" i="2"/>
  <c r="L1412" i="2" s="1"/>
  <c r="K1410" i="2"/>
  <c r="K1412" i="2" s="1"/>
  <c r="T1409" i="2"/>
  <c r="G1409" i="2"/>
  <c r="F1409" i="2"/>
  <c r="E1409" i="2"/>
  <c r="C1409" i="2"/>
  <c r="T1408" i="2"/>
  <c r="G1408" i="2"/>
  <c r="F1408" i="2"/>
  <c r="E1408" i="2"/>
  <c r="C1408" i="2"/>
  <c r="T1407" i="2"/>
  <c r="G1407" i="2"/>
  <c r="F1407" i="2"/>
  <c r="E1407" i="2"/>
  <c r="C1407" i="2"/>
  <c r="T1406" i="2"/>
  <c r="R1406" i="2"/>
  <c r="G1406" i="2"/>
  <c r="F1406" i="2"/>
  <c r="E1406" i="2"/>
  <c r="T1405" i="2"/>
  <c r="R1405" i="2"/>
  <c r="G1405" i="2"/>
  <c r="F1405" i="2"/>
  <c r="E1405" i="2"/>
  <c r="T1404" i="2"/>
  <c r="R1404" i="2"/>
  <c r="N1404" i="2"/>
  <c r="M1404" i="2"/>
  <c r="J1404" i="2"/>
  <c r="I1404" i="2"/>
  <c r="G1404" i="2"/>
  <c r="F1404" i="2"/>
  <c r="E1404" i="2"/>
  <c r="T1403" i="2"/>
  <c r="R1403" i="2"/>
  <c r="N1403" i="2"/>
  <c r="M1403" i="2"/>
  <c r="L1403" i="2"/>
  <c r="K1403" i="2"/>
  <c r="J1403" i="2"/>
  <c r="I1403" i="2"/>
  <c r="G1403" i="2"/>
  <c r="F1403" i="2"/>
  <c r="T1402" i="2"/>
  <c r="L1402" i="2"/>
  <c r="L1404" i="2" s="1"/>
  <c r="K1402" i="2"/>
  <c r="K1404" i="2" s="1"/>
  <c r="T1401" i="2"/>
  <c r="G1401" i="2"/>
  <c r="F1401" i="2"/>
  <c r="E1401" i="2"/>
  <c r="C1401" i="2"/>
  <c r="T1400" i="2"/>
  <c r="G1400" i="2"/>
  <c r="F1400" i="2"/>
  <c r="E1400" i="2"/>
  <c r="C1400" i="2"/>
  <c r="T1399" i="2"/>
  <c r="G1399" i="2"/>
  <c r="F1399" i="2"/>
  <c r="E1399" i="2"/>
  <c r="C1399" i="2"/>
  <c r="T1398" i="2"/>
  <c r="N1398" i="2"/>
  <c r="M1398" i="2"/>
  <c r="L1398" i="2"/>
  <c r="J1398" i="2"/>
  <c r="I1398" i="2"/>
  <c r="G1398" i="2"/>
  <c r="F1398" i="2"/>
  <c r="T1397" i="2"/>
  <c r="N1397" i="2"/>
  <c r="M1397" i="2"/>
  <c r="L1397" i="2"/>
  <c r="J1397" i="2"/>
  <c r="I1397" i="2"/>
  <c r="G1397" i="2"/>
  <c r="F1397" i="2"/>
  <c r="T1396" i="2"/>
  <c r="N1396" i="2"/>
  <c r="M1396" i="2"/>
  <c r="L1396" i="2"/>
  <c r="J1396" i="2"/>
  <c r="I1396" i="2"/>
  <c r="G1396" i="2"/>
  <c r="F1396" i="2"/>
  <c r="T1395" i="2"/>
  <c r="N1395" i="2"/>
  <c r="M1395" i="2"/>
  <c r="L1395" i="2"/>
  <c r="J1395" i="2"/>
  <c r="I1395" i="2"/>
  <c r="H1395" i="2"/>
  <c r="C1395" i="2" s="1"/>
  <c r="G1395" i="2"/>
  <c r="F1395" i="2"/>
  <c r="T1394" i="2"/>
  <c r="N1394" i="2"/>
  <c r="M1394" i="2"/>
  <c r="K1394" i="2"/>
  <c r="J1394" i="2"/>
  <c r="I1394" i="2"/>
  <c r="G1394" i="2"/>
  <c r="F1394" i="2"/>
  <c r="T1393" i="2"/>
  <c r="N1393" i="2"/>
  <c r="M1393" i="2"/>
  <c r="J1393" i="2"/>
  <c r="I1393" i="2"/>
  <c r="G1393" i="2"/>
  <c r="F1393" i="2"/>
  <c r="T1392" i="2"/>
  <c r="N1392" i="2"/>
  <c r="M1392" i="2"/>
  <c r="L1392" i="2"/>
  <c r="J1392" i="2"/>
  <c r="I1392" i="2"/>
  <c r="G1392" i="2"/>
  <c r="F1392" i="2"/>
  <c r="T1391" i="2"/>
  <c r="N1391" i="2"/>
  <c r="M1391" i="2"/>
  <c r="L1391" i="2"/>
  <c r="J1391" i="2"/>
  <c r="I1391" i="2"/>
  <c r="G1391" i="2"/>
  <c r="F1391" i="2"/>
  <c r="T1390" i="2"/>
  <c r="L1390" i="2"/>
  <c r="L1393" i="2" s="1"/>
  <c r="K1390" i="2"/>
  <c r="K1391" i="2" s="1"/>
  <c r="H1390" i="2"/>
  <c r="H1392" i="2" s="1"/>
  <c r="C1392" i="2" s="1"/>
  <c r="T1389" i="2"/>
  <c r="G1389" i="2"/>
  <c r="F1389" i="2"/>
  <c r="E1389" i="2"/>
  <c r="C1389" i="2"/>
  <c r="T1388" i="2"/>
  <c r="G1388" i="2"/>
  <c r="F1388" i="2"/>
  <c r="E1388" i="2"/>
  <c r="C1388" i="2"/>
  <c r="T1387" i="2"/>
  <c r="G1387" i="2"/>
  <c r="F1387" i="2"/>
  <c r="E1387" i="2"/>
  <c r="D1387" i="2"/>
  <c r="C1387" i="2"/>
  <c r="T1386" i="2"/>
  <c r="N1386" i="2"/>
  <c r="M1386" i="2"/>
  <c r="J1386" i="2"/>
  <c r="I1386" i="2"/>
  <c r="G1386" i="2"/>
  <c r="F1386" i="2"/>
  <c r="T1385" i="2"/>
  <c r="N1385" i="2"/>
  <c r="M1385" i="2"/>
  <c r="J1385" i="2"/>
  <c r="I1385" i="2"/>
  <c r="G1385" i="2"/>
  <c r="F1385" i="2"/>
  <c r="T1384" i="2"/>
  <c r="N1384" i="2"/>
  <c r="M1384" i="2"/>
  <c r="K1384" i="2"/>
  <c r="J1384" i="2"/>
  <c r="I1384" i="2"/>
  <c r="G1384" i="2"/>
  <c r="F1384" i="2"/>
  <c r="T1383" i="2"/>
  <c r="N1383" i="2"/>
  <c r="M1383" i="2"/>
  <c r="K1383" i="2"/>
  <c r="J1383" i="2"/>
  <c r="I1383" i="2"/>
  <c r="G1383" i="2"/>
  <c r="F1383" i="2"/>
  <c r="T1382" i="2"/>
  <c r="N1382" i="2"/>
  <c r="M1382" i="2"/>
  <c r="J1382" i="2"/>
  <c r="I1382" i="2"/>
  <c r="G1382" i="2"/>
  <c r="F1382" i="2"/>
  <c r="T1381" i="2"/>
  <c r="N1381" i="2"/>
  <c r="M1381" i="2"/>
  <c r="J1381" i="2"/>
  <c r="I1381" i="2"/>
  <c r="G1381" i="2"/>
  <c r="F1381" i="2"/>
  <c r="T1380" i="2"/>
  <c r="N1380" i="2"/>
  <c r="M1380" i="2"/>
  <c r="K1380" i="2"/>
  <c r="J1380" i="2"/>
  <c r="I1380" i="2"/>
  <c r="G1380" i="2"/>
  <c r="F1380" i="2"/>
  <c r="T1379" i="2"/>
  <c r="N1379" i="2"/>
  <c r="M1379" i="2"/>
  <c r="J1379" i="2"/>
  <c r="I1379" i="2"/>
  <c r="G1379" i="2"/>
  <c r="F1379" i="2"/>
  <c r="T1378" i="2"/>
  <c r="L1378" i="2"/>
  <c r="K1378" i="2"/>
  <c r="K1381" i="2" s="1"/>
  <c r="T1377" i="2"/>
  <c r="G1377" i="2"/>
  <c r="F1377" i="2"/>
  <c r="E1377" i="2"/>
  <c r="C1377" i="2"/>
  <c r="T1376" i="2"/>
  <c r="G1376" i="2"/>
  <c r="F1376" i="2"/>
  <c r="E1376" i="2"/>
  <c r="C1376" i="2"/>
  <c r="T1375" i="2"/>
  <c r="G1375" i="2"/>
  <c r="F1375" i="2"/>
  <c r="E1375" i="2"/>
  <c r="D1375" i="2"/>
  <c r="C1375" i="2"/>
  <c r="T1374" i="2"/>
  <c r="J1374" i="2"/>
  <c r="I1374" i="2"/>
  <c r="G1374" i="2"/>
  <c r="F1374" i="2"/>
  <c r="T1373" i="2"/>
  <c r="J1373" i="2"/>
  <c r="I1373" i="2"/>
  <c r="G1373" i="2"/>
  <c r="F1373" i="2"/>
  <c r="T1372" i="2"/>
  <c r="J1372" i="2"/>
  <c r="I1372" i="2"/>
  <c r="G1372" i="2"/>
  <c r="F1372" i="2"/>
  <c r="T1371" i="2"/>
  <c r="J1371" i="2"/>
  <c r="I1371" i="2"/>
  <c r="G1371" i="2"/>
  <c r="F1371" i="2"/>
  <c r="T1370" i="2"/>
  <c r="J1370" i="2"/>
  <c r="I1370" i="2"/>
  <c r="G1370" i="2"/>
  <c r="F1370" i="2"/>
  <c r="T1369" i="2"/>
  <c r="J1369" i="2"/>
  <c r="I1369" i="2"/>
  <c r="G1369" i="2"/>
  <c r="F1369" i="2"/>
  <c r="T1368" i="2"/>
  <c r="J1368" i="2"/>
  <c r="I1368" i="2"/>
  <c r="G1368" i="2"/>
  <c r="F1368" i="2"/>
  <c r="T1367" i="2"/>
  <c r="J1367" i="2"/>
  <c r="I1367" i="2"/>
  <c r="H1367" i="2"/>
  <c r="C1367" i="2" s="1"/>
  <c r="G1367" i="2"/>
  <c r="F1367" i="2"/>
  <c r="T1366" i="2"/>
  <c r="J1366" i="2"/>
  <c r="I1366" i="2"/>
  <c r="G1366" i="2"/>
  <c r="F1366" i="2"/>
  <c r="T1365" i="2"/>
  <c r="L1365" i="2"/>
  <c r="K1365" i="2"/>
  <c r="H1365" i="2" s="1"/>
  <c r="T1364" i="2"/>
  <c r="G1364" i="2"/>
  <c r="F1364" i="2"/>
  <c r="E1364" i="2"/>
  <c r="C1364" i="2"/>
  <c r="T1363" i="2"/>
  <c r="G1363" i="2"/>
  <c r="F1363" i="2"/>
  <c r="E1363" i="2"/>
  <c r="C1363" i="2"/>
  <c r="T1362" i="2"/>
  <c r="G1362" i="2"/>
  <c r="F1362" i="2"/>
  <c r="E1362" i="2"/>
  <c r="D1362" i="2"/>
  <c r="C1362" i="2"/>
  <c r="T1361" i="2"/>
  <c r="N1361" i="2"/>
  <c r="M1361" i="2"/>
  <c r="L1361" i="2"/>
  <c r="K1361" i="2"/>
  <c r="J1361" i="2"/>
  <c r="I1361" i="2"/>
  <c r="H1361" i="2"/>
  <c r="C1361" i="2" s="1"/>
  <c r="G1361" i="2"/>
  <c r="F1361" i="2"/>
  <c r="T1360" i="2"/>
  <c r="N1360" i="2"/>
  <c r="M1360" i="2"/>
  <c r="K1360" i="2"/>
  <c r="J1360" i="2"/>
  <c r="I1360" i="2"/>
  <c r="G1360" i="2"/>
  <c r="F1360" i="2"/>
  <c r="T1359" i="2"/>
  <c r="N1359" i="2"/>
  <c r="M1359" i="2"/>
  <c r="K1359" i="2"/>
  <c r="J1359" i="2"/>
  <c r="I1359" i="2"/>
  <c r="G1359" i="2"/>
  <c r="F1359" i="2"/>
  <c r="T1358" i="2"/>
  <c r="N1358" i="2"/>
  <c r="M1358" i="2"/>
  <c r="K1358" i="2"/>
  <c r="J1358" i="2"/>
  <c r="I1358" i="2"/>
  <c r="G1358" i="2"/>
  <c r="F1358" i="2"/>
  <c r="T1357" i="2"/>
  <c r="N1357" i="2"/>
  <c r="M1357" i="2"/>
  <c r="L1357" i="2"/>
  <c r="K1357" i="2"/>
  <c r="J1357" i="2"/>
  <c r="I1357" i="2"/>
  <c r="G1357" i="2"/>
  <c r="F1357" i="2"/>
  <c r="T1356" i="2"/>
  <c r="N1356" i="2"/>
  <c r="M1356" i="2"/>
  <c r="L1356" i="2"/>
  <c r="K1356" i="2"/>
  <c r="J1356" i="2"/>
  <c r="I1356" i="2"/>
  <c r="G1356" i="2"/>
  <c r="F1356" i="2"/>
  <c r="T1355" i="2"/>
  <c r="N1355" i="2"/>
  <c r="M1355" i="2"/>
  <c r="J1355" i="2"/>
  <c r="I1355" i="2"/>
  <c r="G1355" i="2"/>
  <c r="F1355" i="2"/>
  <c r="T1354" i="2"/>
  <c r="N1354" i="2"/>
  <c r="M1354" i="2"/>
  <c r="J1354" i="2"/>
  <c r="I1354" i="2"/>
  <c r="G1354" i="2"/>
  <c r="F1354" i="2"/>
  <c r="T1353" i="2"/>
  <c r="N1353" i="2"/>
  <c r="M1353" i="2"/>
  <c r="L1353" i="2"/>
  <c r="K1353" i="2"/>
  <c r="J1353" i="2"/>
  <c r="I1353" i="2"/>
  <c r="H1353" i="2"/>
  <c r="C1353" i="2" s="1"/>
  <c r="G1353" i="2"/>
  <c r="F1353" i="2"/>
  <c r="T1352" i="2"/>
  <c r="N1352" i="2"/>
  <c r="M1352" i="2"/>
  <c r="K1352" i="2"/>
  <c r="J1352" i="2"/>
  <c r="I1352" i="2"/>
  <c r="G1352" i="2"/>
  <c r="F1352" i="2"/>
  <c r="T1351" i="2"/>
  <c r="P1351" i="2"/>
  <c r="C1351" i="2" s="1"/>
  <c r="L1351" i="2"/>
  <c r="L1354" i="2" s="1"/>
  <c r="K1351" i="2"/>
  <c r="K1354" i="2" s="1"/>
  <c r="H1351" i="2"/>
  <c r="H1358" i="2" s="1"/>
  <c r="C1358" i="2" s="1"/>
  <c r="T1350" i="2"/>
  <c r="G1350" i="2"/>
  <c r="F1350" i="2"/>
  <c r="E1350" i="2"/>
  <c r="C1350" i="2"/>
  <c r="T1349" i="2"/>
  <c r="G1349" i="2"/>
  <c r="F1349" i="2"/>
  <c r="E1349" i="2"/>
  <c r="C1349" i="2"/>
  <c r="T1348" i="2"/>
  <c r="G1348" i="2"/>
  <c r="F1348" i="2"/>
  <c r="E1348" i="2"/>
  <c r="C1348" i="2"/>
  <c r="T1347" i="2"/>
  <c r="G1347" i="2"/>
  <c r="F1347" i="2"/>
  <c r="E1347" i="2"/>
  <c r="D1347" i="2"/>
  <c r="C1347" i="2"/>
  <c r="T1346" i="2"/>
  <c r="N1346" i="2"/>
  <c r="M1346" i="2"/>
  <c r="J1346" i="2"/>
  <c r="I1346" i="2"/>
  <c r="G1346" i="2"/>
  <c r="F1346" i="2"/>
  <c r="T1345" i="2"/>
  <c r="N1345" i="2"/>
  <c r="M1345" i="2"/>
  <c r="J1345" i="2"/>
  <c r="I1345" i="2"/>
  <c r="G1345" i="2"/>
  <c r="F1345" i="2"/>
  <c r="T1344" i="2"/>
  <c r="N1344" i="2"/>
  <c r="M1344" i="2"/>
  <c r="L1344" i="2"/>
  <c r="J1344" i="2"/>
  <c r="I1344" i="2"/>
  <c r="G1344" i="2"/>
  <c r="F1344" i="2"/>
  <c r="T1343" i="2"/>
  <c r="N1343" i="2"/>
  <c r="M1343" i="2"/>
  <c r="K1343" i="2"/>
  <c r="J1343" i="2"/>
  <c r="I1343" i="2"/>
  <c r="G1343" i="2"/>
  <c r="F1343" i="2"/>
  <c r="T1342" i="2"/>
  <c r="N1342" i="2"/>
  <c r="M1342" i="2"/>
  <c r="K1342" i="2"/>
  <c r="J1342" i="2"/>
  <c r="I1342" i="2"/>
  <c r="G1342" i="2"/>
  <c r="F1342" i="2"/>
  <c r="T1341" i="2"/>
  <c r="N1341" i="2"/>
  <c r="M1341" i="2"/>
  <c r="L1341" i="2"/>
  <c r="J1341" i="2"/>
  <c r="I1341" i="2"/>
  <c r="G1341" i="2"/>
  <c r="F1341" i="2"/>
  <c r="T1340" i="2"/>
  <c r="N1340" i="2"/>
  <c r="M1340" i="2"/>
  <c r="L1340" i="2"/>
  <c r="J1340" i="2"/>
  <c r="I1340" i="2"/>
  <c r="G1340" i="2"/>
  <c r="F1340" i="2"/>
  <c r="T1339" i="2"/>
  <c r="N1339" i="2"/>
  <c r="M1339" i="2"/>
  <c r="L1339" i="2"/>
  <c r="K1339" i="2"/>
  <c r="J1339" i="2"/>
  <c r="I1339" i="2"/>
  <c r="G1339" i="2"/>
  <c r="F1339" i="2"/>
  <c r="T1338" i="2"/>
  <c r="N1338" i="2"/>
  <c r="M1338" i="2"/>
  <c r="J1338" i="2"/>
  <c r="I1338" i="2"/>
  <c r="G1338" i="2"/>
  <c r="F1338" i="2"/>
  <c r="T1337" i="2"/>
  <c r="N1337" i="2"/>
  <c r="M1337" i="2"/>
  <c r="L1337" i="2"/>
  <c r="J1337" i="2"/>
  <c r="I1337" i="2"/>
  <c r="G1337" i="2"/>
  <c r="F1337" i="2"/>
  <c r="T1336" i="2"/>
  <c r="N1336" i="2"/>
  <c r="M1336" i="2"/>
  <c r="L1336" i="2"/>
  <c r="K1336" i="2"/>
  <c r="J1336" i="2"/>
  <c r="I1336" i="2"/>
  <c r="G1336" i="2"/>
  <c r="F1336" i="2"/>
  <c r="T1335" i="2"/>
  <c r="L1335" i="2"/>
  <c r="L1345" i="2" s="1"/>
  <c r="K1335" i="2"/>
  <c r="K1340" i="2" s="1"/>
  <c r="H1335" i="2"/>
  <c r="H1336" i="2" s="1"/>
  <c r="C1336" i="2" s="1"/>
  <c r="T1334" i="2"/>
  <c r="G1334" i="2"/>
  <c r="F1334" i="2"/>
  <c r="E1334" i="2"/>
  <c r="C1334" i="2"/>
  <c r="T1333" i="2"/>
  <c r="G1333" i="2"/>
  <c r="F1333" i="2"/>
  <c r="E1333" i="2"/>
  <c r="C1333" i="2"/>
  <c r="T1332" i="2"/>
  <c r="G1332" i="2"/>
  <c r="F1332" i="2"/>
  <c r="E1332" i="2"/>
  <c r="D1332" i="2"/>
  <c r="D1349" i="2" s="1"/>
  <c r="C1332" i="2"/>
  <c r="T1331" i="2"/>
  <c r="N1331" i="2"/>
  <c r="M1331" i="2"/>
  <c r="J1331" i="2"/>
  <c r="I1331" i="2"/>
  <c r="G1331" i="2"/>
  <c r="F1331" i="2"/>
  <c r="T1330" i="2"/>
  <c r="N1330" i="2"/>
  <c r="M1330" i="2"/>
  <c r="L1330" i="2"/>
  <c r="J1330" i="2"/>
  <c r="I1330" i="2"/>
  <c r="G1330" i="2"/>
  <c r="F1330" i="2"/>
  <c r="T1329" i="2"/>
  <c r="N1329" i="2"/>
  <c r="M1329" i="2"/>
  <c r="J1329" i="2"/>
  <c r="I1329" i="2"/>
  <c r="G1329" i="2"/>
  <c r="F1329" i="2"/>
  <c r="T1328" i="2"/>
  <c r="N1328" i="2"/>
  <c r="M1328" i="2"/>
  <c r="J1328" i="2"/>
  <c r="I1328" i="2"/>
  <c r="G1328" i="2"/>
  <c r="F1328" i="2"/>
  <c r="T1327" i="2"/>
  <c r="N1327" i="2"/>
  <c r="M1327" i="2"/>
  <c r="J1327" i="2"/>
  <c r="I1327" i="2"/>
  <c r="G1327" i="2"/>
  <c r="F1327" i="2"/>
  <c r="T1326" i="2"/>
  <c r="N1326" i="2"/>
  <c r="M1326" i="2"/>
  <c r="L1326" i="2"/>
  <c r="J1326" i="2"/>
  <c r="I1326" i="2"/>
  <c r="G1326" i="2"/>
  <c r="F1326" i="2"/>
  <c r="T1325" i="2"/>
  <c r="N1325" i="2"/>
  <c r="M1325" i="2"/>
  <c r="K1325" i="2"/>
  <c r="J1325" i="2"/>
  <c r="I1325" i="2"/>
  <c r="G1325" i="2"/>
  <c r="F1325" i="2"/>
  <c r="T1324" i="2"/>
  <c r="N1324" i="2"/>
  <c r="M1324" i="2"/>
  <c r="J1324" i="2"/>
  <c r="I1324" i="2"/>
  <c r="G1324" i="2"/>
  <c r="F1324" i="2"/>
  <c r="T1323" i="2"/>
  <c r="N1323" i="2"/>
  <c r="M1323" i="2"/>
  <c r="J1323" i="2"/>
  <c r="I1323" i="2"/>
  <c r="G1323" i="2"/>
  <c r="F1323" i="2"/>
  <c r="T1322" i="2"/>
  <c r="L1322" i="2"/>
  <c r="L1327" i="2" s="1"/>
  <c r="K1322" i="2"/>
  <c r="T1321" i="2"/>
  <c r="G1321" i="2"/>
  <c r="F1321" i="2"/>
  <c r="E1321" i="2"/>
  <c r="C1321" i="2"/>
  <c r="T1320" i="2"/>
  <c r="G1320" i="2"/>
  <c r="F1320" i="2"/>
  <c r="E1320" i="2"/>
  <c r="C1320" i="2"/>
  <c r="T1319" i="2"/>
  <c r="G1319" i="2"/>
  <c r="F1319" i="2"/>
  <c r="E1319" i="2"/>
  <c r="D1319" i="2"/>
  <c r="C1319" i="2"/>
  <c r="T1318" i="2"/>
  <c r="N1318" i="2"/>
  <c r="M1318" i="2"/>
  <c r="J1318" i="2"/>
  <c r="I1318" i="2"/>
  <c r="G1318" i="2"/>
  <c r="F1318" i="2"/>
  <c r="T1317" i="2"/>
  <c r="N1317" i="2"/>
  <c r="M1317" i="2"/>
  <c r="J1317" i="2"/>
  <c r="I1317" i="2"/>
  <c r="G1317" i="2"/>
  <c r="F1317" i="2"/>
  <c r="T1316" i="2"/>
  <c r="N1316" i="2"/>
  <c r="M1316" i="2"/>
  <c r="J1316" i="2"/>
  <c r="I1316" i="2"/>
  <c r="G1316" i="2"/>
  <c r="F1316" i="2"/>
  <c r="T1315" i="2"/>
  <c r="N1315" i="2"/>
  <c r="M1315" i="2"/>
  <c r="K1315" i="2"/>
  <c r="J1315" i="2"/>
  <c r="I1315" i="2"/>
  <c r="G1315" i="2"/>
  <c r="F1315" i="2"/>
  <c r="T1314" i="2"/>
  <c r="N1314" i="2"/>
  <c r="M1314" i="2"/>
  <c r="J1314" i="2"/>
  <c r="I1314" i="2"/>
  <c r="G1314" i="2"/>
  <c r="F1314" i="2"/>
  <c r="T1313" i="2"/>
  <c r="N1313" i="2"/>
  <c r="M1313" i="2"/>
  <c r="J1313" i="2"/>
  <c r="I1313" i="2"/>
  <c r="G1313" i="2"/>
  <c r="F1313" i="2"/>
  <c r="T1312" i="2"/>
  <c r="N1312" i="2"/>
  <c r="M1312" i="2"/>
  <c r="L1312" i="2"/>
  <c r="J1312" i="2"/>
  <c r="I1312" i="2"/>
  <c r="G1312" i="2"/>
  <c r="F1312" i="2"/>
  <c r="T1311" i="2"/>
  <c r="N1311" i="2"/>
  <c r="M1311" i="2"/>
  <c r="J1311" i="2"/>
  <c r="I1311" i="2"/>
  <c r="G1311" i="2"/>
  <c r="F1311" i="2"/>
  <c r="T1310" i="2"/>
  <c r="N1310" i="2"/>
  <c r="M1310" i="2"/>
  <c r="L1310" i="2"/>
  <c r="K1310" i="2"/>
  <c r="J1310" i="2"/>
  <c r="I1310" i="2"/>
  <c r="H1310" i="2"/>
  <c r="G1310" i="2"/>
  <c r="F1310" i="2"/>
  <c r="C1310" i="2"/>
  <c r="T1309" i="2"/>
  <c r="N1309" i="2"/>
  <c r="M1309" i="2"/>
  <c r="J1309" i="2"/>
  <c r="I1309" i="2"/>
  <c r="G1309" i="2"/>
  <c r="F1309" i="2"/>
  <c r="T1308" i="2"/>
  <c r="L1308" i="2"/>
  <c r="L1317" i="2" s="1"/>
  <c r="K1308" i="2"/>
  <c r="K1312" i="2" s="1"/>
  <c r="T1307" i="2"/>
  <c r="G1307" i="2"/>
  <c r="F1307" i="2"/>
  <c r="E1307" i="2"/>
  <c r="C1307" i="2"/>
  <c r="T1306" i="2"/>
  <c r="G1306" i="2"/>
  <c r="F1306" i="2"/>
  <c r="E1306" i="2"/>
  <c r="D1306" i="2"/>
  <c r="C1306" i="2"/>
  <c r="T1305" i="2"/>
  <c r="G1305" i="2"/>
  <c r="F1305" i="2"/>
  <c r="E1305" i="2"/>
  <c r="C1305" i="2"/>
  <c r="T1304" i="2"/>
  <c r="G1304" i="2"/>
  <c r="F1304" i="2"/>
  <c r="E1304" i="2"/>
  <c r="D1304" i="2"/>
  <c r="C1304" i="2"/>
  <c r="T1303" i="2"/>
  <c r="N1303" i="2"/>
  <c r="M1303" i="2"/>
  <c r="L1303" i="2"/>
  <c r="J1303" i="2"/>
  <c r="I1303" i="2"/>
  <c r="G1303" i="2"/>
  <c r="F1303" i="2"/>
  <c r="T1302" i="2"/>
  <c r="N1302" i="2"/>
  <c r="M1302" i="2"/>
  <c r="K1302" i="2"/>
  <c r="J1302" i="2"/>
  <c r="I1302" i="2"/>
  <c r="G1302" i="2"/>
  <c r="F1302" i="2"/>
  <c r="T1301" i="2"/>
  <c r="N1301" i="2"/>
  <c r="M1301" i="2"/>
  <c r="K1301" i="2"/>
  <c r="J1301" i="2"/>
  <c r="I1301" i="2"/>
  <c r="G1301" i="2"/>
  <c r="F1301" i="2"/>
  <c r="T1300" i="2"/>
  <c r="N1300" i="2"/>
  <c r="M1300" i="2"/>
  <c r="J1300" i="2"/>
  <c r="I1300" i="2"/>
  <c r="G1300" i="2"/>
  <c r="F1300" i="2"/>
  <c r="T1299" i="2"/>
  <c r="N1299" i="2"/>
  <c r="M1299" i="2"/>
  <c r="L1299" i="2"/>
  <c r="K1299" i="2"/>
  <c r="J1299" i="2"/>
  <c r="I1299" i="2"/>
  <c r="G1299" i="2"/>
  <c r="F1299" i="2"/>
  <c r="T1298" i="2"/>
  <c r="N1298" i="2"/>
  <c r="M1298" i="2"/>
  <c r="K1298" i="2"/>
  <c r="J1298" i="2"/>
  <c r="I1298" i="2"/>
  <c r="G1298" i="2"/>
  <c r="F1298" i="2"/>
  <c r="T1297" i="2"/>
  <c r="N1297" i="2"/>
  <c r="M1297" i="2"/>
  <c r="K1297" i="2"/>
  <c r="J1297" i="2"/>
  <c r="I1297" i="2"/>
  <c r="G1297" i="2"/>
  <c r="F1297" i="2"/>
  <c r="T1296" i="2"/>
  <c r="N1296" i="2"/>
  <c r="M1296" i="2"/>
  <c r="J1296" i="2"/>
  <c r="I1296" i="2"/>
  <c r="G1296" i="2"/>
  <c r="F1296" i="2"/>
  <c r="T1295" i="2"/>
  <c r="N1295" i="2"/>
  <c r="M1295" i="2"/>
  <c r="L1295" i="2"/>
  <c r="K1295" i="2"/>
  <c r="J1295" i="2"/>
  <c r="I1295" i="2"/>
  <c r="G1295" i="2"/>
  <c r="F1295" i="2"/>
  <c r="T1294" i="2"/>
  <c r="N1294" i="2"/>
  <c r="M1294" i="2"/>
  <c r="L1294" i="2"/>
  <c r="K1294" i="2"/>
  <c r="J1294" i="2"/>
  <c r="I1294" i="2"/>
  <c r="G1294" i="2"/>
  <c r="F1294" i="2"/>
  <c r="T1293" i="2"/>
  <c r="L1293" i="2"/>
  <c r="L1300" i="2" s="1"/>
  <c r="K1293" i="2"/>
  <c r="K1303" i="2" s="1"/>
  <c r="T1292" i="2"/>
  <c r="G1292" i="2"/>
  <c r="F1292" i="2"/>
  <c r="E1292" i="2"/>
  <c r="C1292" i="2"/>
  <c r="T1291" i="2"/>
  <c r="G1291" i="2"/>
  <c r="F1291" i="2"/>
  <c r="E1291" i="2"/>
  <c r="C1291" i="2"/>
  <c r="T1290" i="2"/>
  <c r="G1290" i="2"/>
  <c r="F1290" i="2"/>
  <c r="E1290" i="2"/>
  <c r="D1290" i="2"/>
  <c r="C1290" i="2"/>
  <c r="T1289" i="2"/>
  <c r="N1289" i="2"/>
  <c r="M1289" i="2"/>
  <c r="L1289" i="2"/>
  <c r="J1289" i="2"/>
  <c r="I1289" i="2"/>
  <c r="G1289" i="2"/>
  <c r="F1289" i="2"/>
  <c r="T1288" i="2"/>
  <c r="N1288" i="2"/>
  <c r="M1288" i="2"/>
  <c r="L1288" i="2"/>
  <c r="K1288" i="2"/>
  <c r="J1288" i="2"/>
  <c r="I1288" i="2"/>
  <c r="G1288" i="2"/>
  <c r="F1288" i="2"/>
  <c r="T1287" i="2"/>
  <c r="N1287" i="2"/>
  <c r="M1287" i="2"/>
  <c r="J1287" i="2"/>
  <c r="I1287" i="2"/>
  <c r="G1287" i="2"/>
  <c r="F1287" i="2"/>
  <c r="T1286" i="2"/>
  <c r="N1286" i="2"/>
  <c r="M1286" i="2"/>
  <c r="L1286" i="2"/>
  <c r="J1286" i="2"/>
  <c r="I1286" i="2"/>
  <c r="G1286" i="2"/>
  <c r="F1286" i="2"/>
  <c r="T1285" i="2"/>
  <c r="N1285" i="2"/>
  <c r="M1285" i="2"/>
  <c r="L1285" i="2"/>
  <c r="J1285" i="2"/>
  <c r="I1285" i="2"/>
  <c r="G1285" i="2"/>
  <c r="F1285" i="2"/>
  <c r="T1284" i="2"/>
  <c r="N1284" i="2"/>
  <c r="M1284" i="2"/>
  <c r="L1284" i="2"/>
  <c r="K1284" i="2"/>
  <c r="J1284" i="2"/>
  <c r="I1284" i="2"/>
  <c r="G1284" i="2"/>
  <c r="F1284" i="2"/>
  <c r="T1283" i="2"/>
  <c r="N1283" i="2"/>
  <c r="M1283" i="2"/>
  <c r="J1283" i="2"/>
  <c r="I1283" i="2"/>
  <c r="G1283" i="2"/>
  <c r="F1283" i="2"/>
  <c r="T1282" i="2"/>
  <c r="N1282" i="2"/>
  <c r="M1282" i="2"/>
  <c r="L1282" i="2"/>
  <c r="J1282" i="2"/>
  <c r="I1282" i="2"/>
  <c r="G1282" i="2"/>
  <c r="F1282" i="2"/>
  <c r="T1281" i="2"/>
  <c r="N1281" i="2"/>
  <c r="M1281" i="2"/>
  <c r="L1281" i="2"/>
  <c r="K1281" i="2"/>
  <c r="J1281" i="2"/>
  <c r="I1281" i="2"/>
  <c r="H1281" i="2"/>
  <c r="C1281" i="2" s="1"/>
  <c r="G1281" i="2"/>
  <c r="F1281" i="2"/>
  <c r="T1280" i="2"/>
  <c r="L1280" i="2"/>
  <c r="L1287" i="2" s="1"/>
  <c r="K1280" i="2"/>
  <c r="K1285" i="2" s="1"/>
  <c r="H1280" i="2"/>
  <c r="T1279" i="2"/>
  <c r="G1279" i="2"/>
  <c r="F1279" i="2"/>
  <c r="E1279" i="2"/>
  <c r="C1279" i="2"/>
  <c r="T1278" i="2"/>
  <c r="G1278" i="2"/>
  <c r="F1278" i="2"/>
  <c r="E1278" i="2"/>
  <c r="C1278" i="2"/>
  <c r="T1277" i="2"/>
  <c r="G1277" i="2"/>
  <c r="F1277" i="2"/>
  <c r="E1277" i="2"/>
  <c r="C1277" i="2"/>
  <c r="T1276" i="2"/>
  <c r="N1276" i="2"/>
  <c r="M1276" i="2"/>
  <c r="L1276" i="2"/>
  <c r="K1276" i="2"/>
  <c r="J1276" i="2"/>
  <c r="I1276" i="2"/>
  <c r="H1276" i="2"/>
  <c r="C1276" i="2" s="1"/>
  <c r="G1276" i="2"/>
  <c r="F1276" i="2"/>
  <c r="T1275" i="2"/>
  <c r="N1275" i="2"/>
  <c r="M1275" i="2"/>
  <c r="K1275" i="2"/>
  <c r="J1275" i="2"/>
  <c r="I1275" i="2"/>
  <c r="G1275" i="2"/>
  <c r="F1275" i="2"/>
  <c r="T1274" i="2"/>
  <c r="N1274" i="2"/>
  <c r="M1274" i="2"/>
  <c r="K1274" i="2"/>
  <c r="J1274" i="2"/>
  <c r="I1274" i="2"/>
  <c r="G1274" i="2"/>
  <c r="F1274" i="2"/>
  <c r="T1273" i="2"/>
  <c r="N1273" i="2"/>
  <c r="M1273" i="2"/>
  <c r="K1273" i="2"/>
  <c r="J1273" i="2"/>
  <c r="I1273" i="2"/>
  <c r="G1273" i="2"/>
  <c r="F1273" i="2"/>
  <c r="T1272" i="2"/>
  <c r="N1272" i="2"/>
  <c r="M1272" i="2"/>
  <c r="L1272" i="2"/>
  <c r="K1272" i="2"/>
  <c r="J1272" i="2"/>
  <c r="I1272" i="2"/>
  <c r="H1272" i="2"/>
  <c r="C1272" i="2" s="1"/>
  <c r="G1272" i="2"/>
  <c r="F1272" i="2"/>
  <c r="T1271" i="2"/>
  <c r="N1271" i="2"/>
  <c r="M1271" i="2"/>
  <c r="L1271" i="2"/>
  <c r="K1271" i="2"/>
  <c r="J1271" i="2"/>
  <c r="I1271" i="2"/>
  <c r="G1271" i="2"/>
  <c r="F1271" i="2"/>
  <c r="T1270" i="2"/>
  <c r="N1270" i="2"/>
  <c r="M1270" i="2"/>
  <c r="K1270" i="2"/>
  <c r="J1270" i="2"/>
  <c r="I1270" i="2"/>
  <c r="G1270" i="2"/>
  <c r="F1270" i="2"/>
  <c r="T1269" i="2"/>
  <c r="N1269" i="2"/>
  <c r="M1269" i="2"/>
  <c r="J1269" i="2"/>
  <c r="I1269" i="2"/>
  <c r="G1269" i="2"/>
  <c r="F1269" i="2"/>
  <c r="T1268" i="2"/>
  <c r="N1268" i="2"/>
  <c r="M1268" i="2"/>
  <c r="L1268" i="2"/>
  <c r="K1268" i="2"/>
  <c r="J1268" i="2"/>
  <c r="I1268" i="2"/>
  <c r="H1268" i="2"/>
  <c r="C1268" i="2" s="1"/>
  <c r="G1268" i="2"/>
  <c r="F1268" i="2"/>
  <c r="T1267" i="2"/>
  <c r="N1267" i="2"/>
  <c r="M1267" i="2"/>
  <c r="L1267" i="2"/>
  <c r="K1267" i="2"/>
  <c r="J1267" i="2"/>
  <c r="I1267" i="2"/>
  <c r="G1267" i="2"/>
  <c r="F1267" i="2"/>
  <c r="T1266" i="2"/>
  <c r="P1266" i="2"/>
  <c r="C1266" i="2" s="1"/>
  <c r="L1266" i="2"/>
  <c r="L1269" i="2" s="1"/>
  <c r="K1266" i="2"/>
  <c r="K1269" i="2" s="1"/>
  <c r="H1266" i="2"/>
  <c r="H1273" i="2" s="1"/>
  <c r="C1273" i="2" s="1"/>
  <c r="T1265" i="2"/>
  <c r="G1265" i="2"/>
  <c r="F1265" i="2"/>
  <c r="E1265" i="2"/>
  <c r="C1265" i="2"/>
  <c r="T1264" i="2"/>
  <c r="G1264" i="2"/>
  <c r="F1264" i="2"/>
  <c r="E1264" i="2"/>
  <c r="C1264" i="2"/>
  <c r="T1263" i="2"/>
  <c r="G1263" i="2"/>
  <c r="F1263" i="2"/>
  <c r="E1263" i="2"/>
  <c r="C1263" i="2"/>
  <c r="T1262" i="2"/>
  <c r="G1262" i="2"/>
  <c r="F1262" i="2"/>
  <c r="E1262" i="2"/>
  <c r="C1262" i="2"/>
  <c r="T1261" i="2"/>
  <c r="N1261" i="2"/>
  <c r="M1261" i="2"/>
  <c r="L1261" i="2"/>
  <c r="K1261" i="2"/>
  <c r="J1261" i="2"/>
  <c r="I1261" i="2"/>
  <c r="G1261" i="2"/>
  <c r="F1261" i="2"/>
  <c r="T1260" i="2"/>
  <c r="N1260" i="2"/>
  <c r="M1260" i="2"/>
  <c r="L1260" i="2"/>
  <c r="K1260" i="2"/>
  <c r="J1260" i="2"/>
  <c r="I1260" i="2"/>
  <c r="G1260" i="2"/>
  <c r="F1260" i="2"/>
  <c r="T1259" i="2"/>
  <c r="N1259" i="2"/>
  <c r="M1259" i="2"/>
  <c r="K1259" i="2"/>
  <c r="J1259" i="2"/>
  <c r="I1259" i="2"/>
  <c r="G1259" i="2"/>
  <c r="F1259" i="2"/>
  <c r="T1258" i="2"/>
  <c r="N1258" i="2"/>
  <c r="M1258" i="2"/>
  <c r="J1258" i="2"/>
  <c r="I1258" i="2"/>
  <c r="G1258" i="2"/>
  <c r="F1258" i="2"/>
  <c r="T1257" i="2"/>
  <c r="N1257" i="2"/>
  <c r="M1257" i="2"/>
  <c r="L1257" i="2"/>
  <c r="K1257" i="2"/>
  <c r="J1257" i="2"/>
  <c r="I1257" i="2"/>
  <c r="G1257" i="2"/>
  <c r="F1257" i="2"/>
  <c r="T1256" i="2"/>
  <c r="N1256" i="2"/>
  <c r="M1256" i="2"/>
  <c r="K1256" i="2"/>
  <c r="J1256" i="2"/>
  <c r="I1256" i="2"/>
  <c r="G1256" i="2"/>
  <c r="F1256" i="2"/>
  <c r="T1255" i="2"/>
  <c r="N1255" i="2"/>
  <c r="M1255" i="2"/>
  <c r="K1255" i="2"/>
  <c r="J1255" i="2"/>
  <c r="I1255" i="2"/>
  <c r="G1255" i="2"/>
  <c r="F1255" i="2"/>
  <c r="T1254" i="2"/>
  <c r="N1254" i="2"/>
  <c r="M1254" i="2"/>
  <c r="J1254" i="2"/>
  <c r="I1254" i="2"/>
  <c r="G1254" i="2"/>
  <c r="F1254" i="2"/>
  <c r="T1253" i="2"/>
  <c r="N1253" i="2"/>
  <c r="M1253" i="2"/>
  <c r="L1253" i="2"/>
  <c r="K1253" i="2"/>
  <c r="J1253" i="2"/>
  <c r="I1253" i="2"/>
  <c r="G1253" i="2"/>
  <c r="F1253" i="2"/>
  <c r="T1252" i="2"/>
  <c r="N1252" i="2"/>
  <c r="M1252" i="2"/>
  <c r="L1252" i="2"/>
  <c r="K1252" i="2"/>
  <c r="J1252" i="2"/>
  <c r="I1252" i="2"/>
  <c r="G1252" i="2"/>
  <c r="F1252" i="2"/>
  <c r="T1251" i="2"/>
  <c r="L1251" i="2"/>
  <c r="L1254" i="2" s="1"/>
  <c r="K1251" i="2"/>
  <c r="K1254" i="2" s="1"/>
  <c r="T1250" i="2"/>
  <c r="G1250" i="2"/>
  <c r="F1250" i="2"/>
  <c r="E1250" i="2"/>
  <c r="C1250" i="2"/>
  <c r="T1249" i="2"/>
  <c r="G1249" i="2"/>
  <c r="F1249" i="2"/>
  <c r="E1249" i="2"/>
  <c r="C1249" i="2"/>
  <c r="T1248" i="2"/>
  <c r="G1248" i="2"/>
  <c r="F1248" i="2"/>
  <c r="E1248" i="2"/>
  <c r="C1248" i="2"/>
  <c r="T1247" i="2"/>
  <c r="N1247" i="2"/>
  <c r="M1247" i="2"/>
  <c r="L1247" i="2"/>
  <c r="K1247" i="2"/>
  <c r="J1247" i="2"/>
  <c r="I1247" i="2"/>
  <c r="G1247" i="2"/>
  <c r="F1247" i="2"/>
  <c r="T1246" i="2"/>
  <c r="N1246" i="2"/>
  <c r="M1246" i="2"/>
  <c r="K1246" i="2"/>
  <c r="J1246" i="2"/>
  <c r="I1246" i="2"/>
  <c r="G1246" i="2"/>
  <c r="F1246" i="2"/>
  <c r="T1245" i="2"/>
  <c r="N1245" i="2"/>
  <c r="M1245" i="2"/>
  <c r="L1245" i="2"/>
  <c r="J1245" i="2"/>
  <c r="I1245" i="2"/>
  <c r="G1245" i="2"/>
  <c r="F1245" i="2"/>
  <c r="T1244" i="2"/>
  <c r="N1244" i="2"/>
  <c r="M1244" i="2"/>
  <c r="L1244" i="2"/>
  <c r="K1244" i="2"/>
  <c r="J1244" i="2"/>
  <c r="I1244" i="2"/>
  <c r="G1244" i="2"/>
  <c r="F1244" i="2"/>
  <c r="T1243" i="2"/>
  <c r="N1243" i="2"/>
  <c r="M1243" i="2"/>
  <c r="K1243" i="2"/>
  <c r="J1243" i="2"/>
  <c r="I1243" i="2"/>
  <c r="G1243" i="2"/>
  <c r="F1243" i="2"/>
  <c r="T1242" i="2"/>
  <c r="N1242" i="2"/>
  <c r="M1242" i="2"/>
  <c r="K1242" i="2"/>
  <c r="J1242" i="2"/>
  <c r="I1242" i="2"/>
  <c r="G1242" i="2"/>
  <c r="F1242" i="2"/>
  <c r="T1241" i="2"/>
  <c r="N1241" i="2"/>
  <c r="M1241" i="2"/>
  <c r="J1241" i="2"/>
  <c r="I1241" i="2"/>
  <c r="G1241" i="2"/>
  <c r="F1241" i="2"/>
  <c r="T1240" i="2"/>
  <c r="N1240" i="2"/>
  <c r="M1240" i="2"/>
  <c r="L1240" i="2"/>
  <c r="K1240" i="2"/>
  <c r="J1240" i="2"/>
  <c r="I1240" i="2"/>
  <c r="G1240" i="2"/>
  <c r="F1240" i="2"/>
  <c r="T1239" i="2"/>
  <c r="N1239" i="2"/>
  <c r="M1239" i="2"/>
  <c r="L1239" i="2"/>
  <c r="K1239" i="2"/>
  <c r="J1239" i="2"/>
  <c r="I1239" i="2"/>
  <c r="G1239" i="2"/>
  <c r="F1239" i="2"/>
  <c r="T1238" i="2"/>
  <c r="L1238" i="2"/>
  <c r="L1241" i="2" s="1"/>
  <c r="K1238" i="2"/>
  <c r="K1241" i="2" s="1"/>
  <c r="T1237" i="2"/>
  <c r="G1237" i="2"/>
  <c r="F1237" i="2"/>
  <c r="E1237" i="2"/>
  <c r="C1237" i="2"/>
  <c r="T1236" i="2"/>
  <c r="G1236" i="2"/>
  <c r="F1236" i="2"/>
  <c r="E1236" i="2"/>
  <c r="C1236" i="2"/>
  <c r="T1235" i="2"/>
  <c r="N1235" i="2"/>
  <c r="M1235" i="2"/>
  <c r="J1235" i="2"/>
  <c r="I1235" i="2"/>
  <c r="G1235" i="2"/>
  <c r="F1235" i="2"/>
  <c r="T1234" i="2"/>
  <c r="N1234" i="2"/>
  <c r="M1234" i="2"/>
  <c r="J1234" i="2"/>
  <c r="I1234" i="2"/>
  <c r="G1234" i="2"/>
  <c r="F1234" i="2"/>
  <c r="T1233" i="2"/>
  <c r="N1233" i="2"/>
  <c r="M1233" i="2"/>
  <c r="J1233" i="2"/>
  <c r="I1233" i="2"/>
  <c r="G1233" i="2"/>
  <c r="F1233" i="2"/>
  <c r="T1232" i="2"/>
  <c r="N1232" i="2"/>
  <c r="M1232" i="2"/>
  <c r="K1232" i="2"/>
  <c r="J1232" i="2"/>
  <c r="I1232" i="2"/>
  <c r="G1232" i="2"/>
  <c r="F1232" i="2"/>
  <c r="T1231" i="2"/>
  <c r="N1231" i="2"/>
  <c r="M1231" i="2"/>
  <c r="K1231" i="2"/>
  <c r="J1231" i="2"/>
  <c r="I1231" i="2"/>
  <c r="G1231" i="2"/>
  <c r="F1231" i="2"/>
  <c r="T1230" i="2"/>
  <c r="L1230" i="2"/>
  <c r="K1230" i="2"/>
  <c r="K1233" i="2" s="1"/>
  <c r="T1229" i="2"/>
  <c r="G1229" i="2"/>
  <c r="F1229" i="2"/>
  <c r="E1229" i="2"/>
  <c r="C1229" i="2"/>
  <c r="T1228" i="2"/>
  <c r="G1228" i="2"/>
  <c r="F1228" i="2"/>
  <c r="E1228" i="2"/>
  <c r="C1228" i="2"/>
  <c r="T1227" i="2"/>
  <c r="N1227" i="2"/>
  <c r="M1227" i="2"/>
  <c r="J1227" i="2"/>
  <c r="I1227" i="2"/>
  <c r="G1227" i="2"/>
  <c r="F1227" i="2"/>
  <c r="T1226" i="2"/>
  <c r="N1226" i="2"/>
  <c r="M1226" i="2"/>
  <c r="J1226" i="2"/>
  <c r="I1226" i="2"/>
  <c r="G1226" i="2"/>
  <c r="F1226" i="2"/>
  <c r="T1225" i="2"/>
  <c r="N1225" i="2"/>
  <c r="M1225" i="2"/>
  <c r="J1225" i="2"/>
  <c r="I1225" i="2"/>
  <c r="G1225" i="2"/>
  <c r="F1225" i="2"/>
  <c r="T1224" i="2"/>
  <c r="N1224" i="2"/>
  <c r="M1224" i="2"/>
  <c r="J1224" i="2"/>
  <c r="I1224" i="2"/>
  <c r="G1224" i="2"/>
  <c r="F1224" i="2"/>
  <c r="T1223" i="2"/>
  <c r="N1223" i="2"/>
  <c r="M1223" i="2"/>
  <c r="J1223" i="2"/>
  <c r="I1223" i="2"/>
  <c r="G1223" i="2"/>
  <c r="F1223" i="2"/>
  <c r="T1222" i="2"/>
  <c r="L1222" i="2"/>
  <c r="L1225" i="2" s="1"/>
  <c r="K1222" i="2"/>
  <c r="T1221" i="2"/>
  <c r="G1221" i="2"/>
  <c r="F1221" i="2"/>
  <c r="E1221" i="2"/>
  <c r="C1221" i="2"/>
  <c r="T1220" i="2"/>
  <c r="G1220" i="2"/>
  <c r="F1220" i="2"/>
  <c r="E1220" i="2"/>
  <c r="C1220" i="2"/>
  <c r="T1219" i="2"/>
  <c r="N1219" i="2"/>
  <c r="M1219" i="2"/>
  <c r="L1219" i="2"/>
  <c r="K1219" i="2"/>
  <c r="J1219" i="2"/>
  <c r="I1219" i="2"/>
  <c r="G1219" i="2"/>
  <c r="F1219" i="2"/>
  <c r="T1218" i="2"/>
  <c r="N1218" i="2"/>
  <c r="M1218" i="2"/>
  <c r="K1218" i="2"/>
  <c r="J1218" i="2"/>
  <c r="I1218" i="2"/>
  <c r="G1218" i="2"/>
  <c r="F1218" i="2"/>
  <c r="T1217" i="2"/>
  <c r="N1217" i="2"/>
  <c r="M1217" i="2"/>
  <c r="K1217" i="2"/>
  <c r="J1217" i="2"/>
  <c r="I1217" i="2"/>
  <c r="G1217" i="2"/>
  <c r="F1217" i="2"/>
  <c r="T1216" i="2"/>
  <c r="N1216" i="2"/>
  <c r="M1216" i="2"/>
  <c r="J1216" i="2"/>
  <c r="I1216" i="2"/>
  <c r="G1216" i="2"/>
  <c r="F1216" i="2"/>
  <c r="T1215" i="2"/>
  <c r="N1215" i="2"/>
  <c r="M1215" i="2"/>
  <c r="L1215" i="2"/>
  <c r="K1215" i="2"/>
  <c r="J1215" i="2"/>
  <c r="I1215" i="2"/>
  <c r="G1215" i="2"/>
  <c r="F1215" i="2"/>
  <c r="T1214" i="2"/>
  <c r="N1214" i="2"/>
  <c r="M1214" i="2"/>
  <c r="L1214" i="2"/>
  <c r="K1214" i="2"/>
  <c r="J1214" i="2"/>
  <c r="I1214" i="2"/>
  <c r="G1214" i="2"/>
  <c r="F1214" i="2"/>
  <c r="T1213" i="2"/>
  <c r="L1213" i="2"/>
  <c r="L1216" i="2" s="1"/>
  <c r="K1213" i="2"/>
  <c r="K1216" i="2" s="1"/>
  <c r="T1212" i="2"/>
  <c r="G1212" i="2"/>
  <c r="F1212" i="2"/>
  <c r="E1212" i="2"/>
  <c r="C1212" i="2"/>
  <c r="T1211" i="2"/>
  <c r="G1211" i="2"/>
  <c r="F1211" i="2"/>
  <c r="E1211" i="2"/>
  <c r="C1211" i="2"/>
  <c r="T1210" i="2"/>
  <c r="G1210" i="2"/>
  <c r="F1210" i="2"/>
  <c r="E1210" i="2"/>
  <c r="C1210" i="2"/>
  <c r="T1209" i="2"/>
  <c r="N1209" i="2"/>
  <c r="M1209" i="2"/>
  <c r="L1209" i="2"/>
  <c r="K1209" i="2"/>
  <c r="J1209" i="2"/>
  <c r="I1209" i="2"/>
  <c r="G1209" i="2"/>
  <c r="F1209" i="2"/>
  <c r="T1208" i="2"/>
  <c r="N1208" i="2"/>
  <c r="M1208" i="2"/>
  <c r="J1208" i="2"/>
  <c r="I1208" i="2"/>
  <c r="G1208" i="2"/>
  <c r="F1208" i="2"/>
  <c r="T1207" i="2"/>
  <c r="N1207" i="2"/>
  <c r="M1207" i="2"/>
  <c r="L1207" i="2"/>
  <c r="J1207" i="2"/>
  <c r="I1207" i="2"/>
  <c r="G1207" i="2"/>
  <c r="F1207" i="2"/>
  <c r="T1206" i="2"/>
  <c r="N1206" i="2"/>
  <c r="M1206" i="2"/>
  <c r="L1206" i="2"/>
  <c r="J1206" i="2"/>
  <c r="I1206" i="2"/>
  <c r="G1206" i="2"/>
  <c r="F1206" i="2"/>
  <c r="T1205" i="2"/>
  <c r="N1205" i="2"/>
  <c r="M1205" i="2"/>
  <c r="J1205" i="2"/>
  <c r="I1205" i="2"/>
  <c r="G1205" i="2"/>
  <c r="F1205" i="2"/>
  <c r="T1204" i="2"/>
  <c r="N1204" i="2"/>
  <c r="M1204" i="2"/>
  <c r="K1204" i="2"/>
  <c r="J1204" i="2"/>
  <c r="I1204" i="2"/>
  <c r="G1204" i="2"/>
  <c r="F1204" i="2"/>
  <c r="T1203" i="2"/>
  <c r="N1203" i="2"/>
  <c r="M1203" i="2"/>
  <c r="J1203" i="2"/>
  <c r="I1203" i="2"/>
  <c r="H1203" i="2"/>
  <c r="G1203" i="2"/>
  <c r="F1203" i="2"/>
  <c r="C1203" i="2"/>
  <c r="T1202" i="2"/>
  <c r="L1202" i="2"/>
  <c r="L1203" i="2" s="1"/>
  <c r="K1202" i="2"/>
  <c r="H1202" i="2"/>
  <c r="T1201" i="2"/>
  <c r="G1201" i="2"/>
  <c r="F1201" i="2"/>
  <c r="E1201" i="2"/>
  <c r="C1201" i="2"/>
  <c r="T1200" i="2"/>
  <c r="G1200" i="2"/>
  <c r="F1200" i="2"/>
  <c r="E1200" i="2"/>
  <c r="D1200" i="2"/>
  <c r="C1200" i="2"/>
  <c r="T1199" i="2"/>
  <c r="N1199" i="2"/>
  <c r="M1199" i="2"/>
  <c r="L1199" i="2"/>
  <c r="J1199" i="2"/>
  <c r="I1199" i="2"/>
  <c r="G1199" i="2"/>
  <c r="F1199" i="2"/>
  <c r="T1198" i="2"/>
  <c r="N1198" i="2"/>
  <c r="M1198" i="2"/>
  <c r="L1198" i="2"/>
  <c r="J1198" i="2"/>
  <c r="I1198" i="2"/>
  <c r="H1198" i="2"/>
  <c r="G1198" i="2"/>
  <c r="F1198" i="2"/>
  <c r="C1198" i="2"/>
  <c r="T1197" i="2"/>
  <c r="N1197" i="2"/>
  <c r="M1197" i="2"/>
  <c r="L1197" i="2"/>
  <c r="K1197" i="2"/>
  <c r="J1197" i="2"/>
  <c r="I1197" i="2"/>
  <c r="H1197" i="2"/>
  <c r="C1197" i="2" s="1"/>
  <c r="G1197" i="2"/>
  <c r="F1197" i="2"/>
  <c r="T1196" i="2"/>
  <c r="N1196" i="2"/>
  <c r="M1196" i="2"/>
  <c r="K1196" i="2"/>
  <c r="J1196" i="2"/>
  <c r="I1196" i="2"/>
  <c r="G1196" i="2"/>
  <c r="F1196" i="2"/>
  <c r="T1195" i="2"/>
  <c r="N1195" i="2"/>
  <c r="M1195" i="2"/>
  <c r="L1195" i="2"/>
  <c r="J1195" i="2"/>
  <c r="I1195" i="2"/>
  <c r="G1195" i="2"/>
  <c r="F1195" i="2"/>
  <c r="T1194" i="2"/>
  <c r="N1194" i="2"/>
  <c r="M1194" i="2"/>
  <c r="L1194" i="2"/>
  <c r="J1194" i="2"/>
  <c r="I1194" i="2"/>
  <c r="H1194" i="2"/>
  <c r="C1194" i="2" s="1"/>
  <c r="G1194" i="2"/>
  <c r="F1194" i="2"/>
  <c r="T1193" i="2"/>
  <c r="L1193" i="2"/>
  <c r="L1196" i="2" s="1"/>
  <c r="K1193" i="2"/>
  <c r="H1193" i="2"/>
  <c r="T1192" i="2"/>
  <c r="G1192" i="2"/>
  <c r="F1192" i="2"/>
  <c r="E1192" i="2"/>
  <c r="C1192" i="2"/>
  <c r="T1191" i="2"/>
  <c r="G1191" i="2"/>
  <c r="F1191" i="2"/>
  <c r="E1191" i="2"/>
  <c r="C1191" i="2"/>
  <c r="T1190" i="2"/>
  <c r="N1190" i="2"/>
  <c r="M1190" i="2"/>
  <c r="J1190" i="2"/>
  <c r="I1190" i="2"/>
  <c r="G1190" i="2"/>
  <c r="F1190" i="2"/>
  <c r="T1189" i="2"/>
  <c r="N1189" i="2"/>
  <c r="M1189" i="2"/>
  <c r="J1189" i="2"/>
  <c r="I1189" i="2"/>
  <c r="G1189" i="2"/>
  <c r="F1189" i="2"/>
  <c r="T1188" i="2"/>
  <c r="N1188" i="2"/>
  <c r="M1188" i="2"/>
  <c r="J1188" i="2"/>
  <c r="I1188" i="2"/>
  <c r="G1188" i="2"/>
  <c r="F1188" i="2"/>
  <c r="T1187" i="2"/>
  <c r="N1187" i="2"/>
  <c r="M1187" i="2"/>
  <c r="J1187" i="2"/>
  <c r="I1187" i="2"/>
  <c r="G1187" i="2"/>
  <c r="F1187" i="2"/>
  <c r="T1186" i="2"/>
  <c r="N1186" i="2"/>
  <c r="M1186" i="2"/>
  <c r="K1186" i="2"/>
  <c r="J1186" i="2"/>
  <c r="I1186" i="2"/>
  <c r="G1186" i="2"/>
  <c r="F1186" i="2"/>
  <c r="T1185" i="2"/>
  <c r="N1185" i="2"/>
  <c r="M1185" i="2"/>
  <c r="K1185" i="2"/>
  <c r="J1185" i="2"/>
  <c r="I1185" i="2"/>
  <c r="G1185" i="2"/>
  <c r="F1185" i="2"/>
  <c r="T1184" i="2"/>
  <c r="L1184" i="2"/>
  <c r="K1184" i="2"/>
  <c r="K1190" i="2" s="1"/>
  <c r="T1183" i="2"/>
  <c r="G1183" i="2"/>
  <c r="F1183" i="2"/>
  <c r="E1183" i="2"/>
  <c r="C1183" i="2"/>
  <c r="T1182" i="2"/>
  <c r="Q1182" i="2"/>
  <c r="G1182" i="2"/>
  <c r="F1182" i="2"/>
  <c r="E1182" i="2"/>
  <c r="C1182" i="2"/>
  <c r="T1181" i="2"/>
  <c r="Q1181" i="2"/>
  <c r="G1181" i="2"/>
  <c r="F1181" i="2"/>
  <c r="E1181" i="2"/>
  <c r="T1180" i="2"/>
  <c r="Q1180" i="2"/>
  <c r="N1180" i="2"/>
  <c r="M1180" i="2"/>
  <c r="K1180" i="2"/>
  <c r="J1180" i="2"/>
  <c r="I1180" i="2"/>
  <c r="G1180" i="2"/>
  <c r="F1180" i="2"/>
  <c r="T1179" i="2"/>
  <c r="Q1179" i="2"/>
  <c r="N1179" i="2"/>
  <c r="M1179" i="2"/>
  <c r="J1179" i="2"/>
  <c r="I1179" i="2"/>
  <c r="G1179" i="2"/>
  <c r="F1179" i="2"/>
  <c r="T1178" i="2"/>
  <c r="Q1178" i="2"/>
  <c r="N1178" i="2"/>
  <c r="M1178" i="2"/>
  <c r="K1178" i="2"/>
  <c r="J1178" i="2"/>
  <c r="I1178" i="2"/>
  <c r="G1178" i="2"/>
  <c r="F1178" i="2"/>
  <c r="T1177" i="2"/>
  <c r="Q1177" i="2"/>
  <c r="N1177" i="2"/>
  <c r="M1177" i="2"/>
  <c r="K1177" i="2"/>
  <c r="J1177" i="2"/>
  <c r="I1177" i="2"/>
  <c r="G1177" i="2"/>
  <c r="F1177" i="2"/>
  <c r="T1176" i="2"/>
  <c r="Q1176" i="2"/>
  <c r="N1176" i="2"/>
  <c r="M1176" i="2"/>
  <c r="K1176" i="2"/>
  <c r="J1176" i="2"/>
  <c r="I1176" i="2"/>
  <c r="G1176" i="2"/>
  <c r="F1176" i="2"/>
  <c r="T1175" i="2"/>
  <c r="Q1175" i="2"/>
  <c r="N1175" i="2"/>
  <c r="M1175" i="2"/>
  <c r="K1175" i="2"/>
  <c r="J1175" i="2"/>
  <c r="I1175" i="2"/>
  <c r="G1175" i="2"/>
  <c r="F1175" i="2"/>
  <c r="T1174" i="2"/>
  <c r="Q1174" i="2"/>
  <c r="N1174" i="2"/>
  <c r="M1174" i="2"/>
  <c r="K1174" i="2"/>
  <c r="J1174" i="2"/>
  <c r="I1174" i="2"/>
  <c r="G1174" i="2"/>
  <c r="F1174" i="2"/>
  <c r="T1173" i="2"/>
  <c r="Q1173" i="2"/>
  <c r="N1173" i="2"/>
  <c r="M1173" i="2"/>
  <c r="K1173" i="2"/>
  <c r="J1173" i="2"/>
  <c r="I1173" i="2"/>
  <c r="G1173" i="2"/>
  <c r="F1173" i="2"/>
  <c r="T1172" i="2"/>
  <c r="L1172" i="2"/>
  <c r="L1176" i="2" s="1"/>
  <c r="K1172" i="2"/>
  <c r="K1179" i="2" s="1"/>
  <c r="T1171" i="2"/>
  <c r="N1171" i="2"/>
  <c r="M1171" i="2"/>
  <c r="L1171" i="2"/>
  <c r="K1171" i="2"/>
  <c r="J1171" i="2"/>
  <c r="I1171" i="2"/>
  <c r="H1171" i="2"/>
  <c r="C1171" i="2" s="1"/>
  <c r="G1171" i="2"/>
  <c r="F1171" i="2"/>
  <c r="E1171" i="2"/>
  <c r="T1170" i="2"/>
  <c r="N1170" i="2"/>
  <c r="M1170" i="2"/>
  <c r="L1170" i="2"/>
  <c r="J1170" i="2"/>
  <c r="I1170" i="2"/>
  <c r="H1170" i="2"/>
  <c r="C1170" i="2" s="1"/>
  <c r="G1170" i="2"/>
  <c r="T1169" i="2"/>
  <c r="N1169" i="2"/>
  <c r="M1169" i="2"/>
  <c r="J1169" i="2"/>
  <c r="I1169" i="2"/>
  <c r="G1169" i="2"/>
  <c r="C1169" i="2"/>
  <c r="T1168" i="2"/>
  <c r="P1168" i="2"/>
  <c r="C1168" i="2" s="1"/>
  <c r="L1168" i="2"/>
  <c r="L1169" i="2" s="1"/>
  <c r="K1168" i="2"/>
  <c r="K1170" i="2" s="1"/>
  <c r="H1168" i="2"/>
  <c r="H1169" i="2" s="1"/>
  <c r="T1167" i="2"/>
  <c r="R1167" i="2"/>
  <c r="G1167" i="2"/>
  <c r="E1167" i="2"/>
  <c r="C1167" i="2"/>
  <c r="T1166" i="2"/>
  <c r="G1166" i="2"/>
  <c r="F1166" i="2"/>
  <c r="E1166" i="2"/>
  <c r="D1166" i="2"/>
  <c r="R1166" i="2" s="1"/>
  <c r="T1165" i="2"/>
  <c r="R1165" i="2"/>
  <c r="N1165" i="2"/>
  <c r="M1165" i="2"/>
  <c r="L1165" i="2"/>
  <c r="K1165" i="2"/>
  <c r="J1165" i="2"/>
  <c r="I1165" i="2"/>
  <c r="G1165" i="2"/>
  <c r="F1165" i="2"/>
  <c r="T1164" i="2"/>
  <c r="R1164" i="2"/>
  <c r="N1164" i="2"/>
  <c r="M1164" i="2"/>
  <c r="J1164" i="2"/>
  <c r="I1164" i="2"/>
  <c r="H1164" i="2"/>
  <c r="G1164" i="2"/>
  <c r="F1164" i="2"/>
  <c r="T1163" i="2"/>
  <c r="R1163" i="2"/>
  <c r="N1163" i="2"/>
  <c r="M1163" i="2"/>
  <c r="L1163" i="2"/>
  <c r="K1163" i="2"/>
  <c r="J1163" i="2"/>
  <c r="I1163" i="2"/>
  <c r="G1163" i="2"/>
  <c r="F1163" i="2"/>
  <c r="T1162" i="2"/>
  <c r="Q1162" i="2"/>
  <c r="N1162" i="2"/>
  <c r="M1162" i="2"/>
  <c r="K1162" i="2"/>
  <c r="J1162" i="2"/>
  <c r="I1162" i="2"/>
  <c r="G1162" i="2"/>
  <c r="F1162" i="2"/>
  <c r="T1161" i="2"/>
  <c r="R1161" i="2"/>
  <c r="N1161" i="2"/>
  <c r="M1161" i="2"/>
  <c r="K1161" i="2"/>
  <c r="J1161" i="2"/>
  <c r="I1161" i="2"/>
  <c r="G1161" i="2"/>
  <c r="F1161" i="2"/>
  <c r="T1160" i="2"/>
  <c r="R1160" i="2"/>
  <c r="N1160" i="2"/>
  <c r="M1160" i="2"/>
  <c r="L1160" i="2"/>
  <c r="K1160" i="2"/>
  <c r="J1160" i="2"/>
  <c r="I1160" i="2"/>
  <c r="G1160" i="2"/>
  <c r="F1160" i="2"/>
  <c r="T1159" i="2"/>
  <c r="R1159" i="2"/>
  <c r="N1159" i="2"/>
  <c r="M1159" i="2"/>
  <c r="L1159" i="2"/>
  <c r="J1159" i="2"/>
  <c r="I1159" i="2"/>
  <c r="G1159" i="2"/>
  <c r="F1159" i="2"/>
  <c r="T1158" i="2"/>
  <c r="L1158" i="2"/>
  <c r="L1161" i="2" s="1"/>
  <c r="K1158" i="2"/>
  <c r="K1159" i="2" s="1"/>
  <c r="H1158" i="2"/>
  <c r="H1165" i="2" s="1"/>
  <c r="T1157" i="2"/>
  <c r="N1157" i="2"/>
  <c r="M1157" i="2"/>
  <c r="J1157" i="2"/>
  <c r="I1157" i="2"/>
  <c r="G1157" i="2"/>
  <c r="F1157" i="2"/>
  <c r="E1157" i="2"/>
  <c r="T1156" i="2"/>
  <c r="N1156" i="2"/>
  <c r="M1156" i="2"/>
  <c r="K1156" i="2"/>
  <c r="J1156" i="2"/>
  <c r="I1156" i="2"/>
  <c r="G1156" i="2"/>
  <c r="T1155" i="2"/>
  <c r="L1155" i="2"/>
  <c r="L1157" i="2" s="1"/>
  <c r="K1155" i="2"/>
  <c r="K1157" i="2" s="1"/>
  <c r="T1154" i="2"/>
  <c r="G1154" i="2"/>
  <c r="F1154" i="2"/>
  <c r="E1154" i="2"/>
  <c r="C1154" i="2"/>
  <c r="T1153" i="2"/>
  <c r="G1153" i="2"/>
  <c r="F1153" i="2"/>
  <c r="E1153" i="2"/>
  <c r="D1153" i="2"/>
  <c r="C1153" i="2"/>
  <c r="T1152" i="2"/>
  <c r="N1152" i="2"/>
  <c r="M1152" i="2"/>
  <c r="L1152" i="2"/>
  <c r="J1152" i="2"/>
  <c r="I1152" i="2"/>
  <c r="H1152" i="2"/>
  <c r="C1152" i="2" s="1"/>
  <c r="G1152" i="2"/>
  <c r="F1152" i="2"/>
  <c r="T1151" i="2"/>
  <c r="N1151" i="2"/>
  <c r="M1151" i="2"/>
  <c r="L1151" i="2"/>
  <c r="K1151" i="2"/>
  <c r="J1151" i="2"/>
  <c r="I1151" i="2"/>
  <c r="H1151" i="2"/>
  <c r="C1151" i="2" s="1"/>
  <c r="G1151" i="2"/>
  <c r="F1151" i="2"/>
  <c r="T1150" i="2"/>
  <c r="N1150" i="2"/>
  <c r="M1150" i="2"/>
  <c r="L1150" i="2"/>
  <c r="K1150" i="2"/>
  <c r="J1150" i="2"/>
  <c r="I1150" i="2"/>
  <c r="G1150" i="2"/>
  <c r="F1150" i="2"/>
  <c r="T1149" i="2"/>
  <c r="N1149" i="2"/>
  <c r="M1149" i="2"/>
  <c r="J1149" i="2"/>
  <c r="I1149" i="2"/>
  <c r="H1149" i="2"/>
  <c r="C1149" i="2" s="1"/>
  <c r="G1149" i="2"/>
  <c r="F1149" i="2"/>
  <c r="T1148" i="2"/>
  <c r="N1148" i="2"/>
  <c r="M1148" i="2"/>
  <c r="L1148" i="2"/>
  <c r="K1148" i="2"/>
  <c r="J1148" i="2"/>
  <c r="I1148" i="2"/>
  <c r="H1148" i="2"/>
  <c r="C1148" i="2" s="1"/>
  <c r="G1148" i="2"/>
  <c r="F1148" i="2"/>
  <c r="T1147" i="2"/>
  <c r="N1147" i="2"/>
  <c r="M1147" i="2"/>
  <c r="L1147" i="2"/>
  <c r="K1147" i="2"/>
  <c r="J1147" i="2"/>
  <c r="I1147" i="2"/>
  <c r="G1147" i="2"/>
  <c r="F1147" i="2"/>
  <c r="T1146" i="2"/>
  <c r="P1146" i="2"/>
  <c r="C1146" i="2" s="1"/>
  <c r="L1146" i="2"/>
  <c r="L1149" i="2" s="1"/>
  <c r="K1146" i="2"/>
  <c r="K1152" i="2" s="1"/>
  <c r="H1146" i="2"/>
  <c r="H1150" i="2" s="1"/>
  <c r="C1150" i="2" s="1"/>
  <c r="T1145" i="2"/>
  <c r="G1145" i="2"/>
  <c r="F1145" i="2"/>
  <c r="E1145" i="2"/>
  <c r="C1145" i="2"/>
  <c r="T1144" i="2"/>
  <c r="G1144" i="2"/>
  <c r="F1144" i="2"/>
  <c r="E1144" i="2"/>
  <c r="D1144" i="2"/>
  <c r="C1144" i="2"/>
  <c r="T1143" i="2"/>
  <c r="G1143" i="2"/>
  <c r="F1143" i="2"/>
  <c r="E1143" i="2"/>
  <c r="D1143" i="2"/>
  <c r="C1143" i="2"/>
  <c r="T1142" i="2"/>
  <c r="N1142" i="2"/>
  <c r="M1142" i="2"/>
  <c r="J1142" i="2"/>
  <c r="I1142" i="2"/>
  <c r="G1142" i="2"/>
  <c r="F1142" i="2"/>
  <c r="T1141" i="2"/>
  <c r="N1141" i="2"/>
  <c r="M1141" i="2"/>
  <c r="K1141" i="2"/>
  <c r="J1141" i="2"/>
  <c r="I1141" i="2"/>
  <c r="G1141" i="2"/>
  <c r="F1141" i="2"/>
  <c r="T1140" i="2"/>
  <c r="N1140" i="2"/>
  <c r="M1140" i="2"/>
  <c r="J1140" i="2"/>
  <c r="I1140" i="2"/>
  <c r="G1140" i="2"/>
  <c r="F1140" i="2"/>
  <c r="T1139" i="2"/>
  <c r="N1139" i="2"/>
  <c r="M1139" i="2"/>
  <c r="J1139" i="2"/>
  <c r="I1139" i="2"/>
  <c r="G1139" i="2"/>
  <c r="F1139" i="2"/>
  <c r="T1138" i="2"/>
  <c r="N1138" i="2"/>
  <c r="M1138" i="2"/>
  <c r="L1138" i="2"/>
  <c r="K1138" i="2"/>
  <c r="J1138" i="2"/>
  <c r="I1138" i="2"/>
  <c r="G1138" i="2"/>
  <c r="F1138" i="2"/>
  <c r="T1137" i="2"/>
  <c r="N1137" i="2"/>
  <c r="M1137" i="2"/>
  <c r="L1137" i="2"/>
  <c r="J1137" i="2"/>
  <c r="I1137" i="2"/>
  <c r="G1137" i="2"/>
  <c r="F1137" i="2"/>
  <c r="T1136" i="2"/>
  <c r="N1136" i="2"/>
  <c r="M1136" i="2"/>
  <c r="J1136" i="2"/>
  <c r="I1136" i="2"/>
  <c r="G1136" i="2"/>
  <c r="F1136" i="2"/>
  <c r="T1135" i="2"/>
  <c r="L1135" i="2"/>
  <c r="K1135" i="2"/>
  <c r="T1134" i="2"/>
  <c r="G1134" i="2"/>
  <c r="F1134" i="2"/>
  <c r="E1134" i="2"/>
  <c r="C1134" i="2"/>
  <c r="T1133" i="2"/>
  <c r="G1133" i="2"/>
  <c r="F1133" i="2"/>
  <c r="E1133" i="2"/>
  <c r="D1133" i="2"/>
  <c r="C1133" i="2"/>
  <c r="T1132" i="2"/>
  <c r="N1132" i="2"/>
  <c r="M1132" i="2"/>
  <c r="K1132" i="2"/>
  <c r="J1132" i="2"/>
  <c r="I1132" i="2"/>
  <c r="G1132" i="2"/>
  <c r="F1132" i="2"/>
  <c r="T1131" i="2"/>
  <c r="N1131" i="2"/>
  <c r="M1131" i="2"/>
  <c r="K1131" i="2"/>
  <c r="J1131" i="2"/>
  <c r="I1131" i="2"/>
  <c r="G1131" i="2"/>
  <c r="F1131" i="2"/>
  <c r="T1130" i="2"/>
  <c r="N1130" i="2"/>
  <c r="M1130" i="2"/>
  <c r="L1130" i="2"/>
  <c r="K1130" i="2"/>
  <c r="J1130" i="2"/>
  <c r="I1130" i="2"/>
  <c r="G1130" i="2"/>
  <c r="F1130" i="2"/>
  <c r="T1129" i="2"/>
  <c r="N1129" i="2"/>
  <c r="M1129" i="2"/>
  <c r="J1129" i="2"/>
  <c r="I1129" i="2"/>
  <c r="G1129" i="2"/>
  <c r="F1129" i="2"/>
  <c r="T1128" i="2"/>
  <c r="N1128" i="2"/>
  <c r="M1128" i="2"/>
  <c r="K1128" i="2"/>
  <c r="J1128" i="2"/>
  <c r="I1128" i="2"/>
  <c r="G1128" i="2"/>
  <c r="F1128" i="2"/>
  <c r="T1127" i="2"/>
  <c r="N1127" i="2"/>
  <c r="M1127" i="2"/>
  <c r="K1127" i="2"/>
  <c r="J1127" i="2"/>
  <c r="I1127" i="2"/>
  <c r="G1127" i="2"/>
  <c r="F1127" i="2"/>
  <c r="T1126" i="2"/>
  <c r="L1126" i="2"/>
  <c r="K1126" i="2"/>
  <c r="K1129" i="2" s="1"/>
  <c r="T1125" i="2"/>
  <c r="G1125" i="2"/>
  <c r="F1125" i="2"/>
  <c r="E1125" i="2"/>
  <c r="C1125" i="2"/>
  <c r="T1124" i="2"/>
  <c r="G1124" i="2"/>
  <c r="F1124" i="2"/>
  <c r="E1124" i="2"/>
  <c r="C1124" i="2"/>
  <c r="T1123" i="2"/>
  <c r="G1123" i="2"/>
  <c r="F1123" i="2"/>
  <c r="E1123" i="2"/>
  <c r="D1123" i="2"/>
  <c r="C1123" i="2"/>
  <c r="T1122" i="2"/>
  <c r="N1122" i="2"/>
  <c r="M1122" i="2"/>
  <c r="J1122" i="2"/>
  <c r="I1122" i="2"/>
  <c r="G1122" i="2"/>
  <c r="F1122" i="2"/>
  <c r="T1121" i="2"/>
  <c r="N1121" i="2"/>
  <c r="M1121" i="2"/>
  <c r="J1121" i="2"/>
  <c r="I1121" i="2"/>
  <c r="G1121" i="2"/>
  <c r="F1121" i="2"/>
  <c r="T1120" i="2"/>
  <c r="N1120" i="2"/>
  <c r="M1120" i="2"/>
  <c r="K1120" i="2"/>
  <c r="J1120" i="2"/>
  <c r="I1120" i="2"/>
  <c r="G1120" i="2"/>
  <c r="F1120" i="2"/>
  <c r="T1119" i="2"/>
  <c r="N1119" i="2"/>
  <c r="L1119" i="2"/>
  <c r="G1119" i="2"/>
  <c r="F1119" i="2"/>
  <c r="D1119" i="2"/>
  <c r="M1119" i="2" s="1"/>
  <c r="T1118" i="2"/>
  <c r="N1118" i="2"/>
  <c r="M1118" i="2"/>
  <c r="K1118" i="2"/>
  <c r="J1118" i="2"/>
  <c r="I1118" i="2"/>
  <c r="G1118" i="2"/>
  <c r="F1118" i="2"/>
  <c r="T1117" i="2"/>
  <c r="N1117" i="2"/>
  <c r="M1117" i="2"/>
  <c r="J1117" i="2"/>
  <c r="I1117" i="2"/>
  <c r="G1117" i="2"/>
  <c r="F1117" i="2"/>
  <c r="T1116" i="2"/>
  <c r="N1116" i="2"/>
  <c r="M1116" i="2"/>
  <c r="J1116" i="2"/>
  <c r="I1116" i="2"/>
  <c r="G1116" i="2"/>
  <c r="F1116" i="2"/>
  <c r="T1115" i="2"/>
  <c r="L1115" i="2"/>
  <c r="K1115" i="2"/>
  <c r="H1115" i="2" s="1"/>
  <c r="T1114" i="2"/>
  <c r="N1114" i="2"/>
  <c r="M1114" i="2"/>
  <c r="L1114" i="2"/>
  <c r="K1114" i="2"/>
  <c r="J1114" i="2"/>
  <c r="I1114" i="2"/>
  <c r="G1114" i="2"/>
  <c r="F1114" i="2"/>
  <c r="E1114" i="2"/>
  <c r="T1113" i="2"/>
  <c r="N1113" i="2"/>
  <c r="M1113" i="2"/>
  <c r="L1113" i="2"/>
  <c r="K1113" i="2"/>
  <c r="J1113" i="2"/>
  <c r="I1113" i="2"/>
  <c r="G1113" i="2"/>
  <c r="T1112" i="2"/>
  <c r="N1112" i="2"/>
  <c r="M1112" i="2"/>
  <c r="J1112" i="2"/>
  <c r="I1112" i="2"/>
  <c r="G1112" i="2"/>
  <c r="T1111" i="2"/>
  <c r="L1111" i="2"/>
  <c r="L1112" i="2" s="1"/>
  <c r="K1111" i="2"/>
  <c r="K1112" i="2" s="1"/>
  <c r="H1111" i="2"/>
  <c r="T1110" i="2"/>
  <c r="G1110" i="2"/>
  <c r="F1110" i="2"/>
  <c r="E1110" i="2"/>
  <c r="C1110" i="2"/>
  <c r="T1109" i="2"/>
  <c r="G1109" i="2"/>
  <c r="F1109" i="2"/>
  <c r="E1109" i="2"/>
  <c r="D1109" i="2"/>
  <c r="T1108" i="2"/>
  <c r="N1108" i="2"/>
  <c r="M1108" i="2"/>
  <c r="J1108" i="2"/>
  <c r="I1108" i="2"/>
  <c r="G1108" i="2"/>
  <c r="F1108" i="2"/>
  <c r="T1107" i="2"/>
  <c r="N1107" i="2"/>
  <c r="M1107" i="2"/>
  <c r="J1107" i="2"/>
  <c r="I1107" i="2"/>
  <c r="G1107" i="2"/>
  <c r="F1107" i="2"/>
  <c r="T1106" i="2"/>
  <c r="N1106" i="2"/>
  <c r="M1106" i="2"/>
  <c r="K1106" i="2"/>
  <c r="J1106" i="2"/>
  <c r="I1106" i="2"/>
  <c r="G1106" i="2"/>
  <c r="F1106" i="2"/>
  <c r="T1105" i="2"/>
  <c r="N1105" i="2"/>
  <c r="M1105" i="2"/>
  <c r="J1105" i="2"/>
  <c r="I1105" i="2"/>
  <c r="G1105" i="2"/>
  <c r="F1105" i="2"/>
  <c r="T1104" i="2"/>
  <c r="N1104" i="2"/>
  <c r="M1104" i="2"/>
  <c r="K1104" i="2"/>
  <c r="J1104" i="2"/>
  <c r="I1104" i="2"/>
  <c r="G1104" i="2"/>
  <c r="F1104" i="2"/>
  <c r="T1103" i="2"/>
  <c r="N1103" i="2"/>
  <c r="M1103" i="2"/>
  <c r="J1103" i="2"/>
  <c r="I1103" i="2"/>
  <c r="G1103" i="2"/>
  <c r="F1103" i="2"/>
  <c r="T1102" i="2"/>
  <c r="P1102" i="2"/>
  <c r="L1102" i="2"/>
  <c r="K1102" i="2"/>
  <c r="H1102" i="2" s="1"/>
  <c r="T1101" i="2"/>
  <c r="G1101" i="2"/>
  <c r="F1101" i="2"/>
  <c r="T1100" i="2"/>
  <c r="J1100" i="2"/>
  <c r="I1100" i="2"/>
  <c r="G1100" i="2"/>
  <c r="F1100" i="2"/>
  <c r="T1099" i="2"/>
  <c r="J1099" i="2"/>
  <c r="I1099" i="2"/>
  <c r="G1099" i="2"/>
  <c r="F1099" i="2"/>
  <c r="T1098" i="2"/>
  <c r="L1098" i="2"/>
  <c r="J1098" i="2"/>
  <c r="I1098" i="2"/>
  <c r="G1098" i="2"/>
  <c r="F1098" i="2"/>
  <c r="T1097" i="2"/>
  <c r="L1097" i="2"/>
  <c r="J1097" i="2"/>
  <c r="I1097" i="2"/>
  <c r="G1097" i="2"/>
  <c r="F1097" i="2"/>
  <c r="T1096" i="2"/>
  <c r="L1096" i="2"/>
  <c r="J1096" i="2"/>
  <c r="I1096" i="2"/>
  <c r="G1096" i="2"/>
  <c r="F1096" i="2"/>
  <c r="C1096" i="2"/>
  <c r="T1095" i="2"/>
  <c r="J1095" i="2"/>
  <c r="I1095" i="2"/>
  <c r="G1095" i="2"/>
  <c r="F1095" i="2"/>
  <c r="T1094" i="2"/>
  <c r="L1094" i="2"/>
  <c r="K1094" i="2"/>
  <c r="K1097" i="2" s="1"/>
  <c r="T1093" i="2"/>
  <c r="R1093" i="2"/>
  <c r="Q1093" i="2"/>
  <c r="O1093" i="2"/>
  <c r="N1093" i="2"/>
  <c r="M1093" i="2"/>
  <c r="L1093" i="2"/>
  <c r="J1093" i="2"/>
  <c r="I1093" i="2"/>
  <c r="G1093" i="2"/>
  <c r="F1093" i="2"/>
  <c r="T1092" i="2"/>
  <c r="R1092" i="2"/>
  <c r="Q1092" i="2"/>
  <c r="O1092" i="2"/>
  <c r="N1092" i="2"/>
  <c r="M1092" i="2"/>
  <c r="L1092" i="2"/>
  <c r="J1092" i="2"/>
  <c r="I1092" i="2"/>
  <c r="G1092" i="2"/>
  <c r="F1092" i="2"/>
  <c r="T1091" i="2"/>
  <c r="R1091" i="2"/>
  <c r="Q1091" i="2"/>
  <c r="O1091" i="2"/>
  <c r="N1091" i="2"/>
  <c r="M1091" i="2"/>
  <c r="L1091" i="2"/>
  <c r="K1091" i="2"/>
  <c r="J1091" i="2"/>
  <c r="I1091" i="2"/>
  <c r="G1091" i="2"/>
  <c r="F1091" i="2"/>
  <c r="T1090" i="2"/>
  <c r="R1090" i="2"/>
  <c r="Q1090" i="2"/>
  <c r="O1090" i="2"/>
  <c r="N1090" i="2"/>
  <c r="M1090" i="2"/>
  <c r="J1090" i="2"/>
  <c r="I1090" i="2"/>
  <c r="G1090" i="2"/>
  <c r="F1090" i="2"/>
  <c r="T1089" i="2"/>
  <c r="R1089" i="2"/>
  <c r="Q1089" i="2"/>
  <c r="O1089" i="2"/>
  <c r="N1089" i="2"/>
  <c r="M1089" i="2"/>
  <c r="J1089" i="2"/>
  <c r="I1089" i="2"/>
  <c r="G1089" i="2"/>
  <c r="F1089" i="2"/>
  <c r="T1088" i="2"/>
  <c r="R1088" i="2"/>
  <c r="Q1088" i="2"/>
  <c r="O1088" i="2"/>
  <c r="N1088" i="2"/>
  <c r="M1088" i="2"/>
  <c r="J1088" i="2"/>
  <c r="I1088" i="2"/>
  <c r="G1088" i="2"/>
  <c r="F1088" i="2"/>
  <c r="T1087" i="2"/>
  <c r="L1087" i="2"/>
  <c r="L1088" i="2" s="1"/>
  <c r="K1087" i="2"/>
  <c r="H1087" i="2" s="1"/>
  <c r="H1091" i="2" s="1"/>
  <c r="T1086" i="2"/>
  <c r="G1086" i="2"/>
  <c r="F1086" i="2"/>
  <c r="E1086" i="2"/>
  <c r="C1086" i="2"/>
  <c r="T1085" i="2"/>
  <c r="G1085" i="2"/>
  <c r="F1085" i="2"/>
  <c r="E1085" i="2"/>
  <c r="D1085" i="2"/>
  <c r="D1084" i="2" s="1"/>
  <c r="C1085" i="2"/>
  <c r="T1084" i="2"/>
  <c r="G1084" i="2"/>
  <c r="F1084" i="2"/>
  <c r="C1084" i="2"/>
  <c r="T1083" i="2"/>
  <c r="G1083" i="2"/>
  <c r="F1083" i="2"/>
  <c r="C1083" i="2"/>
  <c r="T1082" i="2"/>
  <c r="L1082" i="2"/>
  <c r="K1082" i="2"/>
  <c r="J1082" i="2"/>
  <c r="I1082" i="2"/>
  <c r="H1082" i="2"/>
  <c r="C1082" i="2" s="1"/>
  <c r="G1082" i="2"/>
  <c r="F1082" i="2"/>
  <c r="T1081" i="2"/>
  <c r="L1081" i="2"/>
  <c r="K1081" i="2"/>
  <c r="J1081" i="2"/>
  <c r="I1081" i="2"/>
  <c r="G1081" i="2"/>
  <c r="F1081" i="2"/>
  <c r="T1080" i="2"/>
  <c r="P1080" i="2"/>
  <c r="C1080" i="2" s="1"/>
  <c r="L1080" i="2"/>
  <c r="K1080" i="2"/>
  <c r="H1080" i="2" s="1"/>
  <c r="H1081" i="2" s="1"/>
  <c r="C1081" i="2" s="1"/>
  <c r="T1079" i="2"/>
  <c r="G1079" i="2"/>
  <c r="F1079" i="2"/>
  <c r="E1079" i="2"/>
  <c r="C1079" i="2"/>
  <c r="T1078" i="2"/>
  <c r="G1078" i="2"/>
  <c r="F1078" i="2"/>
  <c r="E1078" i="2"/>
  <c r="C1078" i="2"/>
  <c r="T1077" i="2"/>
  <c r="G1077" i="2"/>
  <c r="F1077" i="2"/>
  <c r="C1077" i="2"/>
  <c r="T1076" i="2"/>
  <c r="G1076" i="2"/>
  <c r="F1076" i="2"/>
  <c r="C1076" i="2"/>
  <c r="T1075" i="2"/>
  <c r="L1075" i="2"/>
  <c r="J1075" i="2"/>
  <c r="I1075" i="2"/>
  <c r="G1075" i="2"/>
  <c r="F1075" i="2"/>
  <c r="T1074" i="2"/>
  <c r="L1074" i="2"/>
  <c r="J1074" i="2"/>
  <c r="I1074" i="2"/>
  <c r="G1074" i="2"/>
  <c r="F1074" i="2"/>
  <c r="T1073" i="2"/>
  <c r="L1073" i="2"/>
  <c r="G1073" i="2"/>
  <c r="F1073" i="2"/>
  <c r="D1073" i="2"/>
  <c r="J1073" i="2" s="1"/>
  <c r="T1072" i="2"/>
  <c r="L1072" i="2"/>
  <c r="K1072" i="2"/>
  <c r="T1071" i="2"/>
  <c r="G1071" i="2"/>
  <c r="F1071" i="2"/>
  <c r="E1071" i="2"/>
  <c r="C1071" i="2"/>
  <c r="T1070" i="2"/>
  <c r="G1070" i="2"/>
  <c r="F1070" i="2"/>
  <c r="E1070" i="2"/>
  <c r="D1070" i="2"/>
  <c r="D1069" i="2" s="1"/>
  <c r="C1070" i="2"/>
  <c r="T1069" i="2"/>
  <c r="G1069" i="2"/>
  <c r="F1069" i="2"/>
  <c r="C1069" i="2"/>
  <c r="T1068" i="2"/>
  <c r="G1068" i="2"/>
  <c r="F1068" i="2"/>
  <c r="C1068" i="2"/>
  <c r="T1067" i="2"/>
  <c r="L1067" i="2"/>
  <c r="J1067" i="2"/>
  <c r="I1067" i="2"/>
  <c r="G1067" i="2"/>
  <c r="F1067" i="2"/>
  <c r="T1066" i="2"/>
  <c r="L1066" i="2"/>
  <c r="J1066" i="2"/>
  <c r="I1066" i="2"/>
  <c r="G1066" i="2"/>
  <c r="F1066" i="2"/>
  <c r="T1065" i="2"/>
  <c r="L1065" i="2"/>
  <c r="J1065" i="2"/>
  <c r="I1065" i="2"/>
  <c r="G1065" i="2"/>
  <c r="F1065" i="2"/>
  <c r="T1064" i="2"/>
  <c r="L1064" i="2"/>
  <c r="K1064" i="2"/>
  <c r="J1064" i="2"/>
  <c r="I1064" i="2"/>
  <c r="G1064" i="2"/>
  <c r="F1064" i="2"/>
  <c r="T1063" i="2"/>
  <c r="L1063" i="2"/>
  <c r="H1063" i="2"/>
  <c r="C1063" i="2" s="1"/>
  <c r="G1063" i="2"/>
  <c r="F1063" i="2"/>
  <c r="D1063" i="2"/>
  <c r="J1063" i="2" s="1"/>
  <c r="T1062" i="2"/>
  <c r="L1062" i="2"/>
  <c r="K1062" i="2"/>
  <c r="K1067" i="2" s="1"/>
  <c r="H1062" i="2"/>
  <c r="T1061" i="2"/>
  <c r="G1061" i="2"/>
  <c r="F1061" i="2"/>
  <c r="E1061" i="2"/>
  <c r="C1061" i="2"/>
  <c r="T1060" i="2"/>
  <c r="G1060" i="2"/>
  <c r="F1060" i="2"/>
  <c r="E1060" i="2"/>
  <c r="D1060" i="2"/>
  <c r="C1060" i="2"/>
  <c r="T1059" i="2"/>
  <c r="G1059" i="2"/>
  <c r="F1059" i="2"/>
  <c r="D1059" i="2"/>
  <c r="C1059" i="2"/>
  <c r="T1058" i="2"/>
  <c r="G1058" i="2"/>
  <c r="F1058" i="2"/>
  <c r="C1058" i="2"/>
  <c r="T1057" i="2"/>
  <c r="L1057" i="2"/>
  <c r="K1057" i="2"/>
  <c r="J1057" i="2"/>
  <c r="I1057" i="2"/>
  <c r="G1057" i="2"/>
  <c r="F1057" i="2"/>
  <c r="T1056" i="2"/>
  <c r="L1056" i="2"/>
  <c r="K1056" i="2"/>
  <c r="J1056" i="2"/>
  <c r="I1056" i="2"/>
  <c r="G1056" i="2"/>
  <c r="F1056" i="2"/>
  <c r="T1055" i="2"/>
  <c r="L1055" i="2"/>
  <c r="J1055" i="2"/>
  <c r="I1055" i="2"/>
  <c r="G1055" i="2"/>
  <c r="F1055" i="2"/>
  <c r="T1054" i="2"/>
  <c r="L1054" i="2"/>
  <c r="K1054" i="2"/>
  <c r="J1054" i="2"/>
  <c r="I1054" i="2"/>
  <c r="G1054" i="2"/>
  <c r="F1054" i="2"/>
  <c r="T1053" i="2"/>
  <c r="L1053" i="2"/>
  <c r="G1053" i="2"/>
  <c r="F1053" i="2"/>
  <c r="D1053" i="2"/>
  <c r="J1053" i="2" s="1"/>
  <c r="T1052" i="2"/>
  <c r="L1052" i="2"/>
  <c r="K1052" i="2"/>
  <c r="H1052" i="2"/>
  <c r="T1051" i="2"/>
  <c r="G1051" i="2"/>
  <c r="F1051" i="2"/>
  <c r="E1051" i="2"/>
  <c r="C1051" i="2"/>
  <c r="T1050" i="2"/>
  <c r="G1050" i="2"/>
  <c r="F1050" i="2"/>
  <c r="E1050" i="2"/>
  <c r="C1050" i="2"/>
  <c r="T1049" i="2"/>
  <c r="G1049" i="2"/>
  <c r="F1049" i="2"/>
  <c r="C1049" i="2"/>
  <c r="T1048" i="2"/>
  <c r="G1048" i="2"/>
  <c r="F1048" i="2"/>
  <c r="C1048" i="2"/>
  <c r="T1047" i="2"/>
  <c r="J1047" i="2"/>
  <c r="I1047" i="2"/>
  <c r="G1047" i="2"/>
  <c r="F1047" i="2"/>
  <c r="T1046" i="2"/>
  <c r="L1046" i="2"/>
  <c r="K1046" i="2"/>
  <c r="J1046" i="2"/>
  <c r="I1046" i="2"/>
  <c r="G1046" i="2"/>
  <c r="F1046" i="2"/>
  <c r="T1045" i="2"/>
  <c r="L1045" i="2"/>
  <c r="K1045" i="2"/>
  <c r="J1045" i="2"/>
  <c r="I1045" i="2"/>
  <c r="G1045" i="2"/>
  <c r="F1045" i="2"/>
  <c r="T1044" i="2"/>
  <c r="K1044" i="2"/>
  <c r="I1044" i="2"/>
  <c r="G1044" i="2"/>
  <c r="F1044" i="2"/>
  <c r="D1044" i="2"/>
  <c r="J1044" i="2" s="1"/>
  <c r="T1043" i="2"/>
  <c r="G1043" i="2"/>
  <c r="F1043" i="2"/>
  <c r="D1043" i="2"/>
  <c r="K1043" i="2" s="1"/>
  <c r="T1042" i="2"/>
  <c r="L1042" i="2"/>
  <c r="L1100" i="2" s="1"/>
  <c r="K1042" i="2"/>
  <c r="K1047" i="2" s="1"/>
  <c r="H1042" i="2"/>
  <c r="T1041" i="2"/>
  <c r="G1041" i="2"/>
  <c r="F1041" i="2"/>
  <c r="E1041" i="2"/>
  <c r="C1041" i="2"/>
  <c r="T1040" i="2"/>
  <c r="G1040" i="2"/>
  <c r="F1040" i="2"/>
  <c r="E1040" i="2"/>
  <c r="C1040" i="2"/>
  <c r="T1039" i="2"/>
  <c r="G1039" i="2"/>
  <c r="F1039" i="2"/>
  <c r="C1039" i="2"/>
  <c r="T1038" i="2"/>
  <c r="G1038" i="2"/>
  <c r="F1038" i="2"/>
  <c r="C1038" i="2"/>
  <c r="T1037" i="2"/>
  <c r="L1037" i="2"/>
  <c r="K1037" i="2"/>
  <c r="J1037" i="2"/>
  <c r="I1037" i="2"/>
  <c r="G1037" i="2"/>
  <c r="F1037" i="2"/>
  <c r="T1036" i="2"/>
  <c r="L1036" i="2"/>
  <c r="K1036" i="2"/>
  <c r="J1036" i="2"/>
  <c r="I1036" i="2"/>
  <c r="G1036" i="2"/>
  <c r="F1036" i="2"/>
  <c r="T1035" i="2"/>
  <c r="G1035" i="2"/>
  <c r="F1035" i="2"/>
  <c r="D1035" i="2"/>
  <c r="T1034" i="2"/>
  <c r="G1034" i="2"/>
  <c r="F1034" i="2"/>
  <c r="D1034" i="2"/>
  <c r="T1033" i="2"/>
  <c r="L1033" i="2"/>
  <c r="K1033" i="2"/>
  <c r="H1033" i="2"/>
  <c r="H1036" i="2" s="1"/>
  <c r="C1036" i="2" s="1"/>
  <c r="T1032" i="2"/>
  <c r="G1032" i="2"/>
  <c r="F1032" i="2"/>
  <c r="E1032" i="2"/>
  <c r="C1032" i="2"/>
  <c r="T1031" i="2"/>
  <c r="G1031" i="2"/>
  <c r="F1031" i="2"/>
  <c r="E1031" i="2"/>
  <c r="C1031" i="2"/>
  <c r="T1030" i="2"/>
  <c r="G1030" i="2"/>
  <c r="F1030" i="2"/>
  <c r="E1030" i="2"/>
  <c r="C1030" i="2"/>
  <c r="T1029" i="2"/>
  <c r="G1029" i="2"/>
  <c r="F1029" i="2"/>
  <c r="E1029" i="2"/>
  <c r="C1029" i="2"/>
  <c r="T1028" i="2"/>
  <c r="L1028" i="2"/>
  <c r="K1028" i="2"/>
  <c r="J1028" i="2"/>
  <c r="I1028" i="2"/>
  <c r="G1028" i="2"/>
  <c r="F1028" i="2"/>
  <c r="T1027" i="2"/>
  <c r="L1027" i="2"/>
  <c r="J1027" i="2"/>
  <c r="I1027" i="2"/>
  <c r="G1027" i="2"/>
  <c r="F1027" i="2"/>
  <c r="T1026" i="2"/>
  <c r="K1026" i="2"/>
  <c r="G1026" i="2"/>
  <c r="F1026" i="2"/>
  <c r="D1026" i="2"/>
  <c r="T1025" i="2"/>
  <c r="I1025" i="2"/>
  <c r="G1025" i="2"/>
  <c r="F1025" i="2"/>
  <c r="D1025" i="2"/>
  <c r="T1024" i="2"/>
  <c r="K1024" i="2"/>
  <c r="J1024" i="2"/>
  <c r="I1024" i="2"/>
  <c r="G1024" i="2"/>
  <c r="F1024" i="2"/>
  <c r="D1024" i="2"/>
  <c r="T1023" i="2"/>
  <c r="L1023" i="2"/>
  <c r="K1023" i="2"/>
  <c r="K1027" i="2" s="1"/>
  <c r="H1023" i="2"/>
  <c r="T1022" i="2"/>
  <c r="G1022" i="2"/>
  <c r="F1022" i="2"/>
  <c r="E1022" i="2"/>
  <c r="C1022" i="2"/>
  <c r="T1021" i="2"/>
  <c r="G1021" i="2"/>
  <c r="F1021" i="2"/>
  <c r="E1021" i="2"/>
  <c r="C1021" i="2"/>
  <c r="T1020" i="2"/>
  <c r="G1020" i="2"/>
  <c r="F1020" i="2"/>
  <c r="C1020" i="2"/>
  <c r="T1019" i="2"/>
  <c r="G1019" i="2"/>
  <c r="F1019" i="2"/>
  <c r="C1019" i="2"/>
  <c r="T1018" i="2"/>
  <c r="J1018" i="2"/>
  <c r="I1018" i="2"/>
  <c r="G1018" i="2"/>
  <c r="F1018" i="2"/>
  <c r="T1017" i="2"/>
  <c r="L1017" i="2"/>
  <c r="J1017" i="2"/>
  <c r="I1017" i="2"/>
  <c r="G1017" i="2"/>
  <c r="F1017" i="2"/>
  <c r="T1016" i="2"/>
  <c r="J1016" i="2"/>
  <c r="I1016" i="2"/>
  <c r="G1016" i="2"/>
  <c r="F1016" i="2"/>
  <c r="T1015" i="2"/>
  <c r="J1015" i="2"/>
  <c r="I1015" i="2"/>
  <c r="G1015" i="2"/>
  <c r="F1015" i="2"/>
  <c r="D1015" i="2"/>
  <c r="T1014" i="2"/>
  <c r="L1014" i="2"/>
  <c r="K1014" i="2"/>
  <c r="J1014" i="2"/>
  <c r="I1014" i="2"/>
  <c r="G1014" i="2"/>
  <c r="F1014" i="2"/>
  <c r="D1014" i="2"/>
  <c r="D1021" i="2" s="1"/>
  <c r="D1020" i="2" s="1"/>
  <c r="T1013" i="2"/>
  <c r="L1013" i="2"/>
  <c r="L1018" i="2" s="1"/>
  <c r="K1013" i="2"/>
  <c r="T1012" i="2"/>
  <c r="G1012" i="2"/>
  <c r="F1012" i="2"/>
  <c r="E1012" i="2"/>
  <c r="C1012" i="2"/>
  <c r="T1011" i="2"/>
  <c r="G1011" i="2"/>
  <c r="F1011" i="2"/>
  <c r="E1011" i="2"/>
  <c r="C1011" i="2"/>
  <c r="T1010" i="2"/>
  <c r="G1010" i="2"/>
  <c r="F1010" i="2"/>
  <c r="C1010" i="2"/>
  <c r="T1009" i="2"/>
  <c r="G1009" i="2"/>
  <c r="F1009" i="2"/>
  <c r="C1009" i="2"/>
  <c r="T1008" i="2"/>
  <c r="L1008" i="2"/>
  <c r="J1008" i="2"/>
  <c r="I1008" i="2"/>
  <c r="G1008" i="2"/>
  <c r="F1008" i="2"/>
  <c r="T1007" i="2"/>
  <c r="J1007" i="2"/>
  <c r="I1007" i="2"/>
  <c r="G1007" i="2"/>
  <c r="F1007" i="2"/>
  <c r="T1006" i="2"/>
  <c r="J1006" i="2"/>
  <c r="G1006" i="2"/>
  <c r="D1006" i="2"/>
  <c r="K1006" i="2" s="1"/>
  <c r="T1005" i="2"/>
  <c r="K1005" i="2"/>
  <c r="J1005" i="2"/>
  <c r="I1005" i="2"/>
  <c r="G1005" i="2"/>
  <c r="F1005" i="2"/>
  <c r="D1005" i="2"/>
  <c r="T1004" i="2"/>
  <c r="G1004" i="2"/>
  <c r="F1004" i="2"/>
  <c r="D1004" i="2"/>
  <c r="T1003" i="2"/>
  <c r="L1003" i="2"/>
  <c r="K1003" i="2"/>
  <c r="K1008" i="2" s="1"/>
  <c r="T1002" i="2"/>
  <c r="C1002" i="2"/>
  <c r="T1001" i="2"/>
  <c r="C1001" i="2"/>
  <c r="T1000" i="2"/>
  <c r="R1000" i="2"/>
  <c r="Q1000" i="2"/>
  <c r="L1000" i="2"/>
  <c r="K1000" i="2"/>
  <c r="J1000" i="2"/>
  <c r="I1000" i="2"/>
  <c r="H1000" i="2"/>
  <c r="T999" i="2"/>
  <c r="R999" i="2"/>
  <c r="Q999" i="2"/>
  <c r="L999" i="2"/>
  <c r="K999" i="2"/>
  <c r="J999" i="2"/>
  <c r="I999" i="2"/>
  <c r="T998" i="2"/>
  <c r="R998" i="2"/>
  <c r="Q998" i="2"/>
  <c r="L998" i="2"/>
  <c r="K998" i="2"/>
  <c r="J998" i="2"/>
  <c r="I998" i="2"/>
  <c r="H998" i="2"/>
  <c r="T997" i="2"/>
  <c r="R997" i="2"/>
  <c r="Q997" i="2"/>
  <c r="L997" i="2"/>
  <c r="K997" i="2"/>
  <c r="J997" i="2"/>
  <c r="I997" i="2"/>
  <c r="H997" i="2"/>
  <c r="T996" i="2"/>
  <c r="L996" i="2"/>
  <c r="K996" i="2"/>
  <c r="J996" i="2"/>
  <c r="I996" i="2"/>
  <c r="D996" i="2"/>
  <c r="R996" i="2" s="1"/>
  <c r="T995" i="2"/>
  <c r="P995" i="2"/>
  <c r="P999" i="2" s="1"/>
  <c r="C999" i="2" s="1"/>
  <c r="L995" i="2"/>
  <c r="K995" i="2"/>
  <c r="H995" i="2" s="1"/>
  <c r="H999" i="2" s="1"/>
  <c r="C995" i="2"/>
  <c r="T994" i="2"/>
  <c r="C994" i="2"/>
  <c r="T993" i="2"/>
  <c r="C993" i="2"/>
  <c r="T992" i="2"/>
  <c r="D992" i="2"/>
  <c r="T991" i="2"/>
  <c r="R991" i="2"/>
  <c r="L991" i="2"/>
  <c r="K991" i="2"/>
  <c r="J991" i="2"/>
  <c r="I991" i="2"/>
  <c r="H991" i="2"/>
  <c r="T990" i="2"/>
  <c r="R990" i="2"/>
  <c r="L990" i="2"/>
  <c r="K990" i="2"/>
  <c r="J990" i="2"/>
  <c r="I990" i="2"/>
  <c r="H990" i="2"/>
  <c r="T989" i="2"/>
  <c r="L989" i="2"/>
  <c r="K989" i="2"/>
  <c r="J989" i="2"/>
  <c r="I989" i="2"/>
  <c r="H989" i="2"/>
  <c r="D989" i="2"/>
  <c r="R989" i="2" s="1"/>
  <c r="T988" i="2"/>
  <c r="L988" i="2"/>
  <c r="K988" i="2"/>
  <c r="T987" i="2"/>
  <c r="G987" i="2"/>
  <c r="F987" i="2"/>
  <c r="E987" i="2"/>
  <c r="D987" i="2"/>
  <c r="C987" i="2"/>
  <c r="T986" i="2"/>
  <c r="G986" i="2"/>
  <c r="F986" i="2"/>
  <c r="E986" i="2"/>
  <c r="D986" i="2"/>
  <c r="C986" i="2"/>
  <c r="T985" i="2"/>
  <c r="L985" i="2"/>
  <c r="J985" i="2"/>
  <c r="G985" i="2"/>
  <c r="F985" i="2"/>
  <c r="D985" i="2"/>
  <c r="I985" i="2" s="1"/>
  <c r="T984" i="2"/>
  <c r="J984" i="2"/>
  <c r="I984" i="2"/>
  <c r="G984" i="2"/>
  <c r="F984" i="2"/>
  <c r="T983" i="2"/>
  <c r="J983" i="2"/>
  <c r="I983" i="2"/>
  <c r="H983" i="2"/>
  <c r="C983" i="2" s="1"/>
  <c r="G983" i="2"/>
  <c r="F983" i="2"/>
  <c r="T982" i="2"/>
  <c r="J982" i="2"/>
  <c r="I982" i="2"/>
  <c r="G982" i="2"/>
  <c r="F982" i="2"/>
  <c r="T981" i="2"/>
  <c r="K981" i="2"/>
  <c r="J981" i="2"/>
  <c r="I981" i="2"/>
  <c r="G981" i="2"/>
  <c r="F981" i="2"/>
  <c r="D981" i="2"/>
  <c r="T980" i="2"/>
  <c r="L980" i="2"/>
  <c r="L984" i="2" s="1"/>
  <c r="K980" i="2"/>
  <c r="K985" i="2" s="1"/>
  <c r="H980" i="2"/>
  <c r="H982" i="2" s="1"/>
  <c r="C982" i="2" s="1"/>
  <c r="T979" i="2"/>
  <c r="G979" i="2"/>
  <c r="F979" i="2"/>
  <c r="E979" i="2"/>
  <c r="C979" i="2"/>
  <c r="T978" i="2"/>
  <c r="G978" i="2"/>
  <c r="F978" i="2"/>
  <c r="E978" i="2"/>
  <c r="D978" i="2"/>
  <c r="C978" i="2"/>
  <c r="T977" i="2"/>
  <c r="G977" i="2"/>
  <c r="F977" i="2"/>
  <c r="D977" i="2"/>
  <c r="T976" i="2"/>
  <c r="L976" i="2"/>
  <c r="J976" i="2"/>
  <c r="I976" i="2"/>
  <c r="G976" i="2"/>
  <c r="F976" i="2"/>
  <c r="T975" i="2"/>
  <c r="J975" i="2"/>
  <c r="I975" i="2"/>
  <c r="G975" i="2"/>
  <c r="F975" i="2"/>
  <c r="T974" i="2"/>
  <c r="J974" i="2"/>
  <c r="I974" i="2"/>
  <c r="G974" i="2"/>
  <c r="F974" i="2"/>
  <c r="D974" i="2"/>
  <c r="T973" i="2"/>
  <c r="L973" i="2"/>
  <c r="K973" i="2"/>
  <c r="T972" i="2"/>
  <c r="G972" i="2"/>
  <c r="F972" i="2"/>
  <c r="E972" i="2"/>
  <c r="C972" i="2"/>
  <c r="T971" i="2"/>
  <c r="G971" i="2"/>
  <c r="F971" i="2"/>
  <c r="E971" i="2"/>
  <c r="C971" i="2"/>
  <c r="T970" i="2"/>
  <c r="G970" i="2"/>
  <c r="F970" i="2"/>
  <c r="E970" i="2"/>
  <c r="C970" i="2"/>
  <c r="T969" i="2"/>
  <c r="G969" i="2"/>
  <c r="F969" i="2"/>
  <c r="E969" i="2"/>
  <c r="T968" i="2"/>
  <c r="N968" i="2"/>
  <c r="M968" i="2"/>
  <c r="J968" i="2"/>
  <c r="I968" i="2"/>
  <c r="G968" i="2"/>
  <c r="F968" i="2"/>
  <c r="T967" i="2"/>
  <c r="N967" i="2"/>
  <c r="M967" i="2"/>
  <c r="L967" i="2"/>
  <c r="J967" i="2"/>
  <c r="I967" i="2"/>
  <c r="G967" i="2"/>
  <c r="F967" i="2"/>
  <c r="T966" i="2"/>
  <c r="N966" i="2"/>
  <c r="M966" i="2"/>
  <c r="K966" i="2"/>
  <c r="J966" i="2"/>
  <c r="I966" i="2"/>
  <c r="G966" i="2"/>
  <c r="F966" i="2"/>
  <c r="T965" i="2"/>
  <c r="N965" i="2"/>
  <c r="M965" i="2"/>
  <c r="L965" i="2"/>
  <c r="K965" i="2"/>
  <c r="J965" i="2"/>
  <c r="I965" i="2"/>
  <c r="G965" i="2"/>
  <c r="F965" i="2"/>
  <c r="T964" i="2"/>
  <c r="N964" i="2"/>
  <c r="K964" i="2"/>
  <c r="J964" i="2"/>
  <c r="I964" i="2"/>
  <c r="G964" i="2"/>
  <c r="F964" i="2"/>
  <c r="D964" i="2"/>
  <c r="M964" i="2" s="1"/>
  <c r="T963" i="2"/>
  <c r="N963" i="2"/>
  <c r="L963" i="2"/>
  <c r="G963" i="2"/>
  <c r="F963" i="2"/>
  <c r="D963" i="2"/>
  <c r="M963" i="2" s="1"/>
  <c r="T962" i="2"/>
  <c r="L962" i="2"/>
  <c r="L968" i="2" s="1"/>
  <c r="K962" i="2"/>
  <c r="K963" i="2" s="1"/>
  <c r="T961" i="2"/>
  <c r="G961" i="2"/>
  <c r="F961" i="2"/>
  <c r="E961" i="2"/>
  <c r="C961" i="2"/>
  <c r="T960" i="2"/>
  <c r="G960" i="2"/>
  <c r="F960" i="2"/>
  <c r="E960" i="2"/>
  <c r="C960" i="2"/>
  <c r="T959" i="2"/>
  <c r="G959" i="2"/>
  <c r="F959" i="2"/>
  <c r="E959" i="2"/>
  <c r="C959" i="2"/>
  <c r="T958" i="2"/>
  <c r="Q958" i="2"/>
  <c r="G958" i="2"/>
  <c r="F958" i="2"/>
  <c r="E958" i="2"/>
  <c r="T957" i="2"/>
  <c r="Q957" i="2"/>
  <c r="N957" i="2"/>
  <c r="M957" i="2"/>
  <c r="K957" i="2"/>
  <c r="J957" i="2"/>
  <c r="I957" i="2"/>
  <c r="G957" i="2"/>
  <c r="F957" i="2"/>
  <c r="T956" i="2"/>
  <c r="Q956" i="2"/>
  <c r="N956" i="2"/>
  <c r="M956" i="2"/>
  <c r="J956" i="2"/>
  <c r="I956" i="2"/>
  <c r="G956" i="2"/>
  <c r="F956" i="2"/>
  <c r="T955" i="2"/>
  <c r="Q955" i="2"/>
  <c r="N955" i="2"/>
  <c r="M955" i="2"/>
  <c r="J955" i="2"/>
  <c r="I955" i="2"/>
  <c r="G955" i="2"/>
  <c r="F955" i="2"/>
  <c r="T954" i="2"/>
  <c r="Q954" i="2"/>
  <c r="N954" i="2"/>
  <c r="M954" i="2"/>
  <c r="J954" i="2"/>
  <c r="I954" i="2"/>
  <c r="G954" i="2"/>
  <c r="F954" i="2"/>
  <c r="T953" i="2"/>
  <c r="L953" i="2"/>
  <c r="K953" i="2"/>
  <c r="T952" i="2"/>
  <c r="G952" i="2"/>
  <c r="F952" i="2"/>
  <c r="E952" i="2"/>
  <c r="C952" i="2"/>
  <c r="T951" i="2"/>
  <c r="G951" i="2"/>
  <c r="F951" i="2"/>
  <c r="E951" i="2"/>
  <c r="C951" i="2"/>
  <c r="T950" i="2"/>
  <c r="G950" i="2"/>
  <c r="F950" i="2"/>
  <c r="E950" i="2"/>
  <c r="C950" i="2"/>
  <c r="T949" i="2"/>
  <c r="G949" i="2"/>
  <c r="F949" i="2"/>
  <c r="E949" i="2"/>
  <c r="C949" i="2"/>
  <c r="T948" i="2"/>
  <c r="R948" i="2"/>
  <c r="Q948" i="2"/>
  <c r="N948" i="2"/>
  <c r="M948" i="2"/>
  <c r="K948" i="2"/>
  <c r="J948" i="2"/>
  <c r="I948" i="2"/>
  <c r="G948" i="2"/>
  <c r="F948" i="2"/>
  <c r="T947" i="2"/>
  <c r="R947" i="2"/>
  <c r="Q947" i="2"/>
  <c r="N947" i="2"/>
  <c r="M947" i="2"/>
  <c r="L947" i="2"/>
  <c r="J947" i="2"/>
  <c r="I947" i="2"/>
  <c r="G947" i="2"/>
  <c r="F947" i="2"/>
  <c r="T946" i="2"/>
  <c r="R946" i="2"/>
  <c r="Q946" i="2"/>
  <c r="N946" i="2"/>
  <c r="M946" i="2"/>
  <c r="L946" i="2"/>
  <c r="K946" i="2"/>
  <c r="J946" i="2"/>
  <c r="I946" i="2"/>
  <c r="G946" i="2"/>
  <c r="F946" i="2"/>
  <c r="T945" i="2"/>
  <c r="N945" i="2"/>
  <c r="M945" i="2"/>
  <c r="J945" i="2"/>
  <c r="I945" i="2"/>
  <c r="G945" i="2"/>
  <c r="F945" i="2"/>
  <c r="T944" i="2"/>
  <c r="R944" i="2"/>
  <c r="Q944" i="2"/>
  <c r="N944" i="2"/>
  <c r="M944" i="2"/>
  <c r="K944" i="2"/>
  <c r="J944" i="2"/>
  <c r="I944" i="2"/>
  <c r="G944" i="2"/>
  <c r="F944" i="2"/>
  <c r="T943" i="2"/>
  <c r="R943" i="2"/>
  <c r="Q943" i="2"/>
  <c r="O943" i="2"/>
  <c r="N943" i="2"/>
  <c r="M943" i="2"/>
  <c r="K943" i="2"/>
  <c r="J943" i="2"/>
  <c r="I943" i="2"/>
  <c r="G943" i="2"/>
  <c r="F943" i="2"/>
  <c r="T942" i="2"/>
  <c r="L942" i="2"/>
  <c r="K942" i="2"/>
  <c r="K947" i="2" s="1"/>
  <c r="T941" i="2"/>
  <c r="G941" i="2"/>
  <c r="F941" i="2"/>
  <c r="E941" i="2"/>
  <c r="C941" i="2"/>
  <c r="T940" i="2"/>
  <c r="G940" i="2"/>
  <c r="F940" i="2"/>
  <c r="E940" i="2"/>
  <c r="C940" i="2"/>
  <c r="T939" i="2"/>
  <c r="G939" i="2"/>
  <c r="F939" i="2"/>
  <c r="E939" i="2"/>
  <c r="C939" i="2"/>
  <c r="T938" i="2"/>
  <c r="G938" i="2"/>
  <c r="F938" i="2"/>
  <c r="E938" i="2"/>
  <c r="C938" i="2"/>
  <c r="T937" i="2"/>
  <c r="R937" i="2"/>
  <c r="Q937" i="2"/>
  <c r="N937" i="2"/>
  <c r="M937" i="2"/>
  <c r="L937" i="2"/>
  <c r="J937" i="2"/>
  <c r="I937" i="2"/>
  <c r="G937" i="2"/>
  <c r="F937" i="2"/>
  <c r="T936" i="2"/>
  <c r="R936" i="2"/>
  <c r="Q936" i="2"/>
  <c r="N936" i="2"/>
  <c r="M936" i="2"/>
  <c r="L936" i="2"/>
  <c r="K936" i="2"/>
  <c r="J936" i="2"/>
  <c r="I936" i="2"/>
  <c r="G936" i="2"/>
  <c r="F936" i="2"/>
  <c r="T935" i="2"/>
  <c r="N935" i="2"/>
  <c r="M935" i="2"/>
  <c r="K935" i="2"/>
  <c r="J935" i="2"/>
  <c r="I935" i="2"/>
  <c r="G935" i="2"/>
  <c r="F935" i="2"/>
  <c r="T934" i="2"/>
  <c r="R934" i="2"/>
  <c r="Q934" i="2"/>
  <c r="N934" i="2"/>
  <c r="M934" i="2"/>
  <c r="L934" i="2"/>
  <c r="K934" i="2"/>
  <c r="J934" i="2"/>
  <c r="I934" i="2"/>
  <c r="G934" i="2"/>
  <c r="F934" i="2"/>
  <c r="T933" i="2"/>
  <c r="R933" i="2"/>
  <c r="Q933" i="2"/>
  <c r="O933" i="2"/>
  <c r="N933" i="2"/>
  <c r="M933" i="2"/>
  <c r="K933" i="2"/>
  <c r="J933" i="2"/>
  <c r="I933" i="2"/>
  <c r="G933" i="2"/>
  <c r="F933" i="2"/>
  <c r="T932" i="2"/>
  <c r="L932" i="2"/>
  <c r="L935" i="2" s="1"/>
  <c r="K932" i="2"/>
  <c r="K937" i="2" s="1"/>
  <c r="H932" i="2"/>
  <c r="T931" i="2"/>
  <c r="G931" i="2"/>
  <c r="F931" i="2"/>
  <c r="E931" i="2"/>
  <c r="C931" i="2"/>
  <c r="T930" i="2"/>
  <c r="G930" i="2"/>
  <c r="F930" i="2"/>
  <c r="E930" i="2"/>
  <c r="C930" i="2"/>
  <c r="T929" i="2"/>
  <c r="G929" i="2"/>
  <c r="F929" i="2"/>
  <c r="E929" i="2"/>
  <c r="C929" i="2"/>
  <c r="T928" i="2"/>
  <c r="G928" i="2"/>
  <c r="F928" i="2"/>
  <c r="E928" i="2"/>
  <c r="C928" i="2"/>
  <c r="T927" i="2"/>
  <c r="N927" i="2"/>
  <c r="M927" i="2"/>
  <c r="J927" i="2"/>
  <c r="I927" i="2"/>
  <c r="H927" i="2"/>
  <c r="C927" i="2" s="1"/>
  <c r="G927" i="2"/>
  <c r="F927" i="2"/>
  <c r="T926" i="2"/>
  <c r="N926" i="2"/>
  <c r="M926" i="2"/>
  <c r="L926" i="2"/>
  <c r="K926" i="2"/>
  <c r="J926" i="2"/>
  <c r="I926" i="2"/>
  <c r="H926" i="2"/>
  <c r="C926" i="2" s="1"/>
  <c r="G926" i="2"/>
  <c r="F926" i="2"/>
  <c r="T925" i="2"/>
  <c r="N925" i="2"/>
  <c r="M925" i="2"/>
  <c r="L925" i="2"/>
  <c r="K925" i="2"/>
  <c r="J925" i="2"/>
  <c r="I925" i="2"/>
  <c r="G925" i="2"/>
  <c r="F925" i="2"/>
  <c r="T924" i="2"/>
  <c r="N924" i="2"/>
  <c r="K924" i="2"/>
  <c r="J924" i="2"/>
  <c r="I924" i="2"/>
  <c r="H924" i="2"/>
  <c r="C924" i="2" s="1"/>
  <c r="G924" i="2"/>
  <c r="F924" i="2"/>
  <c r="D924" i="2"/>
  <c r="M924" i="2" s="1"/>
  <c r="T923" i="2"/>
  <c r="G923" i="2"/>
  <c r="F923" i="2"/>
  <c r="D923" i="2"/>
  <c r="T922" i="2"/>
  <c r="P922" i="2"/>
  <c r="C922" i="2" s="1"/>
  <c r="L922" i="2"/>
  <c r="L927" i="2" s="1"/>
  <c r="K922" i="2"/>
  <c r="K927" i="2" s="1"/>
  <c r="H922" i="2"/>
  <c r="H923" i="2" s="1"/>
  <c r="C923" i="2" s="1"/>
  <c r="T921" i="2"/>
  <c r="G921" i="2"/>
  <c r="F921" i="2"/>
  <c r="E921" i="2"/>
  <c r="C921" i="2"/>
  <c r="T920" i="2"/>
  <c r="G920" i="2"/>
  <c r="F920" i="2"/>
  <c r="E920" i="2"/>
  <c r="C920" i="2"/>
  <c r="T919" i="2"/>
  <c r="G919" i="2"/>
  <c r="F919" i="2"/>
  <c r="E919" i="2"/>
  <c r="C919" i="2"/>
  <c r="T918" i="2"/>
  <c r="G918" i="2"/>
  <c r="F918" i="2"/>
  <c r="E918" i="2"/>
  <c r="C918" i="2"/>
  <c r="T917" i="2"/>
  <c r="N917" i="2"/>
  <c r="M917" i="2"/>
  <c r="L917" i="2"/>
  <c r="K917" i="2"/>
  <c r="J917" i="2"/>
  <c r="I917" i="2"/>
  <c r="H917" i="2"/>
  <c r="C917" i="2" s="1"/>
  <c r="G917" i="2"/>
  <c r="F917" i="2"/>
  <c r="T916" i="2"/>
  <c r="N916" i="2"/>
  <c r="M916" i="2"/>
  <c r="L916" i="2"/>
  <c r="K916" i="2"/>
  <c r="J916" i="2"/>
  <c r="I916" i="2"/>
  <c r="G916" i="2"/>
  <c r="F916" i="2"/>
  <c r="T915" i="2"/>
  <c r="N915" i="2"/>
  <c r="K915" i="2"/>
  <c r="J915" i="2"/>
  <c r="I915" i="2"/>
  <c r="H915" i="2"/>
  <c r="C915" i="2" s="1"/>
  <c r="G915" i="2"/>
  <c r="F915" i="2"/>
  <c r="D915" i="2"/>
  <c r="M915" i="2" s="1"/>
  <c r="T914" i="2"/>
  <c r="G914" i="2"/>
  <c r="F914" i="2"/>
  <c r="D914" i="2"/>
  <c r="T913" i="2"/>
  <c r="P913" i="2"/>
  <c r="C913" i="2" s="1"/>
  <c r="L913" i="2"/>
  <c r="L915" i="2" s="1"/>
  <c r="K913" i="2"/>
  <c r="H913" i="2"/>
  <c r="H914" i="2" s="1"/>
  <c r="C914" i="2" s="1"/>
  <c r="T912" i="2"/>
  <c r="G912" i="2"/>
  <c r="F912" i="2"/>
  <c r="E912" i="2"/>
  <c r="C912" i="2"/>
  <c r="T911" i="2"/>
  <c r="G911" i="2"/>
  <c r="F911" i="2"/>
  <c r="E911" i="2"/>
  <c r="C911" i="2"/>
  <c r="T910" i="2"/>
  <c r="G910" i="2"/>
  <c r="F910" i="2"/>
  <c r="E910" i="2"/>
  <c r="C910" i="2"/>
  <c r="T909" i="2"/>
  <c r="G909" i="2"/>
  <c r="F909" i="2"/>
  <c r="E909" i="2"/>
  <c r="C909" i="2"/>
  <c r="T908" i="2"/>
  <c r="L908" i="2"/>
  <c r="K908" i="2"/>
  <c r="H908" i="2" s="1"/>
  <c r="P908" i="2" s="1"/>
  <c r="C908" i="2" s="1"/>
  <c r="T907" i="2"/>
  <c r="G907" i="2"/>
  <c r="F907" i="2"/>
  <c r="E907" i="2"/>
  <c r="D907" i="2"/>
  <c r="C907" i="2"/>
  <c r="T906" i="2"/>
  <c r="G906" i="2"/>
  <c r="F906" i="2"/>
  <c r="E906" i="2"/>
  <c r="C906" i="2"/>
  <c r="T905" i="2"/>
  <c r="G905" i="2"/>
  <c r="F905" i="2"/>
  <c r="E905" i="2"/>
  <c r="C905" i="2"/>
  <c r="T904" i="2"/>
  <c r="G904" i="2"/>
  <c r="F904" i="2"/>
  <c r="E904" i="2"/>
  <c r="C904" i="2"/>
  <c r="T903" i="2"/>
  <c r="N903" i="2"/>
  <c r="M903" i="2"/>
  <c r="J903" i="2"/>
  <c r="I903" i="2"/>
  <c r="H903" i="2"/>
  <c r="G903" i="2"/>
  <c r="F903" i="2"/>
  <c r="C903" i="2"/>
  <c r="T902" i="2"/>
  <c r="N902" i="2"/>
  <c r="M902" i="2"/>
  <c r="L902" i="2"/>
  <c r="K902" i="2"/>
  <c r="J902" i="2"/>
  <c r="I902" i="2"/>
  <c r="H902" i="2"/>
  <c r="C902" i="2" s="1"/>
  <c r="G902" i="2"/>
  <c r="F902" i="2"/>
  <c r="T901" i="2"/>
  <c r="N901" i="2"/>
  <c r="M901" i="2"/>
  <c r="L901" i="2"/>
  <c r="K901" i="2"/>
  <c r="J901" i="2"/>
  <c r="I901" i="2"/>
  <c r="G901" i="2"/>
  <c r="F901" i="2"/>
  <c r="T900" i="2"/>
  <c r="N900" i="2"/>
  <c r="K900" i="2"/>
  <c r="J900" i="2"/>
  <c r="I900" i="2"/>
  <c r="H900" i="2"/>
  <c r="C900" i="2" s="1"/>
  <c r="G900" i="2"/>
  <c r="F900" i="2"/>
  <c r="D900" i="2"/>
  <c r="M900" i="2" s="1"/>
  <c r="T899" i="2"/>
  <c r="N899" i="2"/>
  <c r="M899" i="2"/>
  <c r="J899" i="2"/>
  <c r="G899" i="2"/>
  <c r="F899" i="2"/>
  <c r="D899" i="2"/>
  <c r="L899" i="2" s="1"/>
  <c r="T898" i="2"/>
  <c r="P898" i="2"/>
  <c r="C898" i="2" s="1"/>
  <c r="L898" i="2"/>
  <c r="L903" i="2" s="1"/>
  <c r="K898" i="2"/>
  <c r="K903" i="2" s="1"/>
  <c r="H898" i="2"/>
  <c r="H899" i="2" s="1"/>
  <c r="C899" i="2" s="1"/>
  <c r="T897" i="2"/>
  <c r="G897" i="2"/>
  <c r="F897" i="2"/>
  <c r="E897" i="2"/>
  <c r="C897" i="2"/>
  <c r="T896" i="2"/>
  <c r="G896" i="2"/>
  <c r="F896" i="2"/>
  <c r="E896" i="2"/>
  <c r="C896" i="2"/>
  <c r="T895" i="2"/>
  <c r="G895" i="2"/>
  <c r="F895" i="2"/>
  <c r="E895" i="2"/>
  <c r="C895" i="2"/>
  <c r="T894" i="2"/>
  <c r="G894" i="2"/>
  <c r="F894" i="2"/>
  <c r="E894" i="2"/>
  <c r="C894" i="2"/>
  <c r="T893" i="2"/>
  <c r="N893" i="2"/>
  <c r="M893" i="2"/>
  <c r="L893" i="2"/>
  <c r="K893" i="2"/>
  <c r="J893" i="2"/>
  <c r="I893" i="2"/>
  <c r="H893" i="2"/>
  <c r="C893" i="2" s="1"/>
  <c r="G893" i="2"/>
  <c r="F893" i="2"/>
  <c r="T892" i="2"/>
  <c r="N892" i="2"/>
  <c r="M892" i="2"/>
  <c r="L892" i="2"/>
  <c r="K892" i="2"/>
  <c r="J892" i="2"/>
  <c r="I892" i="2"/>
  <c r="G892" i="2"/>
  <c r="F892" i="2"/>
  <c r="T891" i="2"/>
  <c r="N891" i="2"/>
  <c r="K891" i="2"/>
  <c r="J891" i="2"/>
  <c r="I891" i="2"/>
  <c r="H891" i="2"/>
  <c r="C891" i="2" s="1"/>
  <c r="G891" i="2"/>
  <c r="F891" i="2"/>
  <c r="D891" i="2"/>
  <c r="M891" i="2" s="1"/>
  <c r="T890" i="2"/>
  <c r="N890" i="2"/>
  <c r="M890" i="2"/>
  <c r="J890" i="2"/>
  <c r="G890" i="2"/>
  <c r="F890" i="2"/>
  <c r="D890" i="2"/>
  <c r="L890" i="2" s="1"/>
  <c r="T889" i="2"/>
  <c r="P889" i="2"/>
  <c r="C889" i="2" s="1"/>
  <c r="L889" i="2"/>
  <c r="L891" i="2" s="1"/>
  <c r="K889" i="2"/>
  <c r="H889" i="2"/>
  <c r="H890" i="2" s="1"/>
  <c r="C890" i="2" s="1"/>
  <c r="T888" i="2"/>
  <c r="G888" i="2"/>
  <c r="F888" i="2"/>
  <c r="E888" i="2"/>
  <c r="D888" i="2"/>
  <c r="C888" i="2"/>
  <c r="T887" i="2"/>
  <c r="G887" i="2"/>
  <c r="F887" i="2"/>
  <c r="E887" i="2"/>
  <c r="D887" i="2"/>
  <c r="C887" i="2"/>
  <c r="T886" i="2"/>
  <c r="G886" i="2"/>
  <c r="F886" i="2"/>
  <c r="E886" i="2"/>
  <c r="D886" i="2"/>
  <c r="C886" i="2"/>
  <c r="T885" i="2"/>
  <c r="G885" i="2"/>
  <c r="F885" i="2"/>
  <c r="E885" i="2"/>
  <c r="C885" i="2"/>
  <c r="T884" i="2"/>
  <c r="R884" i="2"/>
  <c r="Q884" i="2"/>
  <c r="N884" i="2"/>
  <c r="M884" i="2"/>
  <c r="J884" i="2"/>
  <c r="I884" i="2"/>
  <c r="G884" i="2"/>
  <c r="F884" i="2"/>
  <c r="T883" i="2"/>
  <c r="R883" i="2"/>
  <c r="Q883" i="2"/>
  <c r="N883" i="2"/>
  <c r="M883" i="2"/>
  <c r="J883" i="2"/>
  <c r="I883" i="2"/>
  <c r="G883" i="2"/>
  <c r="F883" i="2"/>
  <c r="T882" i="2"/>
  <c r="R882" i="2"/>
  <c r="Q882" i="2"/>
  <c r="N882" i="2"/>
  <c r="M882" i="2"/>
  <c r="J882" i="2"/>
  <c r="I882" i="2"/>
  <c r="G882" i="2"/>
  <c r="F882" i="2"/>
  <c r="T881" i="2"/>
  <c r="R881" i="2"/>
  <c r="Q881" i="2"/>
  <c r="N881" i="2"/>
  <c r="M881" i="2"/>
  <c r="L881" i="2"/>
  <c r="J881" i="2"/>
  <c r="I881" i="2"/>
  <c r="G881" i="2"/>
  <c r="F881" i="2"/>
  <c r="T880" i="2"/>
  <c r="R880" i="2"/>
  <c r="Q880" i="2"/>
  <c r="N880" i="2"/>
  <c r="M880" i="2"/>
  <c r="J880" i="2"/>
  <c r="I880" i="2"/>
  <c r="G880" i="2"/>
  <c r="F880" i="2"/>
  <c r="T879" i="2"/>
  <c r="R879" i="2"/>
  <c r="Q879" i="2"/>
  <c r="N879" i="2"/>
  <c r="M879" i="2"/>
  <c r="J879" i="2"/>
  <c r="I879" i="2"/>
  <c r="G879" i="2"/>
  <c r="F879" i="2"/>
  <c r="T878" i="2"/>
  <c r="L878" i="2"/>
  <c r="K878" i="2"/>
  <c r="H878" i="2"/>
  <c r="P878" i="2" s="1"/>
  <c r="C878" i="2" s="1"/>
  <c r="T877" i="2"/>
  <c r="G877" i="2"/>
  <c r="F877" i="2"/>
  <c r="E877" i="2"/>
  <c r="D877" i="2"/>
  <c r="C877" i="2"/>
  <c r="T876" i="2"/>
  <c r="G876" i="2"/>
  <c r="F876" i="2"/>
  <c r="E876" i="2"/>
  <c r="D876" i="2"/>
  <c r="C876" i="2"/>
  <c r="T875" i="2"/>
  <c r="G875" i="2"/>
  <c r="F875" i="2"/>
  <c r="E875" i="2"/>
  <c r="D875" i="2"/>
  <c r="C875" i="2"/>
  <c r="T874" i="2"/>
  <c r="G874" i="2"/>
  <c r="F874" i="2"/>
  <c r="E874" i="2"/>
  <c r="C874" i="2"/>
  <c r="T873" i="2"/>
  <c r="R873" i="2"/>
  <c r="Q873" i="2"/>
  <c r="N873" i="2"/>
  <c r="M873" i="2"/>
  <c r="J873" i="2"/>
  <c r="I873" i="2"/>
  <c r="G873" i="2"/>
  <c r="F873" i="2"/>
  <c r="T872" i="2"/>
  <c r="R872" i="2"/>
  <c r="Q872" i="2"/>
  <c r="N872" i="2"/>
  <c r="M872" i="2"/>
  <c r="J872" i="2"/>
  <c r="I872" i="2"/>
  <c r="G872" i="2"/>
  <c r="F872" i="2"/>
  <c r="T871" i="2"/>
  <c r="R871" i="2"/>
  <c r="Q871" i="2"/>
  <c r="N871" i="2"/>
  <c r="M871" i="2"/>
  <c r="K871" i="2"/>
  <c r="J871" i="2"/>
  <c r="I871" i="2"/>
  <c r="G871" i="2"/>
  <c r="F871" i="2"/>
  <c r="T870" i="2"/>
  <c r="R870" i="2"/>
  <c r="Q870" i="2"/>
  <c r="N870" i="2"/>
  <c r="M870" i="2"/>
  <c r="J870" i="2"/>
  <c r="I870" i="2"/>
  <c r="G870" i="2"/>
  <c r="F870" i="2"/>
  <c r="T869" i="2"/>
  <c r="R869" i="2"/>
  <c r="Q869" i="2"/>
  <c r="N869" i="2"/>
  <c r="M869" i="2"/>
  <c r="K869" i="2"/>
  <c r="J869" i="2"/>
  <c r="I869" i="2"/>
  <c r="G869" i="2"/>
  <c r="F869" i="2"/>
  <c r="T868" i="2"/>
  <c r="R868" i="2"/>
  <c r="Q868" i="2"/>
  <c r="O868" i="2"/>
  <c r="N868" i="2"/>
  <c r="M868" i="2"/>
  <c r="J868" i="2"/>
  <c r="I868" i="2"/>
  <c r="G868" i="2"/>
  <c r="F868" i="2"/>
  <c r="T867" i="2"/>
  <c r="L867" i="2"/>
  <c r="L868" i="2" s="1"/>
  <c r="K867" i="2"/>
  <c r="K870" i="2" s="1"/>
  <c r="T866" i="2"/>
  <c r="C866" i="2"/>
  <c r="T865" i="2"/>
  <c r="C865" i="2"/>
  <c r="T864" i="2"/>
  <c r="G864" i="2"/>
  <c r="F864" i="2"/>
  <c r="E864" i="2"/>
  <c r="D864" i="2"/>
  <c r="C864" i="2"/>
  <c r="T863" i="2"/>
  <c r="G863" i="2"/>
  <c r="F863" i="2"/>
  <c r="E863" i="2"/>
  <c r="D863" i="2"/>
  <c r="D862" i="2" s="1"/>
  <c r="C863" i="2"/>
  <c r="T862" i="2"/>
  <c r="G862" i="2"/>
  <c r="F862" i="2"/>
  <c r="E862" i="2"/>
  <c r="C862" i="2"/>
  <c r="T861" i="2"/>
  <c r="Q861" i="2"/>
  <c r="G861" i="2"/>
  <c r="F861" i="2"/>
  <c r="E861" i="2"/>
  <c r="T860" i="2"/>
  <c r="Q860" i="2"/>
  <c r="N860" i="2"/>
  <c r="M860" i="2"/>
  <c r="K860" i="2"/>
  <c r="J860" i="2"/>
  <c r="I860" i="2"/>
  <c r="G860" i="2"/>
  <c r="F860" i="2"/>
  <c r="T859" i="2"/>
  <c r="Q859" i="2"/>
  <c r="N859" i="2"/>
  <c r="M859" i="2"/>
  <c r="J859" i="2"/>
  <c r="I859" i="2"/>
  <c r="G859" i="2"/>
  <c r="F859" i="2"/>
  <c r="T858" i="2"/>
  <c r="Q858" i="2"/>
  <c r="N858" i="2"/>
  <c r="M858" i="2"/>
  <c r="K858" i="2"/>
  <c r="J858" i="2"/>
  <c r="I858" i="2"/>
  <c r="G858" i="2"/>
  <c r="F858" i="2"/>
  <c r="T857" i="2"/>
  <c r="Q857" i="2"/>
  <c r="N857" i="2"/>
  <c r="M857" i="2"/>
  <c r="J857" i="2"/>
  <c r="I857" i="2"/>
  <c r="G857" i="2"/>
  <c r="F857" i="2"/>
  <c r="T856" i="2"/>
  <c r="Q856" i="2"/>
  <c r="N856" i="2"/>
  <c r="M856" i="2"/>
  <c r="K856" i="2"/>
  <c r="J856" i="2"/>
  <c r="I856" i="2"/>
  <c r="G856" i="2"/>
  <c r="F856" i="2"/>
  <c r="T855" i="2"/>
  <c r="Q855" i="2"/>
  <c r="N855" i="2"/>
  <c r="M855" i="2"/>
  <c r="K855" i="2"/>
  <c r="J855" i="2"/>
  <c r="I855" i="2"/>
  <c r="G855" i="2"/>
  <c r="F855" i="2"/>
  <c r="T854" i="2"/>
  <c r="L854" i="2"/>
  <c r="H854" i="2" s="1"/>
  <c r="K854" i="2"/>
  <c r="K859" i="2" s="1"/>
  <c r="T853" i="2"/>
  <c r="H853" i="2"/>
  <c r="G853" i="2"/>
  <c r="F853" i="2"/>
  <c r="E853" i="2"/>
  <c r="C853" i="2"/>
  <c r="T852" i="2"/>
  <c r="H852" i="2"/>
  <c r="G852" i="2"/>
  <c r="F852" i="2"/>
  <c r="E852" i="2"/>
  <c r="C852" i="2"/>
  <c r="T851" i="2"/>
  <c r="G851" i="2"/>
  <c r="F851" i="2"/>
  <c r="D851" i="2"/>
  <c r="T850" i="2"/>
  <c r="N850" i="2"/>
  <c r="M850" i="2"/>
  <c r="L850" i="2"/>
  <c r="J850" i="2"/>
  <c r="I850" i="2"/>
  <c r="H850" i="2"/>
  <c r="G850" i="2"/>
  <c r="F850" i="2"/>
  <c r="C850" i="2"/>
  <c r="T849" i="2"/>
  <c r="L849" i="2"/>
  <c r="K849" i="2"/>
  <c r="T848" i="2"/>
  <c r="I848" i="2"/>
  <c r="H848" i="2"/>
  <c r="C848" i="2" s="1"/>
  <c r="G848" i="2"/>
  <c r="F848" i="2"/>
  <c r="E848" i="2"/>
  <c r="D848" i="2"/>
  <c r="T847" i="2"/>
  <c r="G847" i="2"/>
  <c r="F847" i="2"/>
  <c r="E847" i="2"/>
  <c r="T846" i="2"/>
  <c r="G846" i="2"/>
  <c r="F846" i="2"/>
  <c r="E846" i="2"/>
  <c r="T845" i="2"/>
  <c r="I845" i="2"/>
  <c r="G845" i="2"/>
  <c r="F845" i="2"/>
  <c r="E845" i="2"/>
  <c r="T844" i="2"/>
  <c r="N844" i="2"/>
  <c r="M844" i="2"/>
  <c r="L844" i="2"/>
  <c r="J844" i="2"/>
  <c r="I844" i="2"/>
  <c r="G844" i="2"/>
  <c r="F844" i="2"/>
  <c r="T843" i="2"/>
  <c r="N843" i="2"/>
  <c r="M843" i="2"/>
  <c r="L843" i="2"/>
  <c r="J843" i="2"/>
  <c r="I843" i="2"/>
  <c r="G843" i="2"/>
  <c r="F843" i="2"/>
  <c r="T842" i="2"/>
  <c r="J842" i="2"/>
  <c r="I842" i="2"/>
  <c r="G842" i="2"/>
  <c r="F842" i="2"/>
  <c r="D842" i="2"/>
  <c r="N842" i="2" s="1"/>
  <c r="T841" i="2"/>
  <c r="N841" i="2"/>
  <c r="M841" i="2"/>
  <c r="G841" i="2"/>
  <c r="F841" i="2"/>
  <c r="D841" i="2"/>
  <c r="T840" i="2"/>
  <c r="L840" i="2"/>
  <c r="K840" i="2"/>
  <c r="H840" i="2"/>
  <c r="T839" i="2"/>
  <c r="G839" i="2"/>
  <c r="F839" i="2"/>
  <c r="E839" i="2"/>
  <c r="D839" i="2"/>
  <c r="C839" i="2"/>
  <c r="T838" i="2"/>
  <c r="G838" i="2"/>
  <c r="F838" i="2"/>
  <c r="E838" i="2"/>
  <c r="D838" i="2"/>
  <c r="C838" i="2"/>
  <c r="T837" i="2"/>
  <c r="G837" i="2"/>
  <c r="F837" i="2"/>
  <c r="E837" i="2"/>
  <c r="D837" i="2"/>
  <c r="C837" i="2"/>
  <c r="T836" i="2"/>
  <c r="Q836" i="2"/>
  <c r="G836" i="2"/>
  <c r="F836" i="2"/>
  <c r="E836" i="2"/>
  <c r="T835" i="2"/>
  <c r="Q835" i="2"/>
  <c r="N835" i="2"/>
  <c r="M835" i="2"/>
  <c r="L835" i="2"/>
  <c r="K835" i="2"/>
  <c r="J835" i="2"/>
  <c r="I835" i="2"/>
  <c r="G835" i="2"/>
  <c r="F835" i="2"/>
  <c r="T834" i="2"/>
  <c r="Q834" i="2"/>
  <c r="N834" i="2"/>
  <c r="M834" i="2"/>
  <c r="J834" i="2"/>
  <c r="I834" i="2"/>
  <c r="G834" i="2"/>
  <c r="F834" i="2"/>
  <c r="T833" i="2"/>
  <c r="G833" i="2"/>
  <c r="F833" i="2"/>
  <c r="C833" i="2"/>
  <c r="T832" i="2"/>
  <c r="G832" i="2"/>
  <c r="F832" i="2"/>
  <c r="C832" i="2"/>
  <c r="T831" i="2"/>
  <c r="Q831" i="2"/>
  <c r="N831" i="2"/>
  <c r="M831" i="2"/>
  <c r="K831" i="2"/>
  <c r="J831" i="2"/>
  <c r="I831" i="2"/>
  <c r="G831" i="2"/>
  <c r="F831" i="2"/>
  <c r="T830" i="2"/>
  <c r="Q830" i="2"/>
  <c r="N830" i="2"/>
  <c r="M830" i="2"/>
  <c r="L830" i="2"/>
  <c r="J830" i="2"/>
  <c r="I830" i="2"/>
  <c r="H830" i="2"/>
  <c r="G830" i="2"/>
  <c r="F830" i="2"/>
  <c r="T829" i="2"/>
  <c r="L829" i="2"/>
  <c r="L831" i="2" s="1"/>
  <c r="K829" i="2"/>
  <c r="H829" i="2"/>
  <c r="H834" i="2" s="1"/>
  <c r="T828" i="2"/>
  <c r="G828" i="2"/>
  <c r="F828" i="2"/>
  <c r="E828" i="2"/>
  <c r="C828" i="2"/>
  <c r="T827" i="2"/>
  <c r="G827" i="2"/>
  <c r="F827" i="2"/>
  <c r="E827" i="2"/>
  <c r="C827" i="2"/>
  <c r="T826" i="2"/>
  <c r="G826" i="2"/>
  <c r="F826" i="2"/>
  <c r="E826" i="2"/>
  <c r="C826" i="2"/>
  <c r="T825" i="2"/>
  <c r="G825" i="2"/>
  <c r="F825" i="2"/>
  <c r="E825" i="2"/>
  <c r="C825" i="2"/>
  <c r="T824" i="2"/>
  <c r="N824" i="2"/>
  <c r="M824" i="2"/>
  <c r="J824" i="2"/>
  <c r="I824" i="2"/>
  <c r="G824" i="2"/>
  <c r="F824" i="2"/>
  <c r="T823" i="2"/>
  <c r="N823" i="2"/>
  <c r="M823" i="2"/>
  <c r="L823" i="2"/>
  <c r="J823" i="2"/>
  <c r="I823" i="2"/>
  <c r="G823" i="2"/>
  <c r="F823" i="2"/>
  <c r="T822" i="2"/>
  <c r="N822" i="2"/>
  <c r="M822" i="2"/>
  <c r="L822" i="2"/>
  <c r="J822" i="2"/>
  <c r="I822" i="2"/>
  <c r="G822" i="2"/>
  <c r="F822" i="2"/>
  <c r="T821" i="2"/>
  <c r="N821" i="2"/>
  <c r="M821" i="2"/>
  <c r="J821" i="2"/>
  <c r="I821" i="2"/>
  <c r="G821" i="2"/>
  <c r="F821" i="2"/>
  <c r="T820" i="2"/>
  <c r="M820" i="2"/>
  <c r="L820" i="2"/>
  <c r="J820" i="2"/>
  <c r="I820" i="2"/>
  <c r="G820" i="2"/>
  <c r="F820" i="2"/>
  <c r="D820" i="2"/>
  <c r="N820" i="2" s="1"/>
  <c r="T819" i="2"/>
  <c r="G819" i="2"/>
  <c r="F819" i="2"/>
  <c r="D819" i="2"/>
  <c r="T818" i="2"/>
  <c r="L818" i="2"/>
  <c r="H818" i="2" s="1"/>
  <c r="K818" i="2"/>
  <c r="K824" i="2" s="1"/>
  <c r="T817" i="2"/>
  <c r="G817" i="2"/>
  <c r="F817" i="2"/>
  <c r="E817" i="2"/>
  <c r="C817" i="2"/>
  <c r="T816" i="2"/>
  <c r="G816" i="2"/>
  <c r="F816" i="2"/>
  <c r="E816" i="2"/>
  <c r="C816" i="2"/>
  <c r="T815" i="2"/>
  <c r="G815" i="2"/>
  <c r="F815" i="2"/>
  <c r="E815" i="2"/>
  <c r="C815" i="2"/>
  <c r="T814" i="2"/>
  <c r="G814" i="2"/>
  <c r="F814" i="2"/>
  <c r="E814" i="2"/>
  <c r="C814" i="2"/>
  <c r="T813" i="2"/>
  <c r="N813" i="2"/>
  <c r="M813" i="2"/>
  <c r="L813" i="2"/>
  <c r="J813" i="2"/>
  <c r="I813" i="2"/>
  <c r="G813" i="2"/>
  <c r="F813" i="2"/>
  <c r="T812" i="2"/>
  <c r="N812" i="2"/>
  <c r="M812" i="2"/>
  <c r="J812" i="2"/>
  <c r="I812" i="2"/>
  <c r="G812" i="2"/>
  <c r="F812" i="2"/>
  <c r="T811" i="2"/>
  <c r="M811" i="2"/>
  <c r="L811" i="2"/>
  <c r="J811" i="2"/>
  <c r="I811" i="2"/>
  <c r="G811" i="2"/>
  <c r="F811" i="2"/>
  <c r="D811" i="2"/>
  <c r="N811" i="2" s="1"/>
  <c r="T810" i="2"/>
  <c r="M810" i="2"/>
  <c r="G810" i="2"/>
  <c r="F810" i="2"/>
  <c r="D810" i="2"/>
  <c r="J810" i="2" s="1"/>
  <c r="T809" i="2"/>
  <c r="L809" i="2"/>
  <c r="K809" i="2"/>
  <c r="T808" i="2"/>
  <c r="G808" i="2"/>
  <c r="F808" i="2"/>
  <c r="E808" i="2"/>
  <c r="D808" i="2"/>
  <c r="R808" i="2" s="1"/>
  <c r="C808" i="2"/>
  <c r="T807" i="2"/>
  <c r="G807" i="2"/>
  <c r="F807" i="2"/>
  <c r="E807" i="2"/>
  <c r="D807" i="2"/>
  <c r="C807" i="2"/>
  <c r="T806" i="2"/>
  <c r="G806" i="2"/>
  <c r="F806" i="2"/>
  <c r="E806" i="2"/>
  <c r="C806" i="2"/>
  <c r="T805" i="2"/>
  <c r="R805" i="2"/>
  <c r="Q805" i="2"/>
  <c r="G805" i="2"/>
  <c r="F805" i="2"/>
  <c r="E805" i="2"/>
  <c r="T804" i="2"/>
  <c r="R804" i="2"/>
  <c r="Q804" i="2"/>
  <c r="N804" i="2"/>
  <c r="M804" i="2"/>
  <c r="K804" i="2"/>
  <c r="J804" i="2"/>
  <c r="I804" i="2"/>
  <c r="G804" i="2"/>
  <c r="F804" i="2"/>
  <c r="T803" i="2"/>
  <c r="R803" i="2"/>
  <c r="Q803" i="2"/>
  <c r="N803" i="2"/>
  <c r="M803" i="2"/>
  <c r="J803" i="2"/>
  <c r="I803" i="2"/>
  <c r="G803" i="2"/>
  <c r="F803" i="2"/>
  <c r="T802" i="2"/>
  <c r="R802" i="2"/>
  <c r="Q802" i="2"/>
  <c r="N802" i="2"/>
  <c r="M802" i="2"/>
  <c r="J802" i="2"/>
  <c r="I802" i="2"/>
  <c r="G802" i="2"/>
  <c r="F802" i="2"/>
  <c r="T801" i="2"/>
  <c r="R801" i="2"/>
  <c r="Q801" i="2"/>
  <c r="N801" i="2"/>
  <c r="M801" i="2"/>
  <c r="K801" i="2"/>
  <c r="J801" i="2"/>
  <c r="I801" i="2"/>
  <c r="G801" i="2"/>
  <c r="F801" i="2"/>
  <c r="T800" i="2"/>
  <c r="R800" i="2"/>
  <c r="Q800" i="2"/>
  <c r="N800" i="2"/>
  <c r="M800" i="2"/>
  <c r="K800" i="2"/>
  <c r="J800" i="2"/>
  <c r="I800" i="2"/>
  <c r="G800" i="2"/>
  <c r="F800" i="2"/>
  <c r="T799" i="2"/>
  <c r="R799" i="2"/>
  <c r="Q799" i="2"/>
  <c r="N799" i="2"/>
  <c r="M799" i="2"/>
  <c r="J799" i="2"/>
  <c r="I799" i="2"/>
  <c r="G799" i="2"/>
  <c r="F799" i="2"/>
  <c r="T798" i="2"/>
  <c r="L798" i="2"/>
  <c r="L855" i="2" s="1"/>
  <c r="K798" i="2"/>
  <c r="T797" i="2"/>
  <c r="G797" i="2"/>
  <c r="F797" i="2"/>
  <c r="E797" i="2"/>
  <c r="C797" i="2"/>
  <c r="T796" i="2"/>
  <c r="G796" i="2"/>
  <c r="F796" i="2"/>
  <c r="E796" i="2"/>
  <c r="C796" i="2"/>
  <c r="T795" i="2"/>
  <c r="G795" i="2"/>
  <c r="F795" i="2"/>
  <c r="E795" i="2"/>
  <c r="C795" i="2"/>
  <c r="T794" i="2"/>
  <c r="G794" i="2"/>
  <c r="F794" i="2"/>
  <c r="E794" i="2"/>
  <c r="C794" i="2"/>
  <c r="T793" i="2"/>
  <c r="O793" i="2"/>
  <c r="N793" i="2"/>
  <c r="M793" i="2"/>
  <c r="L793" i="2"/>
  <c r="J793" i="2"/>
  <c r="I793" i="2"/>
  <c r="G793" i="2"/>
  <c r="F793" i="2"/>
  <c r="T792" i="2"/>
  <c r="O792" i="2"/>
  <c r="N792" i="2"/>
  <c r="M792" i="2"/>
  <c r="L792" i="2"/>
  <c r="K792" i="2"/>
  <c r="J792" i="2"/>
  <c r="I792" i="2"/>
  <c r="G792" i="2"/>
  <c r="F792" i="2"/>
  <c r="T791" i="2"/>
  <c r="O791" i="2"/>
  <c r="N791" i="2"/>
  <c r="M791" i="2"/>
  <c r="L791" i="2"/>
  <c r="J791" i="2"/>
  <c r="I791" i="2"/>
  <c r="G791" i="2"/>
  <c r="F791" i="2"/>
  <c r="T790" i="2"/>
  <c r="L790" i="2"/>
  <c r="K790" i="2"/>
  <c r="J790" i="2"/>
  <c r="I790" i="2"/>
  <c r="G790" i="2"/>
  <c r="F790" i="2"/>
  <c r="D790" i="2"/>
  <c r="O790" i="2" s="1"/>
  <c r="T789" i="2"/>
  <c r="I789" i="2"/>
  <c r="G789" i="2"/>
  <c r="F789" i="2"/>
  <c r="D789" i="2"/>
  <c r="J789" i="2" s="1"/>
  <c r="T788" i="2"/>
  <c r="L788" i="2"/>
  <c r="K788" i="2"/>
  <c r="H788" i="2"/>
  <c r="C788" i="2"/>
  <c r="T787" i="2"/>
  <c r="O787" i="2"/>
  <c r="N787" i="2"/>
  <c r="M787" i="2"/>
  <c r="J787" i="2"/>
  <c r="I787" i="2"/>
  <c r="G787" i="2"/>
  <c r="F787" i="2"/>
  <c r="E787" i="2"/>
  <c r="T786" i="2"/>
  <c r="O786" i="2"/>
  <c r="N786" i="2"/>
  <c r="M786" i="2"/>
  <c r="L786" i="2"/>
  <c r="J786" i="2"/>
  <c r="I786" i="2"/>
  <c r="G786" i="2"/>
  <c r="F786" i="2"/>
  <c r="E786" i="2"/>
  <c r="T785" i="2"/>
  <c r="O785" i="2"/>
  <c r="N785" i="2"/>
  <c r="M785" i="2"/>
  <c r="J785" i="2"/>
  <c r="I785" i="2"/>
  <c r="G785" i="2"/>
  <c r="F785" i="2"/>
  <c r="E785" i="2"/>
  <c r="T784" i="2"/>
  <c r="O784" i="2"/>
  <c r="N784" i="2"/>
  <c r="M784" i="2"/>
  <c r="J784" i="2"/>
  <c r="I784" i="2"/>
  <c r="G784" i="2"/>
  <c r="F784" i="2"/>
  <c r="E784" i="2"/>
  <c r="T783" i="2"/>
  <c r="O783" i="2"/>
  <c r="N783" i="2"/>
  <c r="M783" i="2"/>
  <c r="J783" i="2"/>
  <c r="I783" i="2"/>
  <c r="G783" i="2"/>
  <c r="F783" i="2"/>
  <c r="T782" i="2"/>
  <c r="O782" i="2"/>
  <c r="N782" i="2"/>
  <c r="M782" i="2"/>
  <c r="L782" i="2"/>
  <c r="K782" i="2"/>
  <c r="J782" i="2"/>
  <c r="I782" i="2"/>
  <c r="G782" i="2"/>
  <c r="F782" i="2"/>
  <c r="T781" i="2"/>
  <c r="O781" i="2"/>
  <c r="N781" i="2"/>
  <c r="M781" i="2"/>
  <c r="J781" i="2"/>
  <c r="I781" i="2"/>
  <c r="G781" i="2"/>
  <c r="F781" i="2"/>
  <c r="T780" i="2"/>
  <c r="O780" i="2"/>
  <c r="N780" i="2"/>
  <c r="M780" i="2"/>
  <c r="L780" i="2"/>
  <c r="J780" i="2"/>
  <c r="I780" i="2"/>
  <c r="G780" i="2"/>
  <c r="F780" i="2"/>
  <c r="T779" i="2"/>
  <c r="O779" i="2"/>
  <c r="N779" i="2"/>
  <c r="M779" i="2"/>
  <c r="L779" i="2"/>
  <c r="K779" i="2"/>
  <c r="J779" i="2"/>
  <c r="I779" i="2"/>
  <c r="G779" i="2"/>
  <c r="F779" i="2"/>
  <c r="T778" i="2"/>
  <c r="P778" i="2"/>
  <c r="L778" i="2"/>
  <c r="L785" i="2" s="1"/>
  <c r="K778" i="2"/>
  <c r="K787" i="2" s="1"/>
  <c r="T777" i="2"/>
  <c r="L777" i="2"/>
  <c r="K777" i="2"/>
  <c r="T776" i="2"/>
  <c r="G776" i="2"/>
  <c r="F776" i="2"/>
  <c r="E776" i="2"/>
  <c r="C776" i="2"/>
  <c r="T775" i="2"/>
  <c r="G775" i="2"/>
  <c r="F775" i="2"/>
  <c r="E775" i="2"/>
  <c r="C775" i="2"/>
  <c r="T774" i="2"/>
  <c r="G774" i="2"/>
  <c r="F774" i="2"/>
  <c r="E774" i="2"/>
  <c r="C774" i="2"/>
  <c r="T773" i="2"/>
  <c r="G773" i="2"/>
  <c r="F773" i="2"/>
  <c r="E773" i="2"/>
  <c r="C773" i="2"/>
  <c r="T772" i="2"/>
  <c r="K772" i="2"/>
  <c r="J772" i="2"/>
  <c r="I772" i="2"/>
  <c r="G772" i="2"/>
  <c r="F772" i="2"/>
  <c r="T771" i="2"/>
  <c r="J771" i="2"/>
  <c r="I771" i="2"/>
  <c r="G771" i="2"/>
  <c r="F771" i="2"/>
  <c r="T770" i="2"/>
  <c r="L770" i="2"/>
  <c r="K770" i="2"/>
  <c r="H770" i="2"/>
  <c r="H772" i="2" s="1"/>
  <c r="C772" i="2" s="1"/>
  <c r="T769" i="2"/>
  <c r="G769" i="2"/>
  <c r="F769" i="2"/>
  <c r="E769" i="2"/>
  <c r="C769" i="2"/>
  <c r="T768" i="2"/>
  <c r="G768" i="2"/>
  <c r="F768" i="2"/>
  <c r="E768" i="2"/>
  <c r="C768" i="2"/>
  <c r="T767" i="2"/>
  <c r="G767" i="2"/>
  <c r="F767" i="2"/>
  <c r="E767" i="2"/>
  <c r="C767" i="2"/>
  <c r="T766" i="2"/>
  <c r="G766" i="2"/>
  <c r="F766" i="2"/>
  <c r="E766" i="2"/>
  <c r="C766" i="2"/>
  <c r="T765" i="2"/>
  <c r="N765" i="2"/>
  <c r="M765" i="2"/>
  <c r="K765" i="2"/>
  <c r="J765" i="2"/>
  <c r="I765" i="2"/>
  <c r="G765" i="2"/>
  <c r="F765" i="2"/>
  <c r="T764" i="2"/>
  <c r="N764" i="2"/>
  <c r="M764" i="2"/>
  <c r="K764" i="2"/>
  <c r="J764" i="2"/>
  <c r="I764" i="2"/>
  <c r="G764" i="2"/>
  <c r="F764" i="2"/>
  <c r="T763" i="2"/>
  <c r="L763" i="2"/>
  <c r="L772" i="2" s="1"/>
  <c r="K763" i="2"/>
  <c r="K771" i="2" s="1"/>
  <c r="T762" i="2"/>
  <c r="G762" i="2"/>
  <c r="F762" i="2"/>
  <c r="E762" i="2"/>
  <c r="C762" i="2"/>
  <c r="T761" i="2"/>
  <c r="O761" i="2"/>
  <c r="N761" i="2"/>
  <c r="M761" i="2"/>
  <c r="L761" i="2"/>
  <c r="J761" i="2"/>
  <c r="I761" i="2"/>
  <c r="G761" i="2"/>
  <c r="F761" i="2"/>
  <c r="T760" i="2"/>
  <c r="O760" i="2"/>
  <c r="N760" i="2"/>
  <c r="M760" i="2"/>
  <c r="J760" i="2"/>
  <c r="I760" i="2"/>
  <c r="G760" i="2"/>
  <c r="F760" i="2"/>
  <c r="T759" i="2"/>
  <c r="L759" i="2"/>
  <c r="L760" i="2" s="1"/>
  <c r="K759" i="2"/>
  <c r="H759" i="2"/>
  <c r="T758" i="2"/>
  <c r="G758" i="2"/>
  <c r="F758" i="2"/>
  <c r="E758" i="2"/>
  <c r="D758" i="2"/>
  <c r="C758" i="2"/>
  <c r="T757" i="2"/>
  <c r="G757" i="2"/>
  <c r="F757" i="2"/>
  <c r="E757" i="2"/>
  <c r="D757" i="2"/>
  <c r="C757" i="2"/>
  <c r="T756" i="2"/>
  <c r="G756" i="2"/>
  <c r="F756" i="2"/>
  <c r="E756" i="2"/>
  <c r="D756" i="2"/>
  <c r="C756" i="2"/>
  <c r="T755" i="2"/>
  <c r="Q755" i="2"/>
  <c r="G755" i="2"/>
  <c r="F755" i="2"/>
  <c r="E755" i="2"/>
  <c r="T754" i="2"/>
  <c r="Q754" i="2"/>
  <c r="O754" i="2"/>
  <c r="N754" i="2"/>
  <c r="M754" i="2"/>
  <c r="L754" i="2"/>
  <c r="J754" i="2"/>
  <c r="I754" i="2"/>
  <c r="G754" i="2"/>
  <c r="F754" i="2"/>
  <c r="T753" i="2"/>
  <c r="Q753" i="2"/>
  <c r="O753" i="2"/>
  <c r="N753" i="2"/>
  <c r="M753" i="2"/>
  <c r="L753" i="2"/>
  <c r="J753" i="2"/>
  <c r="I753" i="2"/>
  <c r="G753" i="2"/>
  <c r="F753" i="2"/>
  <c r="T752" i="2"/>
  <c r="L752" i="2"/>
  <c r="K752" i="2"/>
  <c r="K754" i="2" s="1"/>
  <c r="T751" i="2"/>
  <c r="G751" i="2"/>
  <c r="F751" i="2"/>
  <c r="E751" i="2"/>
  <c r="D751" i="2"/>
  <c r="C751" i="2"/>
  <c r="T750" i="2"/>
  <c r="G750" i="2"/>
  <c r="F750" i="2"/>
  <c r="E750" i="2"/>
  <c r="D750" i="2"/>
  <c r="C750" i="2"/>
  <c r="T749" i="2"/>
  <c r="G749" i="2"/>
  <c r="F749" i="2"/>
  <c r="E749" i="2"/>
  <c r="D749" i="2"/>
  <c r="C749" i="2"/>
  <c r="T748" i="2"/>
  <c r="G748" i="2"/>
  <c r="F748" i="2"/>
  <c r="E748" i="2"/>
  <c r="C748" i="2"/>
  <c r="T747" i="2"/>
  <c r="R747" i="2"/>
  <c r="Q747" i="2"/>
  <c r="P747" i="2"/>
  <c r="O747" i="2"/>
  <c r="N747" i="2"/>
  <c r="M747" i="2"/>
  <c r="L747" i="2"/>
  <c r="J747" i="2"/>
  <c r="I747" i="2"/>
  <c r="G747" i="2"/>
  <c r="F747" i="2"/>
  <c r="T746" i="2"/>
  <c r="R746" i="2"/>
  <c r="Q746" i="2"/>
  <c r="O746" i="2"/>
  <c r="N746" i="2"/>
  <c r="M746" i="2"/>
  <c r="L746" i="2"/>
  <c r="K746" i="2"/>
  <c r="J746" i="2"/>
  <c r="I746" i="2"/>
  <c r="G746" i="2"/>
  <c r="F746" i="2"/>
  <c r="T745" i="2"/>
  <c r="P745" i="2"/>
  <c r="L745" i="2"/>
  <c r="K745" i="2"/>
  <c r="K747" i="2" s="1"/>
  <c r="T744" i="2"/>
  <c r="G744" i="2"/>
  <c r="E744" i="2"/>
  <c r="C744" i="2"/>
  <c r="T743" i="2"/>
  <c r="L743" i="2"/>
  <c r="H743" i="2" s="1"/>
  <c r="C743" i="2" s="1"/>
  <c r="K743" i="2"/>
  <c r="T742" i="2"/>
  <c r="G742" i="2"/>
  <c r="F742" i="2"/>
  <c r="E742" i="2"/>
  <c r="C742" i="2"/>
  <c r="T741" i="2"/>
  <c r="G741" i="2"/>
  <c r="F741" i="2"/>
  <c r="E741" i="2"/>
  <c r="C741" i="2"/>
  <c r="T740" i="2"/>
  <c r="G740" i="2"/>
  <c r="F740" i="2"/>
  <c r="E740" i="2"/>
  <c r="C740" i="2"/>
  <c r="T739" i="2"/>
  <c r="G739" i="2"/>
  <c r="F739" i="2"/>
  <c r="E739" i="2"/>
  <c r="C739" i="2"/>
  <c r="T738" i="2"/>
  <c r="O738" i="2"/>
  <c r="N738" i="2"/>
  <c r="M738" i="2"/>
  <c r="L738" i="2"/>
  <c r="J738" i="2"/>
  <c r="I738" i="2"/>
  <c r="G738" i="2"/>
  <c r="F738" i="2"/>
  <c r="C738" i="2"/>
  <c r="T737" i="2"/>
  <c r="O737" i="2"/>
  <c r="N737" i="2"/>
  <c r="M737" i="2"/>
  <c r="L737" i="2"/>
  <c r="J737" i="2"/>
  <c r="I737" i="2"/>
  <c r="H737" i="2"/>
  <c r="C737" i="2" s="1"/>
  <c r="G737" i="2"/>
  <c r="F737" i="2"/>
  <c r="T736" i="2"/>
  <c r="L736" i="2"/>
  <c r="K736" i="2"/>
  <c r="K737" i="2" s="1"/>
  <c r="H736" i="2"/>
  <c r="H738" i="2" s="1"/>
  <c r="T735" i="2"/>
  <c r="G735" i="2"/>
  <c r="F735" i="2"/>
  <c r="E735" i="2"/>
  <c r="C735" i="2"/>
  <c r="T734" i="2"/>
  <c r="O734" i="2"/>
  <c r="N734" i="2"/>
  <c r="M734" i="2"/>
  <c r="L734" i="2"/>
  <c r="K734" i="2"/>
  <c r="J734" i="2"/>
  <c r="I734" i="2"/>
  <c r="G734" i="2"/>
  <c r="F734" i="2"/>
  <c r="E734" i="2"/>
  <c r="T733" i="2"/>
  <c r="O733" i="2"/>
  <c r="N733" i="2"/>
  <c r="M733" i="2"/>
  <c r="L733" i="2"/>
  <c r="K733" i="2"/>
  <c r="J733" i="2"/>
  <c r="I733" i="2"/>
  <c r="G733" i="2"/>
  <c r="F733" i="2"/>
  <c r="E733" i="2"/>
  <c r="T732" i="2"/>
  <c r="O732" i="2"/>
  <c r="N732" i="2"/>
  <c r="M732" i="2"/>
  <c r="J732" i="2"/>
  <c r="I732" i="2"/>
  <c r="G732" i="2"/>
  <c r="E732" i="2"/>
  <c r="T731" i="2"/>
  <c r="O731" i="2"/>
  <c r="N731" i="2"/>
  <c r="M731" i="2"/>
  <c r="L731" i="2"/>
  <c r="J731" i="2"/>
  <c r="I731" i="2"/>
  <c r="G731" i="2"/>
  <c r="T730" i="2"/>
  <c r="L730" i="2"/>
  <c r="L732" i="2" s="1"/>
  <c r="K730" i="2"/>
  <c r="K732" i="2" s="1"/>
  <c r="H730" i="2"/>
  <c r="H732" i="2" s="1"/>
  <c r="C732" i="2" s="1"/>
  <c r="T729" i="2"/>
  <c r="G729" i="2"/>
  <c r="F729" i="2"/>
  <c r="E729" i="2"/>
  <c r="C729" i="2"/>
  <c r="T728" i="2"/>
  <c r="G728" i="2"/>
  <c r="E728" i="2"/>
  <c r="C728" i="2"/>
  <c r="T727" i="2"/>
  <c r="O727" i="2"/>
  <c r="N727" i="2"/>
  <c r="M727" i="2"/>
  <c r="J727" i="2"/>
  <c r="I727" i="2"/>
  <c r="G727" i="2"/>
  <c r="T726" i="2"/>
  <c r="L726" i="2"/>
  <c r="L727" i="2" s="1"/>
  <c r="K726" i="2"/>
  <c r="H726" i="2" s="1"/>
  <c r="T725" i="2"/>
  <c r="G725" i="2"/>
  <c r="F725" i="2"/>
  <c r="E725" i="2"/>
  <c r="C725" i="2"/>
  <c r="T724" i="2"/>
  <c r="G724" i="2"/>
  <c r="F724" i="2"/>
  <c r="E724" i="2"/>
  <c r="C724" i="2"/>
  <c r="T723" i="2"/>
  <c r="G723" i="2"/>
  <c r="F723" i="2"/>
  <c r="E723" i="2"/>
  <c r="C723" i="2"/>
  <c r="T722" i="2"/>
  <c r="G722" i="2"/>
  <c r="F722" i="2"/>
  <c r="E722" i="2"/>
  <c r="T721" i="2"/>
  <c r="O721" i="2"/>
  <c r="N721" i="2"/>
  <c r="M721" i="2"/>
  <c r="L721" i="2"/>
  <c r="J721" i="2"/>
  <c r="I721" i="2"/>
  <c r="G721" i="2"/>
  <c r="F721" i="2"/>
  <c r="T720" i="2"/>
  <c r="O720" i="2"/>
  <c r="N720" i="2"/>
  <c r="M720" i="2"/>
  <c r="L720" i="2"/>
  <c r="J720" i="2"/>
  <c r="I720" i="2"/>
  <c r="G720" i="2"/>
  <c r="F720" i="2"/>
  <c r="T719" i="2"/>
  <c r="L719" i="2"/>
  <c r="K719" i="2"/>
  <c r="H719" i="2" s="1"/>
  <c r="T718" i="2"/>
  <c r="G718" i="2"/>
  <c r="F718" i="2"/>
  <c r="E718" i="2"/>
  <c r="C718" i="2"/>
  <c r="T717" i="2"/>
  <c r="G717" i="2"/>
  <c r="F717" i="2"/>
  <c r="E717" i="2"/>
  <c r="C717" i="2"/>
  <c r="T716" i="2"/>
  <c r="G716" i="2"/>
  <c r="F716" i="2"/>
  <c r="E716" i="2"/>
  <c r="C716" i="2"/>
  <c r="T715" i="2"/>
  <c r="G715" i="2"/>
  <c r="F715" i="2"/>
  <c r="E715" i="2"/>
  <c r="T714" i="2"/>
  <c r="O714" i="2"/>
  <c r="N714" i="2"/>
  <c r="M714" i="2"/>
  <c r="L714" i="2"/>
  <c r="J714" i="2"/>
  <c r="I714" i="2"/>
  <c r="G714" i="2"/>
  <c r="F714" i="2"/>
  <c r="T713" i="2"/>
  <c r="O713" i="2"/>
  <c r="N713" i="2"/>
  <c r="M713" i="2"/>
  <c r="L713" i="2"/>
  <c r="J713" i="2"/>
  <c r="I713" i="2"/>
  <c r="G713" i="2"/>
  <c r="F713" i="2"/>
  <c r="T712" i="2"/>
  <c r="L712" i="2"/>
  <c r="K712" i="2"/>
  <c r="K721" i="2" s="1"/>
  <c r="T711" i="2"/>
  <c r="G711" i="2"/>
  <c r="F711" i="2"/>
  <c r="E711" i="2"/>
  <c r="C711" i="2"/>
  <c r="T710" i="2"/>
  <c r="G710" i="2"/>
  <c r="F710" i="2"/>
  <c r="E710" i="2"/>
  <c r="C710" i="2"/>
  <c r="T709" i="2"/>
  <c r="G709" i="2"/>
  <c r="F709" i="2"/>
  <c r="E709" i="2"/>
  <c r="C709" i="2"/>
  <c r="T708" i="2"/>
  <c r="G708" i="2"/>
  <c r="F708" i="2"/>
  <c r="E708" i="2"/>
  <c r="T707" i="2"/>
  <c r="O707" i="2"/>
  <c r="N707" i="2"/>
  <c r="M707" i="2"/>
  <c r="J707" i="2"/>
  <c r="I707" i="2"/>
  <c r="G707" i="2"/>
  <c r="F707" i="2"/>
  <c r="T706" i="2"/>
  <c r="O706" i="2"/>
  <c r="N706" i="2"/>
  <c r="M706" i="2"/>
  <c r="J706" i="2"/>
  <c r="I706" i="2"/>
  <c r="G706" i="2"/>
  <c r="F706" i="2"/>
  <c r="T705" i="2"/>
  <c r="L705" i="2"/>
  <c r="L707" i="2" s="1"/>
  <c r="K705" i="2"/>
  <c r="T704" i="2"/>
  <c r="G704" i="2"/>
  <c r="F704" i="2"/>
  <c r="E704" i="2"/>
  <c r="C704" i="2"/>
  <c r="T703" i="2"/>
  <c r="G703" i="2"/>
  <c r="F703" i="2"/>
  <c r="E703" i="2"/>
  <c r="D703" i="2"/>
  <c r="C703" i="2"/>
  <c r="T702" i="2"/>
  <c r="G702" i="2"/>
  <c r="F702" i="2"/>
  <c r="E702" i="2"/>
  <c r="C702" i="2"/>
  <c r="T701" i="2"/>
  <c r="G701" i="2"/>
  <c r="F701" i="2"/>
  <c r="E701" i="2"/>
  <c r="C701" i="2"/>
  <c r="T700" i="2"/>
  <c r="N700" i="2"/>
  <c r="M700" i="2"/>
  <c r="J700" i="2"/>
  <c r="I700" i="2"/>
  <c r="G700" i="2"/>
  <c r="F700" i="2"/>
  <c r="T699" i="2"/>
  <c r="N699" i="2"/>
  <c r="M699" i="2"/>
  <c r="K699" i="2"/>
  <c r="J699" i="2"/>
  <c r="I699" i="2"/>
  <c r="G699" i="2"/>
  <c r="F699" i="2"/>
  <c r="T698" i="2"/>
  <c r="L698" i="2"/>
  <c r="K698" i="2"/>
  <c r="H698" i="2" s="1"/>
  <c r="C698" i="2"/>
  <c r="T697" i="2"/>
  <c r="P697" i="2" s="1"/>
  <c r="L697" i="2"/>
  <c r="K697" i="2"/>
  <c r="H697" i="2"/>
  <c r="C697" i="2" s="1"/>
  <c r="D697" i="2"/>
  <c r="T696" i="2"/>
  <c r="G696" i="2"/>
  <c r="F696" i="2"/>
  <c r="E696" i="2"/>
  <c r="C696" i="2"/>
  <c r="T695" i="2"/>
  <c r="G695" i="2"/>
  <c r="F695" i="2"/>
  <c r="E695" i="2"/>
  <c r="C695" i="2"/>
  <c r="T694" i="2"/>
  <c r="G694" i="2"/>
  <c r="F694" i="2"/>
  <c r="E694" i="2"/>
  <c r="D694" i="2"/>
  <c r="C694" i="2"/>
  <c r="T693" i="2"/>
  <c r="G693" i="2"/>
  <c r="F693" i="2"/>
  <c r="E693" i="2"/>
  <c r="C693" i="2"/>
  <c r="T692" i="2"/>
  <c r="G692" i="2"/>
  <c r="F692" i="2"/>
  <c r="E692" i="2"/>
  <c r="D692" i="2"/>
  <c r="C692" i="2"/>
  <c r="T691" i="2"/>
  <c r="G691" i="2"/>
  <c r="F691" i="2"/>
  <c r="E691" i="2"/>
  <c r="C691" i="2"/>
  <c r="T690" i="2"/>
  <c r="N690" i="2"/>
  <c r="M690" i="2"/>
  <c r="L690" i="2"/>
  <c r="K690" i="2"/>
  <c r="J690" i="2"/>
  <c r="I690" i="2"/>
  <c r="G690" i="2"/>
  <c r="F690" i="2"/>
  <c r="T689" i="2"/>
  <c r="N689" i="2"/>
  <c r="M689" i="2"/>
  <c r="K689" i="2"/>
  <c r="J689" i="2"/>
  <c r="I689" i="2"/>
  <c r="G689" i="2"/>
  <c r="F689" i="2"/>
  <c r="T688" i="2"/>
  <c r="N688" i="2"/>
  <c r="M688" i="2"/>
  <c r="L688" i="2"/>
  <c r="J688" i="2"/>
  <c r="I688" i="2"/>
  <c r="G688" i="2"/>
  <c r="F688" i="2"/>
  <c r="T687" i="2"/>
  <c r="N687" i="2"/>
  <c r="M687" i="2"/>
  <c r="L687" i="2"/>
  <c r="K687" i="2"/>
  <c r="J687" i="2"/>
  <c r="I687" i="2"/>
  <c r="H687" i="2"/>
  <c r="C687" i="2" s="1"/>
  <c r="G687" i="2"/>
  <c r="F687" i="2"/>
  <c r="T686" i="2"/>
  <c r="N686" i="2"/>
  <c r="M686" i="2"/>
  <c r="L686" i="2"/>
  <c r="K686" i="2"/>
  <c r="J686" i="2"/>
  <c r="I686" i="2"/>
  <c r="G686" i="2"/>
  <c r="F686" i="2"/>
  <c r="T685" i="2"/>
  <c r="N685" i="2"/>
  <c r="M685" i="2"/>
  <c r="J685" i="2"/>
  <c r="I685" i="2"/>
  <c r="G685" i="2"/>
  <c r="F685" i="2"/>
  <c r="T684" i="2"/>
  <c r="N684" i="2"/>
  <c r="M684" i="2"/>
  <c r="L684" i="2"/>
  <c r="J684" i="2"/>
  <c r="I684" i="2"/>
  <c r="G684" i="2"/>
  <c r="F684" i="2"/>
  <c r="T683" i="2"/>
  <c r="M683" i="2"/>
  <c r="L683" i="2"/>
  <c r="G683" i="2"/>
  <c r="F683" i="2"/>
  <c r="D683" i="2"/>
  <c r="T682" i="2"/>
  <c r="L682" i="2"/>
  <c r="K682" i="2"/>
  <c r="H682" i="2"/>
  <c r="C682" i="2"/>
  <c r="T681" i="2"/>
  <c r="G681" i="2"/>
  <c r="F681" i="2"/>
  <c r="E681" i="2"/>
  <c r="C681" i="2"/>
  <c r="T680" i="2"/>
  <c r="G680" i="2"/>
  <c r="F680" i="2"/>
  <c r="E680" i="2"/>
  <c r="C680" i="2"/>
  <c r="T679" i="2"/>
  <c r="N679" i="2"/>
  <c r="M679" i="2"/>
  <c r="L679" i="2"/>
  <c r="K679" i="2"/>
  <c r="J679" i="2"/>
  <c r="I679" i="2"/>
  <c r="G679" i="2"/>
  <c r="F679" i="2"/>
  <c r="T678" i="2"/>
  <c r="N678" i="2"/>
  <c r="M678" i="2"/>
  <c r="K678" i="2"/>
  <c r="J678" i="2"/>
  <c r="I678" i="2"/>
  <c r="G678" i="2"/>
  <c r="F678" i="2"/>
  <c r="T677" i="2"/>
  <c r="N677" i="2"/>
  <c r="M677" i="2"/>
  <c r="L677" i="2"/>
  <c r="J677" i="2"/>
  <c r="I677" i="2"/>
  <c r="G677" i="2"/>
  <c r="F677" i="2"/>
  <c r="T676" i="2"/>
  <c r="G676" i="2"/>
  <c r="F676" i="2"/>
  <c r="T675" i="2"/>
  <c r="G675" i="2"/>
  <c r="F675" i="2"/>
  <c r="D675" i="2"/>
  <c r="T674" i="2"/>
  <c r="L674" i="2"/>
  <c r="K674" i="2"/>
  <c r="I674" i="2"/>
  <c r="G674" i="2"/>
  <c r="F674" i="2"/>
  <c r="D674" i="2"/>
  <c r="N674" i="2" s="1"/>
  <c r="T673" i="2"/>
  <c r="L673" i="2"/>
  <c r="K673" i="2"/>
  <c r="H673" i="2" s="1"/>
  <c r="C673" i="2" s="1"/>
  <c r="T672" i="2"/>
  <c r="G672" i="2"/>
  <c r="F672" i="2"/>
  <c r="E672" i="2"/>
  <c r="C672" i="2"/>
  <c r="T671" i="2"/>
  <c r="G671" i="2"/>
  <c r="F671" i="2"/>
  <c r="E671" i="2"/>
  <c r="C671" i="2"/>
  <c r="T670" i="2"/>
  <c r="G670" i="2"/>
  <c r="F670" i="2"/>
  <c r="E670" i="2"/>
  <c r="C670" i="2"/>
  <c r="T669" i="2"/>
  <c r="G669" i="2"/>
  <c r="F669" i="2"/>
  <c r="E669" i="2"/>
  <c r="D669" i="2"/>
  <c r="C669" i="2"/>
  <c r="T668" i="2"/>
  <c r="N668" i="2"/>
  <c r="M668" i="2"/>
  <c r="J668" i="2"/>
  <c r="I668" i="2"/>
  <c r="G668" i="2"/>
  <c r="F668" i="2"/>
  <c r="T667" i="2"/>
  <c r="N667" i="2"/>
  <c r="M667" i="2"/>
  <c r="L667" i="2"/>
  <c r="J667" i="2"/>
  <c r="I667" i="2"/>
  <c r="G667" i="2"/>
  <c r="F667" i="2"/>
  <c r="T666" i="2"/>
  <c r="G666" i="2"/>
  <c r="F666" i="2"/>
  <c r="D666" i="2"/>
  <c r="T665" i="2"/>
  <c r="L665" i="2"/>
  <c r="L685" i="2" s="1"/>
  <c r="K665" i="2"/>
  <c r="K688" i="2" s="1"/>
  <c r="H665" i="2"/>
  <c r="H683" i="2" s="1"/>
  <c r="C683" i="2" s="1"/>
  <c r="C665" i="2"/>
  <c r="T664" i="2"/>
  <c r="G664" i="2"/>
  <c r="F664" i="2"/>
  <c r="E664" i="2"/>
  <c r="T663" i="2"/>
  <c r="G663" i="2"/>
  <c r="F663" i="2"/>
  <c r="E663" i="2"/>
  <c r="T662" i="2"/>
  <c r="G662" i="2"/>
  <c r="F662" i="2"/>
  <c r="E662" i="2"/>
  <c r="T661" i="2"/>
  <c r="G661" i="2"/>
  <c r="F661" i="2"/>
  <c r="E661" i="2"/>
  <c r="T660" i="2"/>
  <c r="N660" i="2"/>
  <c r="M660" i="2"/>
  <c r="K660" i="2"/>
  <c r="J660" i="2"/>
  <c r="I660" i="2"/>
  <c r="G660" i="2"/>
  <c r="F660" i="2"/>
  <c r="T659" i="2"/>
  <c r="N659" i="2"/>
  <c r="M659" i="2"/>
  <c r="L659" i="2"/>
  <c r="J659" i="2"/>
  <c r="I659" i="2"/>
  <c r="G659" i="2"/>
  <c r="F659" i="2"/>
  <c r="T658" i="2"/>
  <c r="N658" i="2"/>
  <c r="M658" i="2"/>
  <c r="J658" i="2"/>
  <c r="I658" i="2"/>
  <c r="G658" i="2"/>
  <c r="F658" i="2"/>
  <c r="T657" i="2"/>
  <c r="N657" i="2"/>
  <c r="M657" i="2"/>
  <c r="K657" i="2"/>
  <c r="J657" i="2"/>
  <c r="I657" i="2"/>
  <c r="G657" i="2"/>
  <c r="F657" i="2"/>
  <c r="T656" i="2"/>
  <c r="N656" i="2"/>
  <c r="G656" i="2"/>
  <c r="F656" i="2"/>
  <c r="D656" i="2"/>
  <c r="T655" i="2"/>
  <c r="L655" i="2"/>
  <c r="K655" i="2"/>
  <c r="K658" i="2" s="1"/>
  <c r="T654" i="2"/>
  <c r="G654" i="2"/>
  <c r="F654" i="2"/>
  <c r="E654" i="2"/>
  <c r="T653" i="2"/>
  <c r="G653" i="2"/>
  <c r="F653" i="2"/>
  <c r="E653" i="2"/>
  <c r="T652" i="2"/>
  <c r="G652" i="2"/>
  <c r="F652" i="2"/>
  <c r="E652" i="2"/>
  <c r="D652" i="2"/>
  <c r="T651" i="2"/>
  <c r="G651" i="2"/>
  <c r="F651" i="2"/>
  <c r="E651" i="2"/>
  <c r="D651" i="2"/>
  <c r="T650" i="2"/>
  <c r="N650" i="2"/>
  <c r="M650" i="2"/>
  <c r="J650" i="2"/>
  <c r="I650" i="2"/>
  <c r="G650" i="2"/>
  <c r="F650" i="2"/>
  <c r="T649" i="2"/>
  <c r="N649" i="2"/>
  <c r="M649" i="2"/>
  <c r="K649" i="2"/>
  <c r="J649" i="2"/>
  <c r="I649" i="2"/>
  <c r="G649" i="2"/>
  <c r="F649" i="2"/>
  <c r="T648" i="2"/>
  <c r="N648" i="2"/>
  <c r="M648" i="2"/>
  <c r="L648" i="2"/>
  <c r="K648" i="2"/>
  <c r="J648" i="2"/>
  <c r="I648" i="2"/>
  <c r="G648" i="2"/>
  <c r="F648" i="2"/>
  <c r="T647" i="2"/>
  <c r="N647" i="2"/>
  <c r="M647" i="2"/>
  <c r="K647" i="2"/>
  <c r="J647" i="2"/>
  <c r="I647" i="2"/>
  <c r="G647" i="2"/>
  <c r="F647" i="2"/>
  <c r="T646" i="2"/>
  <c r="L646" i="2"/>
  <c r="I646" i="2"/>
  <c r="G646" i="2"/>
  <c r="F646" i="2"/>
  <c r="D646" i="2"/>
  <c r="N646" i="2" s="1"/>
  <c r="T645" i="2"/>
  <c r="L645" i="2"/>
  <c r="K645" i="2"/>
  <c r="T644" i="2"/>
  <c r="R644" i="2"/>
  <c r="Q644" i="2"/>
  <c r="O644" i="2"/>
  <c r="N644" i="2"/>
  <c r="M644" i="2"/>
  <c r="J644" i="2"/>
  <c r="I644" i="2"/>
  <c r="G644" i="2"/>
  <c r="F644" i="2"/>
  <c r="E644" i="2"/>
  <c r="T643" i="2"/>
  <c r="R643" i="2"/>
  <c r="Q643" i="2"/>
  <c r="O643" i="2"/>
  <c r="N643" i="2"/>
  <c r="M643" i="2"/>
  <c r="J643" i="2"/>
  <c r="I643" i="2"/>
  <c r="G643" i="2"/>
  <c r="F643" i="2"/>
  <c r="E643" i="2"/>
  <c r="T642" i="2"/>
  <c r="R642" i="2"/>
  <c r="Q642" i="2"/>
  <c r="O642" i="2"/>
  <c r="N642" i="2"/>
  <c r="M642" i="2"/>
  <c r="J642" i="2"/>
  <c r="I642" i="2"/>
  <c r="G642" i="2"/>
  <c r="F642" i="2"/>
  <c r="E642" i="2"/>
  <c r="T641" i="2"/>
  <c r="R641" i="2"/>
  <c r="Q641" i="2"/>
  <c r="O641" i="2"/>
  <c r="N641" i="2"/>
  <c r="M641" i="2"/>
  <c r="J641" i="2"/>
  <c r="I641" i="2"/>
  <c r="G641" i="2"/>
  <c r="F641" i="2"/>
  <c r="E641" i="2"/>
  <c r="D641" i="2"/>
  <c r="T640" i="2"/>
  <c r="R640" i="2"/>
  <c r="O640" i="2"/>
  <c r="N640" i="2"/>
  <c r="K640" i="2"/>
  <c r="J640" i="2"/>
  <c r="G640" i="2"/>
  <c r="F640" i="2"/>
  <c r="E640" i="2"/>
  <c r="D640" i="2"/>
  <c r="M640" i="2" s="1"/>
  <c r="T639" i="2"/>
  <c r="R639" i="2"/>
  <c r="Q639" i="2"/>
  <c r="O639" i="2"/>
  <c r="N639" i="2"/>
  <c r="M639" i="2"/>
  <c r="L639" i="2"/>
  <c r="K639" i="2"/>
  <c r="J639" i="2"/>
  <c r="I639" i="2"/>
  <c r="G639" i="2"/>
  <c r="F639" i="2"/>
  <c r="T638" i="2"/>
  <c r="R638" i="2"/>
  <c r="Q638" i="2"/>
  <c r="O638" i="2"/>
  <c r="N638" i="2"/>
  <c r="M638" i="2"/>
  <c r="L638" i="2"/>
  <c r="K638" i="2"/>
  <c r="J638" i="2"/>
  <c r="I638" i="2"/>
  <c r="H638" i="2"/>
  <c r="G638" i="2"/>
  <c r="F638" i="2"/>
  <c r="T637" i="2"/>
  <c r="R637" i="2"/>
  <c r="Q637" i="2"/>
  <c r="O637" i="2"/>
  <c r="N637" i="2"/>
  <c r="M637" i="2"/>
  <c r="J637" i="2"/>
  <c r="I637" i="2"/>
  <c r="G637" i="2"/>
  <c r="F637" i="2"/>
  <c r="T636" i="2"/>
  <c r="R636" i="2"/>
  <c r="Q636" i="2"/>
  <c r="O636" i="2"/>
  <c r="N636" i="2"/>
  <c r="M636" i="2"/>
  <c r="L636" i="2"/>
  <c r="J636" i="2"/>
  <c r="I636" i="2"/>
  <c r="H636" i="2"/>
  <c r="G636" i="2"/>
  <c r="F636" i="2"/>
  <c r="T635" i="2"/>
  <c r="R635" i="2"/>
  <c r="Q635" i="2"/>
  <c r="O635" i="2"/>
  <c r="N635" i="2"/>
  <c r="M635" i="2"/>
  <c r="L635" i="2"/>
  <c r="K635" i="2"/>
  <c r="J635" i="2"/>
  <c r="I635" i="2"/>
  <c r="G635" i="2"/>
  <c r="F635" i="2"/>
  <c r="T634" i="2"/>
  <c r="L634" i="2"/>
  <c r="L644" i="2" s="1"/>
  <c r="K634" i="2"/>
  <c r="K636" i="2" s="1"/>
  <c r="H634" i="2"/>
  <c r="H640" i="2" s="1"/>
  <c r="T633" i="2"/>
  <c r="G633" i="2"/>
  <c r="F633" i="2"/>
  <c r="E633" i="2"/>
  <c r="T632" i="2"/>
  <c r="G632" i="2"/>
  <c r="F632" i="2"/>
  <c r="E632" i="2"/>
  <c r="T631" i="2"/>
  <c r="G631" i="2"/>
  <c r="F631" i="2"/>
  <c r="E631" i="2"/>
  <c r="T630" i="2"/>
  <c r="G630" i="2"/>
  <c r="F630" i="2"/>
  <c r="E630" i="2"/>
  <c r="D630" i="2"/>
  <c r="T629" i="2"/>
  <c r="G629" i="2"/>
  <c r="F629" i="2"/>
  <c r="E629" i="2"/>
  <c r="D629" i="2"/>
  <c r="T628" i="2"/>
  <c r="O628" i="2"/>
  <c r="N628" i="2"/>
  <c r="M628" i="2"/>
  <c r="K628" i="2"/>
  <c r="J628" i="2"/>
  <c r="I628" i="2"/>
  <c r="G628" i="2"/>
  <c r="F628" i="2"/>
  <c r="T627" i="2"/>
  <c r="O627" i="2"/>
  <c r="N627" i="2"/>
  <c r="M627" i="2"/>
  <c r="J627" i="2"/>
  <c r="I627" i="2"/>
  <c r="G627" i="2"/>
  <c r="F627" i="2"/>
  <c r="T626" i="2"/>
  <c r="O626" i="2"/>
  <c r="N626" i="2"/>
  <c r="M626" i="2"/>
  <c r="L626" i="2"/>
  <c r="J626" i="2"/>
  <c r="I626" i="2"/>
  <c r="G626" i="2"/>
  <c r="F626" i="2"/>
  <c r="T625" i="2"/>
  <c r="O625" i="2"/>
  <c r="N625" i="2"/>
  <c r="M625" i="2"/>
  <c r="L625" i="2"/>
  <c r="J625" i="2"/>
  <c r="I625" i="2"/>
  <c r="G625" i="2"/>
  <c r="F625" i="2"/>
  <c r="T624" i="2"/>
  <c r="O624" i="2"/>
  <c r="N624" i="2"/>
  <c r="M624" i="2"/>
  <c r="J624" i="2"/>
  <c r="I624" i="2"/>
  <c r="G624" i="2"/>
  <c r="F624" i="2"/>
  <c r="T623" i="2"/>
  <c r="O623" i="2"/>
  <c r="N623" i="2"/>
  <c r="M623" i="2"/>
  <c r="J623" i="2"/>
  <c r="I623" i="2"/>
  <c r="G623" i="2"/>
  <c r="F623" i="2"/>
  <c r="T622" i="2"/>
  <c r="L622" i="2"/>
  <c r="L628" i="2" s="1"/>
  <c r="K622" i="2"/>
  <c r="T621" i="2"/>
  <c r="G621" i="2"/>
  <c r="F621" i="2"/>
  <c r="E621" i="2"/>
  <c r="T620" i="2"/>
  <c r="G620" i="2"/>
  <c r="F620" i="2"/>
  <c r="E620" i="2"/>
  <c r="D620" i="2"/>
  <c r="T619" i="2"/>
  <c r="G619" i="2"/>
  <c r="F619" i="2"/>
  <c r="E619" i="2"/>
  <c r="D619" i="2"/>
  <c r="T618" i="2"/>
  <c r="G618" i="2"/>
  <c r="F618" i="2"/>
  <c r="E618" i="2"/>
  <c r="T617" i="2"/>
  <c r="N617" i="2"/>
  <c r="M617" i="2"/>
  <c r="K617" i="2"/>
  <c r="J617" i="2"/>
  <c r="I617" i="2"/>
  <c r="G617" i="2"/>
  <c r="F617" i="2"/>
  <c r="T616" i="2"/>
  <c r="G616" i="2"/>
  <c r="F616" i="2"/>
  <c r="D616" i="2"/>
  <c r="M616" i="2" s="1"/>
  <c r="T615" i="2"/>
  <c r="J615" i="2"/>
  <c r="G615" i="2"/>
  <c r="F615" i="2"/>
  <c r="D615" i="2"/>
  <c r="M615" i="2" s="1"/>
  <c r="T614" i="2"/>
  <c r="N614" i="2"/>
  <c r="M614" i="2"/>
  <c r="K614" i="2"/>
  <c r="J614" i="2"/>
  <c r="I614" i="2"/>
  <c r="G614" i="2"/>
  <c r="F614" i="2"/>
  <c r="T613" i="2"/>
  <c r="N613" i="2"/>
  <c r="M613" i="2"/>
  <c r="J613" i="2"/>
  <c r="G613" i="2"/>
  <c r="F613" i="2"/>
  <c r="D613" i="2"/>
  <c r="T612" i="2"/>
  <c r="L612" i="2"/>
  <c r="L649" i="2" s="1"/>
  <c r="K612" i="2"/>
  <c r="K650" i="2" s="1"/>
  <c r="T611" i="2"/>
  <c r="G611" i="2"/>
  <c r="F611" i="2"/>
  <c r="E611" i="2"/>
  <c r="T610" i="2"/>
  <c r="G610" i="2"/>
  <c r="F610" i="2"/>
  <c r="E610" i="2"/>
  <c r="T609" i="2"/>
  <c r="G609" i="2"/>
  <c r="F609" i="2"/>
  <c r="E609" i="2"/>
  <c r="D609" i="2"/>
  <c r="T608" i="2"/>
  <c r="G608" i="2"/>
  <c r="F608" i="2"/>
  <c r="E608" i="2"/>
  <c r="T607" i="2"/>
  <c r="N607" i="2"/>
  <c r="M607" i="2"/>
  <c r="K607" i="2"/>
  <c r="J607" i="2"/>
  <c r="I607" i="2"/>
  <c r="G607" i="2"/>
  <c r="F607" i="2"/>
  <c r="T606" i="2"/>
  <c r="N606" i="2"/>
  <c r="M606" i="2"/>
  <c r="L606" i="2"/>
  <c r="K606" i="2"/>
  <c r="J606" i="2"/>
  <c r="I606" i="2"/>
  <c r="G606" i="2"/>
  <c r="F606" i="2"/>
  <c r="T605" i="2"/>
  <c r="O605" i="2"/>
  <c r="N605" i="2"/>
  <c r="M605" i="2"/>
  <c r="L605" i="2"/>
  <c r="J605" i="2"/>
  <c r="I605" i="2"/>
  <c r="H605" i="2"/>
  <c r="C605" i="2" s="1"/>
  <c r="G605" i="2"/>
  <c r="F605" i="2"/>
  <c r="T604" i="2"/>
  <c r="O604" i="2"/>
  <c r="N604" i="2"/>
  <c r="M604" i="2"/>
  <c r="L604" i="2"/>
  <c r="J604" i="2"/>
  <c r="I604" i="2"/>
  <c r="G604" i="2"/>
  <c r="F604" i="2"/>
  <c r="T603" i="2"/>
  <c r="N603" i="2"/>
  <c r="L603" i="2"/>
  <c r="I603" i="2"/>
  <c r="G603" i="2"/>
  <c r="F603" i="2"/>
  <c r="D603" i="2"/>
  <c r="M603" i="2" s="1"/>
  <c r="T602" i="2"/>
  <c r="L602" i="2"/>
  <c r="K602" i="2"/>
  <c r="H602" i="2" s="1"/>
  <c r="T601" i="2"/>
  <c r="G601" i="2"/>
  <c r="F601" i="2"/>
  <c r="E601" i="2"/>
  <c r="C601" i="2"/>
  <c r="T600" i="2"/>
  <c r="G600" i="2"/>
  <c r="F600" i="2"/>
  <c r="E600" i="2"/>
  <c r="C600" i="2"/>
  <c r="T599" i="2"/>
  <c r="G599" i="2"/>
  <c r="F599" i="2"/>
  <c r="E599" i="2"/>
  <c r="C599" i="2"/>
  <c r="T598" i="2"/>
  <c r="G598" i="2"/>
  <c r="F598" i="2"/>
  <c r="E598" i="2"/>
  <c r="C598" i="2"/>
  <c r="T597" i="2"/>
  <c r="O597" i="2"/>
  <c r="N597" i="2"/>
  <c r="M597" i="2"/>
  <c r="G597" i="2"/>
  <c r="F597" i="2"/>
  <c r="T596" i="2"/>
  <c r="O596" i="2"/>
  <c r="N596" i="2"/>
  <c r="M596" i="2"/>
  <c r="G596" i="2"/>
  <c r="F596" i="2"/>
  <c r="T595" i="2"/>
  <c r="O595" i="2"/>
  <c r="M595" i="2"/>
  <c r="G595" i="2"/>
  <c r="F595" i="2"/>
  <c r="D595" i="2"/>
  <c r="T594" i="2"/>
  <c r="L594" i="2"/>
  <c r="K594" i="2"/>
  <c r="H594" i="2" s="1"/>
  <c r="C594" i="2" s="1"/>
  <c r="T593" i="2"/>
  <c r="G593" i="2"/>
  <c r="F593" i="2"/>
  <c r="E593" i="2"/>
  <c r="C593" i="2"/>
  <c r="T592" i="2"/>
  <c r="G592" i="2"/>
  <c r="F592" i="2"/>
  <c r="E592" i="2"/>
  <c r="C592" i="2"/>
  <c r="T591" i="2"/>
  <c r="G591" i="2"/>
  <c r="F591" i="2"/>
  <c r="E591" i="2"/>
  <c r="T590" i="2"/>
  <c r="G590" i="2"/>
  <c r="F590" i="2"/>
  <c r="E590" i="2"/>
  <c r="T589" i="2"/>
  <c r="O589" i="2"/>
  <c r="N589" i="2"/>
  <c r="M589" i="2"/>
  <c r="L589" i="2"/>
  <c r="K589" i="2"/>
  <c r="J589" i="2"/>
  <c r="I589" i="2"/>
  <c r="G589" i="2"/>
  <c r="F589" i="2"/>
  <c r="T588" i="2"/>
  <c r="O588" i="2"/>
  <c r="N588" i="2"/>
  <c r="M588" i="2"/>
  <c r="L588" i="2"/>
  <c r="K588" i="2"/>
  <c r="J588" i="2"/>
  <c r="I588" i="2"/>
  <c r="G588" i="2"/>
  <c r="F588" i="2"/>
  <c r="T587" i="2"/>
  <c r="O587" i="2"/>
  <c r="N587" i="2"/>
  <c r="M587" i="2"/>
  <c r="H587" i="2"/>
  <c r="P587" i="2" s="1"/>
  <c r="C587" i="2" s="1"/>
  <c r="G587" i="2"/>
  <c r="T586" i="2"/>
  <c r="O586" i="2"/>
  <c r="N586" i="2"/>
  <c r="M586" i="2"/>
  <c r="H586" i="2"/>
  <c r="P586" i="2" s="1"/>
  <c r="C586" i="2" s="1"/>
  <c r="G586" i="2"/>
  <c r="F586" i="2"/>
  <c r="T585" i="2"/>
  <c r="O585" i="2"/>
  <c r="N585" i="2"/>
  <c r="M585" i="2"/>
  <c r="G585" i="2"/>
  <c r="F585" i="2"/>
  <c r="D585" i="2"/>
  <c r="T584" i="2"/>
  <c r="L584" i="2"/>
  <c r="H584" i="2" s="1"/>
  <c r="K584" i="2"/>
  <c r="T583" i="2"/>
  <c r="G583" i="2"/>
  <c r="F583" i="2"/>
  <c r="E583" i="2"/>
  <c r="C583" i="2"/>
  <c r="T582" i="2"/>
  <c r="G582" i="2"/>
  <c r="F582" i="2"/>
  <c r="E582" i="2"/>
  <c r="C582" i="2"/>
  <c r="T581" i="2"/>
  <c r="G581" i="2"/>
  <c r="F581" i="2"/>
  <c r="E581" i="2"/>
  <c r="C581" i="2"/>
  <c r="T580" i="2"/>
  <c r="G580" i="2"/>
  <c r="F580" i="2"/>
  <c r="E580" i="2"/>
  <c r="C580" i="2"/>
  <c r="T579" i="2"/>
  <c r="G579" i="2"/>
  <c r="F579" i="2"/>
  <c r="C579" i="2"/>
  <c r="T578" i="2"/>
  <c r="G578" i="2"/>
  <c r="F578" i="2"/>
  <c r="C578" i="2"/>
  <c r="T577" i="2"/>
  <c r="O577" i="2"/>
  <c r="N577" i="2"/>
  <c r="M577" i="2"/>
  <c r="G577" i="2"/>
  <c r="F577" i="2"/>
  <c r="T576" i="2"/>
  <c r="O576" i="2"/>
  <c r="N576" i="2"/>
  <c r="M576" i="2"/>
  <c r="G576" i="2"/>
  <c r="F576" i="2"/>
  <c r="T575" i="2"/>
  <c r="O575" i="2"/>
  <c r="N575" i="2"/>
  <c r="M575" i="2"/>
  <c r="G575" i="2"/>
  <c r="F575" i="2"/>
  <c r="D575" i="2"/>
  <c r="D580" i="2" s="1"/>
  <c r="T574" i="2"/>
  <c r="L574" i="2"/>
  <c r="K574" i="2"/>
  <c r="H574" i="2" s="1"/>
  <c r="C574" i="2"/>
  <c r="T573" i="2"/>
  <c r="G573" i="2"/>
  <c r="F573" i="2"/>
  <c r="E573" i="2"/>
  <c r="C573" i="2"/>
  <c r="T572" i="2"/>
  <c r="G572" i="2"/>
  <c r="F572" i="2"/>
  <c r="E572" i="2"/>
  <c r="C572" i="2"/>
  <c r="T571" i="2"/>
  <c r="G571" i="2"/>
  <c r="F571" i="2"/>
  <c r="E571" i="2"/>
  <c r="T570" i="2"/>
  <c r="G570" i="2"/>
  <c r="F570" i="2"/>
  <c r="E570" i="2"/>
  <c r="D570" i="2"/>
  <c r="T569" i="2"/>
  <c r="O569" i="2"/>
  <c r="N569" i="2"/>
  <c r="M569" i="2"/>
  <c r="G569" i="2"/>
  <c r="T568" i="2"/>
  <c r="O568" i="2"/>
  <c r="N568" i="2"/>
  <c r="M568" i="2"/>
  <c r="G568" i="2"/>
  <c r="F568" i="2"/>
  <c r="T567" i="2"/>
  <c r="O567" i="2"/>
  <c r="N567" i="2"/>
  <c r="M567" i="2"/>
  <c r="G567" i="2"/>
  <c r="F567" i="2"/>
  <c r="T566" i="2"/>
  <c r="L566" i="2"/>
  <c r="K566" i="2"/>
  <c r="T565" i="2"/>
  <c r="G565" i="2"/>
  <c r="F565" i="2"/>
  <c r="E565" i="2"/>
  <c r="C565" i="2"/>
  <c r="T564" i="2"/>
  <c r="G564" i="2"/>
  <c r="F564" i="2"/>
  <c r="E564" i="2"/>
  <c r="C564" i="2"/>
  <c r="T563" i="2"/>
  <c r="G563" i="2"/>
  <c r="F563" i="2"/>
  <c r="E563" i="2"/>
  <c r="D563" i="2"/>
  <c r="C563" i="2"/>
  <c r="T562" i="2"/>
  <c r="G562" i="2"/>
  <c r="F562" i="2"/>
  <c r="E562" i="2"/>
  <c r="C562" i="2"/>
  <c r="T561" i="2"/>
  <c r="G561" i="2"/>
  <c r="F561" i="2"/>
  <c r="E561" i="2"/>
  <c r="C561" i="2"/>
  <c r="T560" i="2"/>
  <c r="G560" i="2"/>
  <c r="F560" i="2"/>
  <c r="E560" i="2"/>
  <c r="C560" i="2"/>
  <c r="T559" i="2"/>
  <c r="G559" i="2"/>
  <c r="F559" i="2"/>
  <c r="T558" i="2"/>
  <c r="G558" i="2"/>
  <c r="F558" i="2"/>
  <c r="T557" i="2"/>
  <c r="G557" i="2"/>
  <c r="F557" i="2"/>
  <c r="C557" i="2"/>
  <c r="T556" i="2"/>
  <c r="G556" i="2"/>
  <c r="F556" i="2"/>
  <c r="D556" i="2"/>
  <c r="T555" i="2"/>
  <c r="G555" i="2"/>
  <c r="F555" i="2"/>
  <c r="C555" i="2"/>
  <c r="T554" i="2"/>
  <c r="G554" i="2"/>
  <c r="F554" i="2"/>
  <c r="D554" i="2"/>
  <c r="T553" i="2"/>
  <c r="G553" i="2"/>
  <c r="F553" i="2"/>
  <c r="D553" i="2"/>
  <c r="D562" i="2" s="1"/>
  <c r="T552" i="2"/>
  <c r="H552" i="2"/>
  <c r="C552" i="2" s="1"/>
  <c r="G552" i="2"/>
  <c r="F552" i="2"/>
  <c r="D552" i="2"/>
  <c r="D561" i="2" s="1"/>
  <c r="T551" i="2"/>
  <c r="H551" i="2"/>
  <c r="C551" i="2" s="1"/>
  <c r="G551" i="2"/>
  <c r="F551" i="2"/>
  <c r="D551" i="2"/>
  <c r="D560" i="2" s="1"/>
  <c r="T550" i="2"/>
  <c r="L550" i="2"/>
  <c r="K550" i="2"/>
  <c r="H550" i="2"/>
  <c r="T549" i="2"/>
  <c r="G549" i="2"/>
  <c r="F549" i="2"/>
  <c r="E549" i="2"/>
  <c r="C549" i="2"/>
  <c r="T548" i="2"/>
  <c r="G548" i="2"/>
  <c r="F548" i="2"/>
  <c r="E548" i="2"/>
  <c r="C548" i="2"/>
  <c r="T547" i="2"/>
  <c r="G547" i="2"/>
  <c r="F547" i="2"/>
  <c r="E547" i="2"/>
  <c r="D547" i="2"/>
  <c r="C547" i="2"/>
  <c r="T546" i="2"/>
  <c r="G546" i="2"/>
  <c r="F546" i="2"/>
  <c r="E546" i="2"/>
  <c r="C546" i="2"/>
  <c r="T545" i="2"/>
  <c r="G545" i="2"/>
  <c r="F545" i="2"/>
  <c r="E545" i="2"/>
  <c r="C545" i="2"/>
  <c r="T544" i="2"/>
  <c r="G544" i="2"/>
  <c r="F544" i="2"/>
  <c r="E544" i="2"/>
  <c r="D544" i="2"/>
  <c r="C544" i="2"/>
  <c r="T543" i="2"/>
  <c r="N543" i="2"/>
  <c r="M543" i="2"/>
  <c r="K543" i="2"/>
  <c r="J543" i="2"/>
  <c r="I543" i="2"/>
  <c r="G543" i="2"/>
  <c r="F543" i="2"/>
  <c r="T542" i="2"/>
  <c r="N542" i="2"/>
  <c r="M542" i="2"/>
  <c r="L542" i="2"/>
  <c r="J542" i="2"/>
  <c r="I542" i="2"/>
  <c r="G542" i="2"/>
  <c r="F542" i="2"/>
  <c r="T541" i="2"/>
  <c r="G541" i="2"/>
  <c r="F541" i="2"/>
  <c r="C541" i="2"/>
  <c r="T540" i="2"/>
  <c r="G540" i="2"/>
  <c r="F540" i="2"/>
  <c r="D540" i="2"/>
  <c r="C540" i="2"/>
  <c r="T539" i="2"/>
  <c r="G539" i="2"/>
  <c r="F539" i="2"/>
  <c r="C539" i="2"/>
  <c r="T538" i="2"/>
  <c r="G538" i="2"/>
  <c r="F538" i="2"/>
  <c r="D538" i="2"/>
  <c r="C538" i="2"/>
  <c r="T537" i="2"/>
  <c r="N537" i="2"/>
  <c r="J537" i="2"/>
  <c r="I537" i="2"/>
  <c r="G537" i="2"/>
  <c r="F537" i="2"/>
  <c r="D537" i="2"/>
  <c r="D546" i="2" s="1"/>
  <c r="T536" i="2"/>
  <c r="M536" i="2"/>
  <c r="G536" i="2"/>
  <c r="F536" i="2"/>
  <c r="D536" i="2"/>
  <c r="T535" i="2"/>
  <c r="N535" i="2"/>
  <c r="J535" i="2"/>
  <c r="I535" i="2"/>
  <c r="G535" i="2"/>
  <c r="F535" i="2"/>
  <c r="D535" i="2"/>
  <c r="M535" i="2" s="1"/>
  <c r="T534" i="2"/>
  <c r="L534" i="2"/>
  <c r="L543" i="2" s="1"/>
  <c r="K534" i="2"/>
  <c r="T533" i="2"/>
  <c r="G533" i="2"/>
  <c r="F533" i="2"/>
  <c r="E533" i="2"/>
  <c r="C533" i="2"/>
  <c r="T532" i="2"/>
  <c r="G532" i="2"/>
  <c r="F532" i="2"/>
  <c r="E532" i="2"/>
  <c r="C532" i="2"/>
  <c r="T531" i="2"/>
  <c r="G531" i="2"/>
  <c r="F531" i="2"/>
  <c r="E531" i="2"/>
  <c r="D531" i="2"/>
  <c r="D532" i="2" s="1"/>
  <c r="C531" i="2"/>
  <c r="T530" i="2"/>
  <c r="G530" i="2"/>
  <c r="F530" i="2"/>
  <c r="E530" i="2"/>
  <c r="C530" i="2"/>
  <c r="T529" i="2"/>
  <c r="G529" i="2"/>
  <c r="F529" i="2"/>
  <c r="E529" i="2"/>
  <c r="C529" i="2"/>
  <c r="T528" i="2"/>
  <c r="N528" i="2"/>
  <c r="M528" i="2"/>
  <c r="J528" i="2"/>
  <c r="I528" i="2"/>
  <c r="G528" i="2"/>
  <c r="F528" i="2"/>
  <c r="T527" i="2"/>
  <c r="N527" i="2"/>
  <c r="M527" i="2"/>
  <c r="J527" i="2"/>
  <c r="I527" i="2"/>
  <c r="G527" i="2"/>
  <c r="F527" i="2"/>
  <c r="E527" i="2"/>
  <c r="T526" i="2"/>
  <c r="L526" i="2"/>
  <c r="H526" i="2" s="1"/>
  <c r="K526" i="2"/>
  <c r="K528" i="2" s="1"/>
  <c r="T525" i="2"/>
  <c r="G525" i="2"/>
  <c r="F525" i="2"/>
  <c r="E525" i="2"/>
  <c r="C525" i="2"/>
  <c r="T524" i="2"/>
  <c r="G524" i="2"/>
  <c r="F524" i="2"/>
  <c r="E524" i="2"/>
  <c r="D524" i="2"/>
  <c r="C524" i="2"/>
  <c r="T523" i="2"/>
  <c r="G523" i="2"/>
  <c r="F523" i="2"/>
  <c r="E523" i="2"/>
  <c r="D523" i="2"/>
  <c r="C523" i="2"/>
  <c r="T522" i="2"/>
  <c r="G522" i="2"/>
  <c r="F522" i="2"/>
  <c r="E522" i="2"/>
  <c r="C522" i="2"/>
  <c r="T521" i="2"/>
  <c r="G521" i="2"/>
  <c r="F521" i="2"/>
  <c r="E521" i="2"/>
  <c r="D521" i="2"/>
  <c r="C521" i="2"/>
  <c r="T520" i="2"/>
  <c r="G520" i="2"/>
  <c r="F520" i="2"/>
  <c r="E520" i="2"/>
  <c r="D520" i="2"/>
  <c r="C520" i="2"/>
  <c r="T519" i="2"/>
  <c r="G519" i="2"/>
  <c r="F519" i="2"/>
  <c r="E519" i="2"/>
  <c r="C519" i="2"/>
  <c r="T518" i="2"/>
  <c r="G518" i="2"/>
  <c r="F518" i="2"/>
  <c r="E518" i="2"/>
  <c r="C518" i="2"/>
  <c r="T517" i="2"/>
  <c r="N517" i="2"/>
  <c r="M517" i="2"/>
  <c r="L517" i="2"/>
  <c r="J517" i="2"/>
  <c r="I517" i="2"/>
  <c r="G517" i="2"/>
  <c r="F517" i="2"/>
  <c r="T516" i="2"/>
  <c r="N516" i="2"/>
  <c r="M516" i="2"/>
  <c r="J516" i="2"/>
  <c r="I516" i="2"/>
  <c r="G516" i="2"/>
  <c r="F516" i="2"/>
  <c r="T515" i="2"/>
  <c r="N515" i="2"/>
  <c r="M515" i="2"/>
  <c r="K515" i="2"/>
  <c r="J515" i="2"/>
  <c r="I515" i="2"/>
  <c r="G515" i="2"/>
  <c r="F515" i="2"/>
  <c r="E515" i="2"/>
  <c r="T514" i="2"/>
  <c r="N514" i="2"/>
  <c r="M514" i="2"/>
  <c r="L514" i="2"/>
  <c r="J514" i="2"/>
  <c r="I514" i="2"/>
  <c r="G514" i="2"/>
  <c r="F514" i="2"/>
  <c r="E514" i="2"/>
  <c r="T513" i="2"/>
  <c r="L513" i="2"/>
  <c r="L516" i="2" s="1"/>
  <c r="K513" i="2"/>
  <c r="T512" i="2"/>
  <c r="G512" i="2"/>
  <c r="F512" i="2"/>
  <c r="E512" i="2"/>
  <c r="C512" i="2"/>
  <c r="T511" i="2"/>
  <c r="G511" i="2"/>
  <c r="F511" i="2"/>
  <c r="E511" i="2"/>
  <c r="C511" i="2"/>
  <c r="T510" i="2"/>
  <c r="G510" i="2"/>
  <c r="F510" i="2"/>
  <c r="E510" i="2"/>
  <c r="D510" i="2"/>
  <c r="D511" i="2" s="1"/>
  <c r="C510" i="2"/>
  <c r="T509" i="2"/>
  <c r="G509" i="2"/>
  <c r="F509" i="2"/>
  <c r="E509" i="2"/>
  <c r="C509" i="2"/>
  <c r="T508" i="2"/>
  <c r="G508" i="2"/>
  <c r="F508" i="2"/>
  <c r="E508" i="2"/>
  <c r="C508" i="2"/>
  <c r="T507" i="2"/>
  <c r="N507" i="2"/>
  <c r="M507" i="2"/>
  <c r="L507" i="2"/>
  <c r="K507" i="2"/>
  <c r="J507" i="2"/>
  <c r="I507" i="2"/>
  <c r="G507" i="2"/>
  <c r="F507" i="2"/>
  <c r="T506" i="2"/>
  <c r="N506" i="2"/>
  <c r="M506" i="2"/>
  <c r="L506" i="2"/>
  <c r="K506" i="2"/>
  <c r="J506" i="2"/>
  <c r="I506" i="2"/>
  <c r="G506" i="2"/>
  <c r="F506" i="2"/>
  <c r="E506" i="2"/>
  <c r="T505" i="2"/>
  <c r="L505" i="2"/>
  <c r="K505" i="2"/>
  <c r="H505" i="2"/>
  <c r="H506" i="2" s="1"/>
  <c r="C506" i="2" s="1"/>
  <c r="T504" i="2"/>
  <c r="G504" i="2"/>
  <c r="F504" i="2"/>
  <c r="E504" i="2"/>
  <c r="C504" i="2"/>
  <c r="T503" i="2"/>
  <c r="G503" i="2"/>
  <c r="F503" i="2"/>
  <c r="E503" i="2"/>
  <c r="D503" i="2"/>
  <c r="C503" i="2"/>
  <c r="T502" i="2"/>
  <c r="G502" i="2"/>
  <c r="F502" i="2"/>
  <c r="E502" i="2"/>
  <c r="C502" i="2"/>
  <c r="T501" i="2"/>
  <c r="G501" i="2"/>
  <c r="F501" i="2"/>
  <c r="E501" i="2"/>
  <c r="D501" i="2"/>
  <c r="D502" i="2" s="1"/>
  <c r="C501" i="2"/>
  <c r="T500" i="2"/>
  <c r="G500" i="2"/>
  <c r="F500" i="2"/>
  <c r="E500" i="2"/>
  <c r="C500" i="2"/>
  <c r="T499" i="2"/>
  <c r="G499" i="2"/>
  <c r="F499" i="2"/>
  <c r="E499" i="2"/>
  <c r="C499" i="2"/>
  <c r="T498" i="2"/>
  <c r="N498" i="2"/>
  <c r="M498" i="2"/>
  <c r="J498" i="2"/>
  <c r="I498" i="2"/>
  <c r="G498" i="2"/>
  <c r="F498" i="2"/>
  <c r="E498" i="2"/>
  <c r="T497" i="2"/>
  <c r="N497" i="2"/>
  <c r="M497" i="2"/>
  <c r="L497" i="2"/>
  <c r="J497" i="2"/>
  <c r="I497" i="2"/>
  <c r="G497" i="2"/>
  <c r="F497" i="2"/>
  <c r="T496" i="2"/>
  <c r="N496" i="2"/>
  <c r="M496" i="2"/>
  <c r="L496" i="2"/>
  <c r="J496" i="2"/>
  <c r="I496" i="2"/>
  <c r="G496" i="2"/>
  <c r="F496" i="2"/>
  <c r="E496" i="2"/>
  <c r="T495" i="2"/>
  <c r="L495" i="2"/>
  <c r="K495" i="2"/>
  <c r="T494" i="2"/>
  <c r="G494" i="2"/>
  <c r="F494" i="2"/>
  <c r="E494" i="2"/>
  <c r="C494" i="2"/>
  <c r="T493" i="2"/>
  <c r="G493" i="2"/>
  <c r="F493" i="2"/>
  <c r="E493" i="2"/>
  <c r="D493" i="2"/>
  <c r="C493" i="2"/>
  <c r="T492" i="2"/>
  <c r="G492" i="2"/>
  <c r="F492" i="2"/>
  <c r="E492" i="2"/>
  <c r="D492" i="2"/>
  <c r="C492" i="2"/>
  <c r="T491" i="2"/>
  <c r="G491" i="2"/>
  <c r="F491" i="2"/>
  <c r="E491" i="2"/>
  <c r="D491" i="2"/>
  <c r="C491" i="2"/>
  <c r="T490" i="2"/>
  <c r="G490" i="2"/>
  <c r="F490" i="2"/>
  <c r="E490" i="2"/>
  <c r="C490" i="2"/>
  <c r="T489" i="2"/>
  <c r="G489" i="2"/>
  <c r="F489" i="2"/>
  <c r="E489" i="2"/>
  <c r="C489" i="2"/>
  <c r="T488" i="2"/>
  <c r="N488" i="2"/>
  <c r="M488" i="2"/>
  <c r="J488" i="2"/>
  <c r="I488" i="2"/>
  <c r="G488" i="2"/>
  <c r="F488" i="2"/>
  <c r="E488" i="2"/>
  <c r="T487" i="2"/>
  <c r="N487" i="2"/>
  <c r="M487" i="2"/>
  <c r="J487" i="2"/>
  <c r="I487" i="2"/>
  <c r="G487" i="2"/>
  <c r="F487" i="2"/>
  <c r="T486" i="2"/>
  <c r="N486" i="2"/>
  <c r="M486" i="2"/>
  <c r="K486" i="2"/>
  <c r="J486" i="2"/>
  <c r="I486" i="2"/>
  <c r="G486" i="2"/>
  <c r="F486" i="2"/>
  <c r="E486" i="2"/>
  <c r="T485" i="2"/>
  <c r="L485" i="2"/>
  <c r="K485" i="2"/>
  <c r="K487" i="2" s="1"/>
  <c r="H485" i="2"/>
  <c r="H486" i="2" s="1"/>
  <c r="C486" i="2" s="1"/>
  <c r="T484" i="2"/>
  <c r="G484" i="2"/>
  <c r="F484" i="2"/>
  <c r="E484" i="2"/>
  <c r="C484" i="2"/>
  <c r="T483" i="2"/>
  <c r="G483" i="2"/>
  <c r="F483" i="2"/>
  <c r="E483" i="2"/>
  <c r="D483" i="2"/>
  <c r="C483" i="2"/>
  <c r="T482" i="2"/>
  <c r="G482" i="2"/>
  <c r="F482" i="2"/>
  <c r="E482" i="2"/>
  <c r="D482" i="2"/>
  <c r="C482" i="2"/>
  <c r="T481" i="2"/>
  <c r="G481" i="2"/>
  <c r="F481" i="2"/>
  <c r="E481" i="2"/>
  <c r="D481" i="2"/>
  <c r="C481" i="2"/>
  <c r="T480" i="2"/>
  <c r="G480" i="2"/>
  <c r="F480" i="2"/>
  <c r="E480" i="2"/>
  <c r="D480" i="2"/>
  <c r="C480" i="2"/>
  <c r="T479" i="2"/>
  <c r="G479" i="2"/>
  <c r="F479" i="2"/>
  <c r="E479" i="2"/>
  <c r="C479" i="2"/>
  <c r="T478" i="2"/>
  <c r="G478" i="2"/>
  <c r="F478" i="2"/>
  <c r="E478" i="2"/>
  <c r="C478" i="2"/>
  <c r="T477" i="2"/>
  <c r="N477" i="2"/>
  <c r="M477" i="2"/>
  <c r="J477" i="2"/>
  <c r="I477" i="2"/>
  <c r="G477" i="2"/>
  <c r="F477" i="2"/>
  <c r="T476" i="2"/>
  <c r="N476" i="2"/>
  <c r="M476" i="2"/>
  <c r="K476" i="2"/>
  <c r="J476" i="2"/>
  <c r="I476" i="2"/>
  <c r="G476" i="2"/>
  <c r="F476" i="2"/>
  <c r="T475" i="2"/>
  <c r="N475" i="2"/>
  <c r="M475" i="2"/>
  <c r="J475" i="2"/>
  <c r="I475" i="2"/>
  <c r="G475" i="2"/>
  <c r="F475" i="2"/>
  <c r="E475" i="2"/>
  <c r="T474" i="2"/>
  <c r="N474" i="2"/>
  <c r="M474" i="2"/>
  <c r="J474" i="2"/>
  <c r="I474" i="2"/>
  <c r="G474" i="2"/>
  <c r="F474" i="2"/>
  <c r="E474" i="2"/>
  <c r="T473" i="2"/>
  <c r="L473" i="2"/>
  <c r="K473" i="2"/>
  <c r="T472" i="2"/>
  <c r="G472" i="2"/>
  <c r="F472" i="2"/>
  <c r="E472" i="2"/>
  <c r="C472" i="2"/>
  <c r="T471" i="2"/>
  <c r="G471" i="2"/>
  <c r="F471" i="2"/>
  <c r="E471" i="2"/>
  <c r="C471" i="2"/>
  <c r="T470" i="2"/>
  <c r="G470" i="2"/>
  <c r="F470" i="2"/>
  <c r="E470" i="2"/>
  <c r="D470" i="2"/>
  <c r="D471" i="2" s="1"/>
  <c r="C470" i="2"/>
  <c r="T469" i="2"/>
  <c r="G469" i="2"/>
  <c r="F469" i="2"/>
  <c r="E469" i="2"/>
  <c r="C469" i="2"/>
  <c r="T468" i="2"/>
  <c r="G468" i="2"/>
  <c r="F468" i="2"/>
  <c r="E468" i="2"/>
  <c r="C468" i="2"/>
  <c r="T467" i="2"/>
  <c r="N467" i="2"/>
  <c r="M467" i="2"/>
  <c r="J467" i="2"/>
  <c r="I467" i="2"/>
  <c r="G467" i="2"/>
  <c r="F467" i="2"/>
  <c r="T466" i="2"/>
  <c r="N466" i="2"/>
  <c r="M466" i="2"/>
  <c r="L466" i="2"/>
  <c r="J466" i="2"/>
  <c r="I466" i="2"/>
  <c r="G466" i="2"/>
  <c r="F466" i="2"/>
  <c r="E466" i="2"/>
  <c r="T465" i="2"/>
  <c r="L465" i="2"/>
  <c r="L467" i="2" s="1"/>
  <c r="K465" i="2"/>
  <c r="T464" i="2"/>
  <c r="G464" i="2"/>
  <c r="F464" i="2"/>
  <c r="E464" i="2"/>
  <c r="C464" i="2"/>
  <c r="T463" i="2"/>
  <c r="G463" i="2"/>
  <c r="F463" i="2"/>
  <c r="E463" i="2"/>
  <c r="C463" i="2"/>
  <c r="T462" i="2"/>
  <c r="G462" i="2"/>
  <c r="F462" i="2"/>
  <c r="E462" i="2"/>
  <c r="D462" i="2"/>
  <c r="D463" i="2" s="1"/>
  <c r="C462" i="2"/>
  <c r="T461" i="2"/>
  <c r="G461" i="2"/>
  <c r="F461" i="2"/>
  <c r="E461" i="2"/>
  <c r="C461" i="2"/>
  <c r="T460" i="2"/>
  <c r="G460" i="2"/>
  <c r="F460" i="2"/>
  <c r="E460" i="2"/>
  <c r="C460" i="2"/>
  <c r="T459" i="2"/>
  <c r="N459" i="2"/>
  <c r="M459" i="2"/>
  <c r="L459" i="2"/>
  <c r="J459" i="2"/>
  <c r="I459" i="2"/>
  <c r="G459" i="2"/>
  <c r="F459" i="2"/>
  <c r="T458" i="2"/>
  <c r="N458" i="2"/>
  <c r="M458" i="2"/>
  <c r="J458" i="2"/>
  <c r="I458" i="2"/>
  <c r="G458" i="2"/>
  <c r="F458" i="2"/>
  <c r="E458" i="2"/>
  <c r="T457" i="2"/>
  <c r="N457" i="2"/>
  <c r="M457" i="2"/>
  <c r="L457" i="2"/>
  <c r="K457" i="2"/>
  <c r="J457" i="2"/>
  <c r="I457" i="2"/>
  <c r="G457" i="2"/>
  <c r="F457" i="2"/>
  <c r="E457" i="2"/>
  <c r="T456" i="2"/>
  <c r="L456" i="2"/>
  <c r="L458" i="2" s="1"/>
  <c r="K456" i="2"/>
  <c r="K459" i="2" s="1"/>
  <c r="T455" i="2"/>
  <c r="G455" i="2"/>
  <c r="F455" i="2"/>
  <c r="E455" i="2"/>
  <c r="C455" i="2"/>
  <c r="T454" i="2"/>
  <c r="G454" i="2"/>
  <c r="F454" i="2"/>
  <c r="E454" i="2"/>
  <c r="C454" i="2"/>
  <c r="T453" i="2"/>
  <c r="G453" i="2"/>
  <c r="F453" i="2"/>
  <c r="E453" i="2"/>
  <c r="D453" i="2"/>
  <c r="D454" i="2" s="1"/>
  <c r="C453" i="2"/>
  <c r="T452" i="2"/>
  <c r="G452" i="2"/>
  <c r="F452" i="2"/>
  <c r="E452" i="2"/>
  <c r="C452" i="2"/>
  <c r="T451" i="2"/>
  <c r="G451" i="2"/>
  <c r="F451" i="2"/>
  <c r="E451" i="2"/>
  <c r="C451" i="2"/>
  <c r="T450" i="2"/>
  <c r="N450" i="2"/>
  <c r="M450" i="2"/>
  <c r="J450" i="2"/>
  <c r="I450" i="2"/>
  <c r="H450" i="2"/>
  <c r="C450" i="2" s="1"/>
  <c r="G450" i="2"/>
  <c r="F450" i="2"/>
  <c r="T449" i="2"/>
  <c r="N449" i="2"/>
  <c r="M449" i="2"/>
  <c r="K449" i="2"/>
  <c r="J449" i="2"/>
  <c r="I449" i="2"/>
  <c r="G449" i="2"/>
  <c r="F449" i="2"/>
  <c r="E449" i="2"/>
  <c r="T448" i="2"/>
  <c r="L448" i="2"/>
  <c r="H448" i="2" s="1"/>
  <c r="K448" i="2"/>
  <c r="K450" i="2" s="1"/>
  <c r="T447" i="2"/>
  <c r="G447" i="2"/>
  <c r="F447" i="2"/>
  <c r="E447" i="2"/>
  <c r="T446" i="2"/>
  <c r="G446" i="2"/>
  <c r="F446" i="2"/>
  <c r="E446" i="2"/>
  <c r="D446" i="2"/>
  <c r="T445" i="2"/>
  <c r="G445" i="2"/>
  <c r="F445" i="2"/>
  <c r="E445" i="2"/>
  <c r="T444" i="2"/>
  <c r="G444" i="2"/>
  <c r="F444" i="2"/>
  <c r="E444" i="2"/>
  <c r="T443" i="2"/>
  <c r="G443" i="2"/>
  <c r="F443" i="2"/>
  <c r="E443" i="2"/>
  <c r="T442" i="2"/>
  <c r="G442" i="2"/>
  <c r="F442" i="2"/>
  <c r="E442" i="2"/>
  <c r="T441" i="2"/>
  <c r="G441" i="2"/>
  <c r="F441" i="2"/>
  <c r="E441" i="2"/>
  <c r="T440" i="2"/>
  <c r="G440" i="2"/>
  <c r="F440" i="2"/>
  <c r="E440" i="2"/>
  <c r="T439" i="2"/>
  <c r="G439" i="2"/>
  <c r="F439" i="2"/>
  <c r="E439" i="2"/>
  <c r="T438" i="2"/>
  <c r="G438" i="2"/>
  <c r="F438" i="2"/>
  <c r="E438" i="2"/>
  <c r="T437" i="2"/>
  <c r="G437" i="2"/>
  <c r="F437" i="2"/>
  <c r="E437" i="2"/>
  <c r="T436" i="2"/>
  <c r="O436" i="2"/>
  <c r="N436" i="2"/>
  <c r="M436" i="2"/>
  <c r="J436" i="2"/>
  <c r="I436" i="2"/>
  <c r="G436" i="2"/>
  <c r="F436" i="2"/>
  <c r="E436" i="2"/>
  <c r="T435" i="2"/>
  <c r="O435" i="2"/>
  <c r="N435" i="2"/>
  <c r="M435" i="2"/>
  <c r="L435" i="2"/>
  <c r="J435" i="2"/>
  <c r="I435" i="2"/>
  <c r="G435" i="2"/>
  <c r="F435" i="2"/>
  <c r="E435" i="2"/>
  <c r="T434" i="2"/>
  <c r="O434" i="2"/>
  <c r="N434" i="2"/>
  <c r="M434" i="2"/>
  <c r="L434" i="2"/>
  <c r="J434" i="2"/>
  <c r="I434" i="2"/>
  <c r="G434" i="2"/>
  <c r="F434" i="2"/>
  <c r="E434" i="2"/>
  <c r="T433" i="2"/>
  <c r="O433" i="2"/>
  <c r="N433" i="2"/>
  <c r="M433" i="2"/>
  <c r="L433" i="2"/>
  <c r="J433" i="2"/>
  <c r="I433" i="2"/>
  <c r="G433" i="2"/>
  <c r="F433" i="2"/>
  <c r="E433" i="2"/>
  <c r="T432" i="2"/>
  <c r="O432" i="2"/>
  <c r="N432" i="2"/>
  <c r="M432" i="2"/>
  <c r="L432" i="2"/>
  <c r="K432" i="2"/>
  <c r="J432" i="2"/>
  <c r="I432" i="2"/>
  <c r="G432" i="2"/>
  <c r="F432" i="2"/>
  <c r="E432" i="2"/>
  <c r="T431" i="2"/>
  <c r="L431" i="2"/>
  <c r="L436" i="2" s="1"/>
  <c r="K431" i="2"/>
  <c r="K435" i="2" s="1"/>
  <c r="T430" i="2"/>
  <c r="G430" i="2"/>
  <c r="F430" i="2"/>
  <c r="E430" i="2"/>
  <c r="C430" i="2"/>
  <c r="T429" i="2"/>
  <c r="G429" i="2"/>
  <c r="F429" i="2"/>
  <c r="E429" i="2"/>
  <c r="D429" i="2"/>
  <c r="C429" i="2"/>
  <c r="T428" i="2"/>
  <c r="G428" i="2"/>
  <c r="F428" i="2"/>
  <c r="E428" i="2"/>
  <c r="D428" i="2"/>
  <c r="C428" i="2"/>
  <c r="T427" i="2"/>
  <c r="G427" i="2"/>
  <c r="F427" i="2"/>
  <c r="E427" i="2"/>
  <c r="C427" i="2"/>
  <c r="T426" i="2"/>
  <c r="G426" i="2"/>
  <c r="F426" i="2"/>
  <c r="E426" i="2"/>
  <c r="C426" i="2"/>
  <c r="T425" i="2"/>
  <c r="G425" i="2"/>
  <c r="F425" i="2"/>
  <c r="E425" i="2"/>
  <c r="C425" i="2"/>
  <c r="T424" i="2"/>
  <c r="N424" i="2"/>
  <c r="M424" i="2"/>
  <c r="J424" i="2"/>
  <c r="I424" i="2"/>
  <c r="G424" i="2"/>
  <c r="F424" i="2"/>
  <c r="E424" i="2"/>
  <c r="T423" i="2"/>
  <c r="N423" i="2"/>
  <c r="M423" i="2"/>
  <c r="K423" i="2"/>
  <c r="J423" i="2"/>
  <c r="I423" i="2"/>
  <c r="G423" i="2"/>
  <c r="F423" i="2"/>
  <c r="T422" i="2"/>
  <c r="N422" i="2"/>
  <c r="M422" i="2"/>
  <c r="L422" i="2"/>
  <c r="K422" i="2"/>
  <c r="J422" i="2"/>
  <c r="I422" i="2"/>
  <c r="G422" i="2"/>
  <c r="F422" i="2"/>
  <c r="E422" i="2"/>
  <c r="T421" i="2"/>
  <c r="L421" i="2"/>
  <c r="L423" i="2" s="1"/>
  <c r="K421" i="2"/>
  <c r="H421" i="2" s="1"/>
  <c r="T420" i="2"/>
  <c r="G420" i="2"/>
  <c r="F420" i="2"/>
  <c r="E420" i="2"/>
  <c r="C420" i="2"/>
  <c r="T419" i="2"/>
  <c r="G419" i="2"/>
  <c r="F419" i="2"/>
  <c r="E419" i="2"/>
  <c r="C419" i="2"/>
  <c r="T418" i="2"/>
  <c r="G418" i="2"/>
  <c r="F418" i="2"/>
  <c r="E418" i="2"/>
  <c r="C418" i="2"/>
  <c r="T417" i="2"/>
  <c r="G417" i="2"/>
  <c r="F417" i="2"/>
  <c r="E417" i="2"/>
  <c r="C417" i="2"/>
  <c r="T416" i="2"/>
  <c r="G416" i="2"/>
  <c r="F416" i="2"/>
  <c r="E416" i="2"/>
  <c r="C416" i="2"/>
  <c r="T415" i="2"/>
  <c r="N415" i="2"/>
  <c r="M415" i="2"/>
  <c r="L415" i="2"/>
  <c r="J415" i="2"/>
  <c r="I415" i="2"/>
  <c r="G415" i="2"/>
  <c r="F415" i="2"/>
  <c r="T414" i="2"/>
  <c r="N414" i="2"/>
  <c r="M414" i="2"/>
  <c r="J414" i="2"/>
  <c r="I414" i="2"/>
  <c r="G414" i="2"/>
  <c r="F414" i="2"/>
  <c r="E414" i="2"/>
  <c r="T413" i="2"/>
  <c r="L413" i="2"/>
  <c r="L414" i="2" s="1"/>
  <c r="K413" i="2"/>
  <c r="T412" i="2"/>
  <c r="G412" i="2"/>
  <c r="F412" i="2"/>
  <c r="E412" i="2"/>
  <c r="T411" i="2"/>
  <c r="N411" i="2"/>
  <c r="M411" i="2"/>
  <c r="J411" i="2"/>
  <c r="I411" i="2"/>
  <c r="G411" i="2"/>
  <c r="F411" i="2"/>
  <c r="E411" i="2"/>
  <c r="T410" i="2"/>
  <c r="N410" i="2"/>
  <c r="M410" i="2"/>
  <c r="L410" i="2"/>
  <c r="J410" i="2"/>
  <c r="I410" i="2"/>
  <c r="G410" i="2"/>
  <c r="F410" i="2"/>
  <c r="T409" i="2"/>
  <c r="L409" i="2"/>
  <c r="H409" i="2" s="1"/>
  <c r="K409" i="2"/>
  <c r="T408" i="2"/>
  <c r="G408" i="2"/>
  <c r="F408" i="2"/>
  <c r="E408" i="2"/>
  <c r="C408" i="2"/>
  <c r="T407" i="2"/>
  <c r="G407" i="2"/>
  <c r="F407" i="2"/>
  <c r="E407" i="2"/>
  <c r="D407" i="2"/>
  <c r="C407" i="2"/>
  <c r="T406" i="2"/>
  <c r="G406" i="2"/>
  <c r="F406" i="2"/>
  <c r="E406" i="2"/>
  <c r="D406" i="2"/>
  <c r="C406" i="2"/>
  <c r="T405" i="2"/>
  <c r="G405" i="2"/>
  <c r="F405" i="2"/>
  <c r="E405" i="2"/>
  <c r="D405" i="2"/>
  <c r="C405" i="2"/>
  <c r="T404" i="2"/>
  <c r="G404" i="2"/>
  <c r="F404" i="2"/>
  <c r="E404" i="2"/>
  <c r="D404" i="2"/>
  <c r="C404" i="2"/>
  <c r="T403" i="2"/>
  <c r="G403" i="2"/>
  <c r="F403" i="2"/>
  <c r="E403" i="2"/>
  <c r="D403" i="2"/>
  <c r="C403" i="2"/>
  <c r="T402" i="2"/>
  <c r="G402" i="2"/>
  <c r="F402" i="2"/>
  <c r="E402" i="2"/>
  <c r="D402" i="2"/>
  <c r="C402" i="2"/>
  <c r="T401" i="2"/>
  <c r="G401" i="2"/>
  <c r="F401" i="2"/>
  <c r="E401" i="2"/>
  <c r="C401" i="2"/>
  <c r="T400" i="2"/>
  <c r="G400" i="2"/>
  <c r="F400" i="2"/>
  <c r="E400" i="2"/>
  <c r="C400" i="2"/>
  <c r="T399" i="2"/>
  <c r="K399" i="2"/>
  <c r="G399" i="2"/>
  <c r="F399" i="2"/>
  <c r="E399" i="2"/>
  <c r="T398" i="2"/>
  <c r="K398" i="2"/>
  <c r="G398" i="2"/>
  <c r="F398" i="2"/>
  <c r="E398" i="2"/>
  <c r="T397" i="2"/>
  <c r="N397" i="2"/>
  <c r="M397" i="2"/>
  <c r="L397" i="2"/>
  <c r="K397" i="2"/>
  <c r="J397" i="2"/>
  <c r="I397" i="2"/>
  <c r="G397" i="2"/>
  <c r="F397" i="2"/>
  <c r="E397" i="2"/>
  <c r="T396" i="2"/>
  <c r="L396" i="2"/>
  <c r="H396" i="2" s="1"/>
  <c r="C396" i="2" s="1"/>
  <c r="K396" i="2"/>
  <c r="T395" i="2"/>
  <c r="G395" i="2"/>
  <c r="F395" i="2"/>
  <c r="E395" i="2"/>
  <c r="T394" i="2"/>
  <c r="G394" i="2"/>
  <c r="F394" i="2"/>
  <c r="E394" i="2"/>
  <c r="D394" i="2"/>
  <c r="T393" i="2"/>
  <c r="G393" i="2"/>
  <c r="F393" i="2"/>
  <c r="E393" i="2"/>
  <c r="T392" i="2"/>
  <c r="G392" i="2"/>
  <c r="F392" i="2"/>
  <c r="E392" i="2"/>
  <c r="T391" i="2"/>
  <c r="G391" i="2"/>
  <c r="F391" i="2"/>
  <c r="E391" i="2"/>
  <c r="T390" i="2"/>
  <c r="G390" i="2"/>
  <c r="F390" i="2"/>
  <c r="E390" i="2"/>
  <c r="T389" i="2"/>
  <c r="G389" i="2"/>
  <c r="F389" i="2"/>
  <c r="E389" i="2"/>
  <c r="T388" i="2"/>
  <c r="G388" i="2"/>
  <c r="F388" i="2"/>
  <c r="E388" i="2"/>
  <c r="T387" i="2"/>
  <c r="K387" i="2"/>
  <c r="G387" i="2"/>
  <c r="E387" i="2"/>
  <c r="T386" i="2"/>
  <c r="G386" i="2"/>
  <c r="F386" i="2"/>
  <c r="E386" i="2"/>
  <c r="T385" i="2"/>
  <c r="K385" i="2"/>
  <c r="G385" i="2"/>
  <c r="F385" i="2"/>
  <c r="T384" i="2"/>
  <c r="G384" i="2"/>
  <c r="F384" i="2"/>
  <c r="T383" i="2"/>
  <c r="G383" i="2"/>
  <c r="F383" i="2"/>
  <c r="E383" i="2"/>
  <c r="T382" i="2"/>
  <c r="K382" i="2"/>
  <c r="G382" i="2"/>
  <c r="F382" i="2"/>
  <c r="E382" i="2"/>
  <c r="T381" i="2"/>
  <c r="K381" i="2"/>
  <c r="G381" i="2"/>
  <c r="F381" i="2"/>
  <c r="E381" i="2"/>
  <c r="T380" i="2"/>
  <c r="G380" i="2"/>
  <c r="F380" i="2"/>
  <c r="E380" i="2"/>
  <c r="T379" i="2"/>
  <c r="K379" i="2"/>
  <c r="G379" i="2"/>
  <c r="F379" i="2"/>
  <c r="E379" i="2"/>
  <c r="T378" i="2"/>
  <c r="G378" i="2"/>
  <c r="F378" i="2"/>
  <c r="E378" i="2"/>
  <c r="T377" i="2"/>
  <c r="N377" i="2"/>
  <c r="M377" i="2"/>
  <c r="L377" i="2"/>
  <c r="J377" i="2"/>
  <c r="I377" i="2"/>
  <c r="G377" i="2"/>
  <c r="F377" i="2"/>
  <c r="E377" i="2"/>
  <c r="T376" i="2"/>
  <c r="L376" i="2"/>
  <c r="K376" i="2"/>
  <c r="T375" i="2"/>
  <c r="G375" i="2"/>
  <c r="F375" i="2"/>
  <c r="E375" i="2"/>
  <c r="T374" i="2"/>
  <c r="G374" i="2"/>
  <c r="F374" i="2"/>
  <c r="E374" i="2"/>
  <c r="T373" i="2"/>
  <c r="G373" i="2"/>
  <c r="F373" i="2"/>
  <c r="E373" i="2"/>
  <c r="T372" i="2"/>
  <c r="G372" i="2"/>
  <c r="F372" i="2"/>
  <c r="E372" i="2"/>
  <c r="T371" i="2"/>
  <c r="G371" i="2"/>
  <c r="F371" i="2"/>
  <c r="E371" i="2"/>
  <c r="T370" i="2"/>
  <c r="G370" i="2"/>
  <c r="F370" i="2"/>
  <c r="E370" i="2"/>
  <c r="T369" i="2"/>
  <c r="G369" i="2"/>
  <c r="F369" i="2"/>
  <c r="E369" i="2"/>
  <c r="T368" i="2"/>
  <c r="G368" i="2"/>
  <c r="F368" i="2"/>
  <c r="E368" i="2"/>
  <c r="T367" i="2"/>
  <c r="G367" i="2"/>
  <c r="F367" i="2"/>
  <c r="E367" i="2"/>
  <c r="T366" i="2"/>
  <c r="G366" i="2"/>
  <c r="F366" i="2"/>
  <c r="E366" i="2"/>
  <c r="T365" i="2"/>
  <c r="Q365" i="2"/>
  <c r="G365" i="2"/>
  <c r="F365" i="2"/>
  <c r="E365" i="2"/>
  <c r="T364" i="2"/>
  <c r="G364" i="2"/>
  <c r="F364" i="2"/>
  <c r="E364" i="2"/>
  <c r="T363" i="2"/>
  <c r="G363" i="2"/>
  <c r="F363" i="2"/>
  <c r="E363" i="2"/>
  <c r="T362" i="2"/>
  <c r="G362" i="2"/>
  <c r="F362" i="2"/>
  <c r="E362" i="2"/>
  <c r="T361" i="2"/>
  <c r="G361" i="2"/>
  <c r="F361" i="2"/>
  <c r="E361" i="2"/>
  <c r="T360" i="2"/>
  <c r="G360" i="2"/>
  <c r="F360" i="2"/>
  <c r="E360" i="2"/>
  <c r="T359" i="2"/>
  <c r="Q359" i="2"/>
  <c r="G359" i="2"/>
  <c r="F359" i="2"/>
  <c r="E359" i="2"/>
  <c r="T358" i="2"/>
  <c r="Q358" i="2"/>
  <c r="K358" i="2"/>
  <c r="G358" i="2"/>
  <c r="F358" i="2"/>
  <c r="E358" i="2"/>
  <c r="T357" i="2"/>
  <c r="Q357" i="2"/>
  <c r="N357" i="2"/>
  <c r="M357" i="2"/>
  <c r="L357" i="2"/>
  <c r="K357" i="2"/>
  <c r="J357" i="2"/>
  <c r="I357" i="2"/>
  <c r="G357" i="2"/>
  <c r="F357" i="2"/>
  <c r="E357" i="2"/>
  <c r="T356" i="2"/>
  <c r="L356" i="2"/>
  <c r="K356" i="2"/>
  <c r="K383" i="2" s="1"/>
  <c r="H356" i="2"/>
  <c r="T355" i="2"/>
  <c r="O355" i="2"/>
  <c r="N355" i="2"/>
  <c r="M355" i="2"/>
  <c r="J355" i="2"/>
  <c r="I355" i="2"/>
  <c r="G355" i="2"/>
  <c r="F355" i="2"/>
  <c r="E355" i="2"/>
  <c r="T354" i="2"/>
  <c r="O354" i="2"/>
  <c r="N354" i="2"/>
  <c r="I354" i="2"/>
  <c r="G354" i="2"/>
  <c r="F354" i="2"/>
  <c r="E354" i="2"/>
  <c r="D354" i="2"/>
  <c r="M354" i="2" s="1"/>
  <c r="T353" i="2"/>
  <c r="O353" i="2"/>
  <c r="N353" i="2"/>
  <c r="M353" i="2"/>
  <c r="J353" i="2"/>
  <c r="I353" i="2"/>
  <c r="G353" i="2"/>
  <c r="F353" i="2"/>
  <c r="E353" i="2"/>
  <c r="T352" i="2"/>
  <c r="O352" i="2"/>
  <c r="N352" i="2"/>
  <c r="M352" i="2"/>
  <c r="L352" i="2"/>
  <c r="J352" i="2"/>
  <c r="I352" i="2"/>
  <c r="G352" i="2"/>
  <c r="F352" i="2"/>
  <c r="E352" i="2"/>
  <c r="T351" i="2"/>
  <c r="O351" i="2"/>
  <c r="N351" i="2"/>
  <c r="M351" i="2"/>
  <c r="L351" i="2"/>
  <c r="J351" i="2"/>
  <c r="I351" i="2"/>
  <c r="G351" i="2"/>
  <c r="F351" i="2"/>
  <c r="E351" i="2"/>
  <c r="T350" i="2"/>
  <c r="O350" i="2"/>
  <c r="N350" i="2"/>
  <c r="M350" i="2"/>
  <c r="J350" i="2"/>
  <c r="I350" i="2"/>
  <c r="G350" i="2"/>
  <c r="F350" i="2"/>
  <c r="E350" i="2"/>
  <c r="T349" i="2"/>
  <c r="O349" i="2"/>
  <c r="N349" i="2"/>
  <c r="M349" i="2"/>
  <c r="J349" i="2"/>
  <c r="I349" i="2"/>
  <c r="G349" i="2"/>
  <c r="F349" i="2"/>
  <c r="E349" i="2"/>
  <c r="T348" i="2"/>
  <c r="O348" i="2"/>
  <c r="N348" i="2"/>
  <c r="M348" i="2"/>
  <c r="L348" i="2"/>
  <c r="J348" i="2"/>
  <c r="I348" i="2"/>
  <c r="G348" i="2"/>
  <c r="F348" i="2"/>
  <c r="E348" i="2"/>
  <c r="T347" i="2"/>
  <c r="O347" i="2"/>
  <c r="N347" i="2"/>
  <c r="M347" i="2"/>
  <c r="L347" i="2"/>
  <c r="J347" i="2"/>
  <c r="I347" i="2"/>
  <c r="G347" i="2"/>
  <c r="F347" i="2"/>
  <c r="E347" i="2"/>
  <c r="T346" i="2"/>
  <c r="O346" i="2"/>
  <c r="N346" i="2"/>
  <c r="M346" i="2"/>
  <c r="J346" i="2"/>
  <c r="I346" i="2"/>
  <c r="G346" i="2"/>
  <c r="F346" i="2"/>
  <c r="E346" i="2"/>
  <c r="T345" i="2"/>
  <c r="O345" i="2"/>
  <c r="N345" i="2"/>
  <c r="M345" i="2"/>
  <c r="L345" i="2"/>
  <c r="J345" i="2"/>
  <c r="I345" i="2"/>
  <c r="G345" i="2"/>
  <c r="F345" i="2"/>
  <c r="E345" i="2"/>
  <c r="C345" i="2"/>
  <c r="T344" i="2"/>
  <c r="O344" i="2"/>
  <c r="N344" i="2"/>
  <c r="M344" i="2"/>
  <c r="J344" i="2"/>
  <c r="I344" i="2"/>
  <c r="G344" i="2"/>
  <c r="F344" i="2"/>
  <c r="E344" i="2"/>
  <c r="T343" i="2"/>
  <c r="O343" i="2"/>
  <c r="N343" i="2"/>
  <c r="M343" i="2"/>
  <c r="J343" i="2"/>
  <c r="I343" i="2"/>
  <c r="G343" i="2"/>
  <c r="F343" i="2"/>
  <c r="E343" i="2"/>
  <c r="T342" i="2"/>
  <c r="O342" i="2"/>
  <c r="N342" i="2"/>
  <c r="M342" i="2"/>
  <c r="L342" i="2"/>
  <c r="J342" i="2"/>
  <c r="I342" i="2"/>
  <c r="G342" i="2"/>
  <c r="F342" i="2"/>
  <c r="E342" i="2"/>
  <c r="T341" i="2"/>
  <c r="O341" i="2"/>
  <c r="N341" i="2"/>
  <c r="M341" i="2"/>
  <c r="L341" i="2"/>
  <c r="J341" i="2"/>
  <c r="I341" i="2"/>
  <c r="G341" i="2"/>
  <c r="F341" i="2"/>
  <c r="E341" i="2"/>
  <c r="T340" i="2"/>
  <c r="O340" i="2"/>
  <c r="N340" i="2"/>
  <c r="M340" i="2"/>
  <c r="J340" i="2"/>
  <c r="I340" i="2"/>
  <c r="G340" i="2"/>
  <c r="F340" i="2"/>
  <c r="E340" i="2"/>
  <c r="T339" i="2"/>
  <c r="L339" i="2"/>
  <c r="L353" i="2" s="1"/>
  <c r="K339" i="2"/>
  <c r="T338" i="2"/>
  <c r="G338" i="2"/>
  <c r="F338" i="2"/>
  <c r="E338" i="2"/>
  <c r="C338" i="2"/>
  <c r="T337" i="2"/>
  <c r="G337" i="2"/>
  <c r="F337" i="2"/>
  <c r="E337" i="2"/>
  <c r="C337" i="2"/>
  <c r="T336" i="2"/>
  <c r="G336" i="2"/>
  <c r="F336" i="2"/>
  <c r="E336" i="2"/>
  <c r="C336" i="2"/>
  <c r="T335" i="2"/>
  <c r="L335" i="2"/>
  <c r="H335" i="2" s="1"/>
  <c r="K335" i="2"/>
  <c r="C335" i="2"/>
  <c r="T334" i="2"/>
  <c r="G334" i="2"/>
  <c r="F334" i="2"/>
  <c r="E334" i="2"/>
  <c r="C334" i="2"/>
  <c r="T333" i="2"/>
  <c r="G333" i="2"/>
  <c r="F333" i="2"/>
  <c r="E333" i="2"/>
  <c r="D333" i="2"/>
  <c r="C333" i="2"/>
  <c r="T332" i="2"/>
  <c r="G332" i="2"/>
  <c r="F332" i="2"/>
  <c r="E332" i="2"/>
  <c r="D332" i="2"/>
  <c r="C332" i="2"/>
  <c r="T331" i="2"/>
  <c r="G331" i="2"/>
  <c r="F331" i="2"/>
  <c r="E331" i="2"/>
  <c r="C331" i="2"/>
  <c r="T330" i="2"/>
  <c r="G330" i="2"/>
  <c r="F330" i="2"/>
  <c r="E330" i="2"/>
  <c r="C330" i="2"/>
  <c r="T329" i="2"/>
  <c r="N329" i="2"/>
  <c r="M329" i="2"/>
  <c r="K329" i="2"/>
  <c r="J329" i="2"/>
  <c r="I329" i="2"/>
  <c r="G329" i="2"/>
  <c r="F329" i="2"/>
  <c r="T328" i="2"/>
  <c r="N328" i="2"/>
  <c r="M328" i="2"/>
  <c r="L328" i="2"/>
  <c r="K328" i="2"/>
  <c r="J328" i="2"/>
  <c r="I328" i="2"/>
  <c r="G328" i="2"/>
  <c r="F328" i="2"/>
  <c r="E328" i="2"/>
  <c r="T327" i="2"/>
  <c r="N327" i="2"/>
  <c r="M327" i="2"/>
  <c r="J327" i="2"/>
  <c r="I327" i="2"/>
  <c r="G327" i="2"/>
  <c r="F327" i="2"/>
  <c r="E327" i="2"/>
  <c r="T326" i="2"/>
  <c r="L326" i="2"/>
  <c r="H326" i="2" s="1"/>
  <c r="K326" i="2"/>
  <c r="K327" i="2" s="1"/>
  <c r="T325" i="2"/>
  <c r="G325" i="2"/>
  <c r="F325" i="2"/>
  <c r="E325" i="2"/>
  <c r="C325" i="2"/>
  <c r="T324" i="2"/>
  <c r="G324" i="2"/>
  <c r="F324" i="2"/>
  <c r="E324" i="2"/>
  <c r="C324" i="2"/>
  <c r="T323" i="2"/>
  <c r="G323" i="2"/>
  <c r="F323" i="2"/>
  <c r="E323" i="2"/>
  <c r="D323" i="2"/>
  <c r="D324" i="2" s="1"/>
  <c r="C323" i="2"/>
  <c r="T322" i="2"/>
  <c r="G322" i="2"/>
  <c r="F322" i="2"/>
  <c r="E322" i="2"/>
  <c r="C322" i="2"/>
  <c r="T321" i="2"/>
  <c r="G321" i="2"/>
  <c r="F321" i="2"/>
  <c r="E321" i="2"/>
  <c r="C321" i="2"/>
  <c r="T320" i="2"/>
  <c r="N320" i="2"/>
  <c r="M320" i="2"/>
  <c r="L320" i="2"/>
  <c r="K320" i="2"/>
  <c r="J320" i="2"/>
  <c r="I320" i="2"/>
  <c r="G320" i="2"/>
  <c r="F320" i="2"/>
  <c r="T319" i="2"/>
  <c r="N319" i="2"/>
  <c r="M319" i="2"/>
  <c r="J319" i="2"/>
  <c r="I319" i="2"/>
  <c r="G319" i="2"/>
  <c r="F319" i="2"/>
  <c r="E319" i="2"/>
  <c r="T318" i="2"/>
  <c r="N318" i="2"/>
  <c r="M318" i="2"/>
  <c r="K318" i="2"/>
  <c r="J318" i="2"/>
  <c r="I318" i="2"/>
  <c r="G318" i="2"/>
  <c r="F318" i="2"/>
  <c r="E318" i="2"/>
  <c r="T317" i="2"/>
  <c r="L317" i="2"/>
  <c r="L319" i="2" s="1"/>
  <c r="K317" i="2"/>
  <c r="K319" i="2" s="1"/>
  <c r="T316" i="2"/>
  <c r="G316" i="2"/>
  <c r="F316" i="2"/>
  <c r="E316" i="2"/>
  <c r="C316" i="2"/>
  <c r="T315" i="2"/>
  <c r="G315" i="2"/>
  <c r="F315" i="2"/>
  <c r="E315" i="2"/>
  <c r="D315" i="2"/>
  <c r="C315" i="2"/>
  <c r="T314" i="2"/>
  <c r="G314" i="2"/>
  <c r="F314" i="2"/>
  <c r="E314" i="2"/>
  <c r="C314" i="2"/>
  <c r="T313" i="2"/>
  <c r="G313" i="2"/>
  <c r="F313" i="2"/>
  <c r="E313" i="2"/>
  <c r="D313" i="2"/>
  <c r="D314" i="2" s="1"/>
  <c r="C313" i="2"/>
  <c r="T312" i="2"/>
  <c r="G312" i="2"/>
  <c r="F312" i="2"/>
  <c r="E312" i="2"/>
  <c r="C312" i="2"/>
  <c r="T311" i="2"/>
  <c r="G311" i="2"/>
  <c r="F311" i="2"/>
  <c r="E311" i="2"/>
  <c r="C311" i="2"/>
  <c r="T310" i="2"/>
  <c r="N310" i="2"/>
  <c r="M310" i="2"/>
  <c r="J310" i="2"/>
  <c r="I310" i="2"/>
  <c r="G310" i="2"/>
  <c r="F310" i="2"/>
  <c r="E310" i="2"/>
  <c r="T309" i="2"/>
  <c r="N309" i="2"/>
  <c r="M309" i="2"/>
  <c r="K309" i="2"/>
  <c r="J309" i="2"/>
  <c r="I309" i="2"/>
  <c r="G309" i="2"/>
  <c r="F309" i="2"/>
  <c r="T308" i="2"/>
  <c r="N308" i="2"/>
  <c r="M308" i="2"/>
  <c r="J308" i="2"/>
  <c r="I308" i="2"/>
  <c r="G308" i="2"/>
  <c r="F308" i="2"/>
  <c r="E308" i="2"/>
  <c r="T307" i="2"/>
  <c r="L307" i="2"/>
  <c r="K307" i="2"/>
  <c r="H307" i="2" s="1"/>
  <c r="T306" i="2"/>
  <c r="G306" i="2"/>
  <c r="F306" i="2"/>
  <c r="E306" i="2"/>
  <c r="C306" i="2"/>
  <c r="T305" i="2"/>
  <c r="G305" i="2"/>
  <c r="F305" i="2"/>
  <c r="E305" i="2"/>
  <c r="C305" i="2"/>
  <c r="T304" i="2"/>
  <c r="N304" i="2"/>
  <c r="M304" i="2"/>
  <c r="J304" i="2"/>
  <c r="I304" i="2"/>
  <c r="G304" i="2"/>
  <c r="F304" i="2"/>
  <c r="T303" i="2"/>
  <c r="N303" i="2"/>
  <c r="M303" i="2"/>
  <c r="J303" i="2"/>
  <c r="I303" i="2"/>
  <c r="G303" i="2"/>
  <c r="F303" i="2"/>
  <c r="E303" i="2"/>
  <c r="T302" i="2"/>
  <c r="L302" i="2"/>
  <c r="L308" i="2" s="1"/>
  <c r="K302" i="2"/>
  <c r="K308" i="2" s="1"/>
  <c r="T301" i="2"/>
  <c r="G301" i="2"/>
  <c r="F301" i="2"/>
  <c r="E301" i="2"/>
  <c r="C301" i="2"/>
  <c r="T300" i="2"/>
  <c r="G300" i="2"/>
  <c r="F300" i="2"/>
  <c r="E300" i="2"/>
  <c r="D300" i="2"/>
  <c r="C300" i="2"/>
  <c r="T299" i="2"/>
  <c r="G299" i="2"/>
  <c r="F299" i="2"/>
  <c r="E299" i="2"/>
  <c r="D299" i="2"/>
  <c r="C299" i="2"/>
  <c r="T298" i="2"/>
  <c r="G298" i="2"/>
  <c r="F298" i="2"/>
  <c r="E298" i="2"/>
  <c r="D298" i="2"/>
  <c r="C298" i="2"/>
  <c r="T297" i="2"/>
  <c r="G297" i="2"/>
  <c r="F297" i="2"/>
  <c r="E297" i="2"/>
  <c r="D297" i="2"/>
  <c r="C297" i="2"/>
  <c r="T296" i="2"/>
  <c r="G296" i="2"/>
  <c r="F296" i="2"/>
  <c r="E296" i="2"/>
  <c r="C296" i="2"/>
  <c r="T295" i="2"/>
  <c r="G295" i="2"/>
  <c r="F295" i="2"/>
  <c r="E295" i="2"/>
  <c r="C295" i="2"/>
  <c r="T294" i="2"/>
  <c r="N294" i="2"/>
  <c r="M294" i="2"/>
  <c r="L294" i="2"/>
  <c r="J294" i="2"/>
  <c r="I294" i="2"/>
  <c r="G294" i="2"/>
  <c r="F294" i="2"/>
  <c r="T293" i="2"/>
  <c r="N293" i="2"/>
  <c r="M293" i="2"/>
  <c r="L293" i="2"/>
  <c r="J293" i="2"/>
  <c r="I293" i="2"/>
  <c r="G293" i="2"/>
  <c r="F293" i="2"/>
  <c r="E293" i="2"/>
  <c r="T292" i="2"/>
  <c r="N292" i="2"/>
  <c r="M292" i="2"/>
  <c r="L292" i="2"/>
  <c r="J292" i="2"/>
  <c r="I292" i="2"/>
  <c r="G292" i="2"/>
  <c r="F292" i="2"/>
  <c r="E292" i="2"/>
  <c r="T291" i="2"/>
  <c r="L291" i="2"/>
  <c r="K291" i="2"/>
  <c r="T290" i="2"/>
  <c r="G290" i="2"/>
  <c r="F290" i="2"/>
  <c r="E290" i="2"/>
  <c r="C290" i="2"/>
  <c r="T289" i="2"/>
  <c r="G289" i="2"/>
  <c r="F289" i="2"/>
  <c r="E289" i="2"/>
  <c r="C289" i="2"/>
  <c r="T288" i="2"/>
  <c r="G288" i="2"/>
  <c r="F288" i="2"/>
  <c r="E288" i="2"/>
  <c r="D288" i="2"/>
  <c r="D289" i="2" s="1"/>
  <c r="C288" i="2"/>
  <c r="T287" i="2"/>
  <c r="G287" i="2"/>
  <c r="F287" i="2"/>
  <c r="E287" i="2"/>
  <c r="C287" i="2"/>
  <c r="T286" i="2"/>
  <c r="G286" i="2"/>
  <c r="F286" i="2"/>
  <c r="E286" i="2"/>
  <c r="C286" i="2"/>
  <c r="T285" i="2"/>
  <c r="N285" i="2"/>
  <c r="M285" i="2"/>
  <c r="J285" i="2"/>
  <c r="I285" i="2"/>
  <c r="G285" i="2"/>
  <c r="F285" i="2"/>
  <c r="T284" i="2"/>
  <c r="N284" i="2"/>
  <c r="M284" i="2"/>
  <c r="K284" i="2"/>
  <c r="J284" i="2"/>
  <c r="I284" i="2"/>
  <c r="G284" i="2"/>
  <c r="F284" i="2"/>
  <c r="E284" i="2"/>
  <c r="T283" i="2"/>
  <c r="L283" i="2"/>
  <c r="K283" i="2"/>
  <c r="K285" i="2" s="1"/>
  <c r="H283" i="2"/>
  <c r="H284" i="2" s="1"/>
  <c r="C284" i="2" s="1"/>
  <c r="T282" i="2"/>
  <c r="G282" i="2"/>
  <c r="F282" i="2"/>
  <c r="E282" i="2"/>
  <c r="C282" i="2"/>
  <c r="T281" i="2"/>
  <c r="G281" i="2"/>
  <c r="F281" i="2"/>
  <c r="E281" i="2"/>
  <c r="C281" i="2"/>
  <c r="T280" i="2"/>
  <c r="G280" i="2"/>
  <c r="F280" i="2"/>
  <c r="E280" i="2"/>
  <c r="D280" i="2"/>
  <c r="D281" i="2" s="1"/>
  <c r="C280" i="2"/>
  <c r="T279" i="2"/>
  <c r="G279" i="2"/>
  <c r="F279" i="2"/>
  <c r="E279" i="2"/>
  <c r="C279" i="2"/>
  <c r="T278" i="2"/>
  <c r="G278" i="2"/>
  <c r="F278" i="2"/>
  <c r="E278" i="2"/>
  <c r="C278" i="2"/>
  <c r="T277" i="2"/>
  <c r="N277" i="2"/>
  <c r="M277" i="2"/>
  <c r="L277" i="2"/>
  <c r="K277" i="2"/>
  <c r="J277" i="2"/>
  <c r="I277" i="2"/>
  <c r="G277" i="2"/>
  <c r="F277" i="2"/>
  <c r="T276" i="2"/>
  <c r="N276" i="2"/>
  <c r="M276" i="2"/>
  <c r="J276" i="2"/>
  <c r="I276" i="2"/>
  <c r="G276" i="2"/>
  <c r="F276" i="2"/>
  <c r="E276" i="2"/>
  <c r="T275" i="2"/>
  <c r="N275" i="2"/>
  <c r="M275" i="2"/>
  <c r="K275" i="2"/>
  <c r="J275" i="2"/>
  <c r="I275" i="2"/>
  <c r="G275" i="2"/>
  <c r="F275" i="2"/>
  <c r="E275" i="2"/>
  <c r="T274" i="2"/>
  <c r="L274" i="2"/>
  <c r="L276" i="2" s="1"/>
  <c r="K274" i="2"/>
  <c r="K276" i="2" s="1"/>
  <c r="T273" i="2"/>
  <c r="G273" i="2"/>
  <c r="F273" i="2"/>
  <c r="E273" i="2"/>
  <c r="C273" i="2"/>
  <c r="T272" i="2"/>
  <c r="G272" i="2"/>
  <c r="F272" i="2"/>
  <c r="E272" i="2"/>
  <c r="C272" i="2"/>
  <c r="T271" i="2"/>
  <c r="G271" i="2"/>
  <c r="F271" i="2"/>
  <c r="E271" i="2"/>
  <c r="C271" i="2"/>
  <c r="T270" i="2"/>
  <c r="G270" i="2"/>
  <c r="F270" i="2"/>
  <c r="E270" i="2"/>
  <c r="C270" i="2"/>
  <c r="T269" i="2"/>
  <c r="G269" i="2"/>
  <c r="F269" i="2"/>
  <c r="E269" i="2"/>
  <c r="C269" i="2"/>
  <c r="T268" i="2"/>
  <c r="N268" i="2"/>
  <c r="M268" i="2"/>
  <c r="K268" i="2"/>
  <c r="J268" i="2"/>
  <c r="I268" i="2"/>
  <c r="G268" i="2"/>
  <c r="F268" i="2"/>
  <c r="T267" i="2"/>
  <c r="N267" i="2"/>
  <c r="M267" i="2"/>
  <c r="K267" i="2"/>
  <c r="J267" i="2"/>
  <c r="I267" i="2"/>
  <c r="G267" i="2"/>
  <c r="F267" i="2"/>
  <c r="E267" i="2"/>
  <c r="T266" i="2"/>
  <c r="L266" i="2"/>
  <c r="K266" i="2"/>
  <c r="T265" i="2"/>
  <c r="G265" i="2"/>
  <c r="F265" i="2"/>
  <c r="E265" i="2"/>
  <c r="C265" i="2"/>
  <c r="T264" i="2"/>
  <c r="G264" i="2"/>
  <c r="F264" i="2"/>
  <c r="E264" i="2"/>
  <c r="D264" i="2"/>
  <c r="C264" i="2"/>
  <c r="T263" i="2"/>
  <c r="G263" i="2"/>
  <c r="F263" i="2"/>
  <c r="E263" i="2"/>
  <c r="D263" i="2"/>
  <c r="C263" i="2"/>
  <c r="T262" i="2"/>
  <c r="G262" i="2"/>
  <c r="F262" i="2"/>
  <c r="E262" i="2"/>
  <c r="C262" i="2"/>
  <c r="T261" i="2"/>
  <c r="G261" i="2"/>
  <c r="F261" i="2"/>
  <c r="E261" i="2"/>
  <c r="C261" i="2"/>
  <c r="T260" i="2"/>
  <c r="G260" i="2"/>
  <c r="F260" i="2"/>
  <c r="E260" i="2"/>
  <c r="C260" i="2"/>
  <c r="T259" i="2"/>
  <c r="N259" i="2"/>
  <c r="M259" i="2"/>
  <c r="K259" i="2"/>
  <c r="J259" i="2"/>
  <c r="I259" i="2"/>
  <c r="G259" i="2"/>
  <c r="F259" i="2"/>
  <c r="E259" i="2"/>
  <c r="T258" i="2"/>
  <c r="N258" i="2"/>
  <c r="M258" i="2"/>
  <c r="K258" i="2"/>
  <c r="J258" i="2"/>
  <c r="I258" i="2"/>
  <c r="G258" i="2"/>
  <c r="F258" i="2"/>
  <c r="T257" i="2"/>
  <c r="N257" i="2"/>
  <c r="M257" i="2"/>
  <c r="K257" i="2"/>
  <c r="J257" i="2"/>
  <c r="I257" i="2"/>
  <c r="G257" i="2"/>
  <c r="F257" i="2"/>
  <c r="E257" i="2"/>
  <c r="T256" i="2"/>
  <c r="L256" i="2"/>
  <c r="K256" i="2"/>
  <c r="T255" i="2"/>
  <c r="G255" i="2"/>
  <c r="F255" i="2"/>
  <c r="E255" i="2"/>
  <c r="D255" i="2"/>
  <c r="C255" i="2"/>
  <c r="T254" i="2"/>
  <c r="G254" i="2"/>
  <c r="F254" i="2"/>
  <c r="E254" i="2"/>
  <c r="C254" i="2"/>
  <c r="T253" i="2"/>
  <c r="G253" i="2"/>
  <c r="F253" i="2"/>
  <c r="E253" i="2"/>
  <c r="D253" i="2"/>
  <c r="D254" i="2" s="1"/>
  <c r="C253" i="2"/>
  <c r="T252" i="2"/>
  <c r="G252" i="2"/>
  <c r="F252" i="2"/>
  <c r="E252" i="2"/>
  <c r="T251" i="2"/>
  <c r="G251" i="2"/>
  <c r="F251" i="2"/>
  <c r="E251" i="2"/>
  <c r="T250" i="2"/>
  <c r="O250" i="2"/>
  <c r="N250" i="2"/>
  <c r="M250" i="2"/>
  <c r="K250" i="2"/>
  <c r="J250" i="2"/>
  <c r="I250" i="2"/>
  <c r="G250" i="2"/>
  <c r="F250" i="2"/>
  <c r="T249" i="2"/>
  <c r="O249" i="2"/>
  <c r="N249" i="2"/>
  <c r="M249" i="2"/>
  <c r="J249" i="2"/>
  <c r="I249" i="2"/>
  <c r="G249" i="2"/>
  <c r="F249" i="2"/>
  <c r="E249" i="2"/>
  <c r="T248" i="2"/>
  <c r="L248" i="2"/>
  <c r="L249" i="2" s="1"/>
  <c r="K248" i="2"/>
  <c r="T247" i="2"/>
  <c r="G247" i="2"/>
  <c r="F247" i="2"/>
  <c r="E247" i="2"/>
  <c r="C247" i="2"/>
  <c r="T246" i="2"/>
  <c r="R246" i="2"/>
  <c r="Q246" i="2"/>
  <c r="N246" i="2"/>
  <c r="M246" i="2"/>
  <c r="J246" i="2"/>
  <c r="I246" i="2"/>
  <c r="G246" i="2"/>
  <c r="F246" i="2"/>
  <c r="E246" i="2"/>
  <c r="T245" i="2"/>
  <c r="R245" i="2"/>
  <c r="Q245" i="2"/>
  <c r="N245" i="2"/>
  <c r="M245" i="2"/>
  <c r="L245" i="2"/>
  <c r="J245" i="2"/>
  <c r="I245" i="2"/>
  <c r="G245" i="2"/>
  <c r="F245" i="2"/>
  <c r="T244" i="2"/>
  <c r="L244" i="2"/>
  <c r="K244" i="2"/>
  <c r="T243" i="2"/>
  <c r="G243" i="2"/>
  <c r="F243" i="2"/>
  <c r="E243" i="2"/>
  <c r="C243" i="2"/>
  <c r="T242" i="2"/>
  <c r="G242" i="2"/>
  <c r="F242" i="2"/>
  <c r="E242" i="2"/>
  <c r="D242" i="2"/>
  <c r="C242" i="2"/>
  <c r="T241" i="2"/>
  <c r="G241" i="2"/>
  <c r="F241" i="2"/>
  <c r="E241" i="2"/>
  <c r="C241" i="2"/>
  <c r="T240" i="2"/>
  <c r="G240" i="2"/>
  <c r="F240" i="2"/>
  <c r="E240" i="2"/>
  <c r="D240" i="2"/>
  <c r="D241" i="2" s="1"/>
  <c r="C240" i="2"/>
  <c r="T239" i="2"/>
  <c r="G239" i="2"/>
  <c r="F239" i="2"/>
  <c r="E239" i="2"/>
  <c r="C239" i="2"/>
  <c r="T238" i="2"/>
  <c r="G238" i="2"/>
  <c r="F238" i="2"/>
  <c r="E238" i="2"/>
  <c r="C238" i="2"/>
  <c r="T237" i="2"/>
  <c r="N237" i="2"/>
  <c r="M237" i="2"/>
  <c r="J237" i="2"/>
  <c r="I237" i="2"/>
  <c r="G237" i="2"/>
  <c r="F237" i="2"/>
  <c r="E237" i="2"/>
  <c r="T236" i="2"/>
  <c r="N236" i="2"/>
  <c r="M236" i="2"/>
  <c r="J236" i="2"/>
  <c r="I236" i="2"/>
  <c r="G236" i="2"/>
  <c r="F236" i="2"/>
  <c r="T235" i="2"/>
  <c r="N235" i="2"/>
  <c r="M235" i="2"/>
  <c r="J235" i="2"/>
  <c r="I235" i="2"/>
  <c r="G235" i="2"/>
  <c r="F235" i="2"/>
  <c r="E235" i="2"/>
  <c r="T234" i="2"/>
  <c r="L234" i="2"/>
  <c r="L236" i="2" s="1"/>
  <c r="K234" i="2"/>
  <c r="T233" i="2"/>
  <c r="G233" i="2"/>
  <c r="F233" i="2"/>
  <c r="E233" i="2"/>
  <c r="C233" i="2"/>
  <c r="T232" i="2"/>
  <c r="G232" i="2"/>
  <c r="F232" i="2"/>
  <c r="E232" i="2"/>
  <c r="D232" i="2"/>
  <c r="C232" i="2"/>
  <c r="T231" i="2"/>
  <c r="G231" i="2"/>
  <c r="F231" i="2"/>
  <c r="E231" i="2"/>
  <c r="D231" i="2"/>
  <c r="C231" i="2"/>
  <c r="T230" i="2"/>
  <c r="G230" i="2"/>
  <c r="F230" i="2"/>
  <c r="E230" i="2"/>
  <c r="D230" i="2"/>
  <c r="C230" i="2"/>
  <c r="T229" i="2"/>
  <c r="G229" i="2"/>
  <c r="F229" i="2"/>
  <c r="E229" i="2"/>
  <c r="C229" i="2"/>
  <c r="T228" i="2"/>
  <c r="G228" i="2"/>
  <c r="F228" i="2"/>
  <c r="E228" i="2"/>
  <c r="C228" i="2"/>
  <c r="T227" i="2"/>
  <c r="N227" i="2"/>
  <c r="M227" i="2"/>
  <c r="J227" i="2"/>
  <c r="I227" i="2"/>
  <c r="G227" i="2"/>
  <c r="F227" i="2"/>
  <c r="E227" i="2"/>
  <c r="T226" i="2"/>
  <c r="N226" i="2"/>
  <c r="M226" i="2"/>
  <c r="K226" i="2"/>
  <c r="J226" i="2"/>
  <c r="I226" i="2"/>
  <c r="G226" i="2"/>
  <c r="F226" i="2"/>
  <c r="T225" i="2"/>
  <c r="N225" i="2"/>
  <c r="M225" i="2"/>
  <c r="K225" i="2"/>
  <c r="J225" i="2"/>
  <c r="I225" i="2"/>
  <c r="G225" i="2"/>
  <c r="F225" i="2"/>
  <c r="E225" i="2"/>
  <c r="T224" i="2"/>
  <c r="L224" i="2"/>
  <c r="H224" i="2" s="1"/>
  <c r="H226" i="2" s="1"/>
  <c r="C226" i="2" s="1"/>
  <c r="K224" i="2"/>
  <c r="T223" i="2"/>
  <c r="G223" i="2"/>
  <c r="F223" i="2"/>
  <c r="E223" i="2"/>
  <c r="C223" i="2"/>
  <c r="T222" i="2"/>
  <c r="G222" i="2"/>
  <c r="F222" i="2"/>
  <c r="E222" i="2"/>
  <c r="D222" i="2"/>
  <c r="C222" i="2"/>
  <c r="T221" i="2"/>
  <c r="G221" i="2"/>
  <c r="F221" i="2"/>
  <c r="E221" i="2"/>
  <c r="C221" i="2"/>
  <c r="T220" i="2"/>
  <c r="G220" i="2"/>
  <c r="F220" i="2"/>
  <c r="E220" i="2"/>
  <c r="D220" i="2"/>
  <c r="C220" i="2"/>
  <c r="T219" i="2"/>
  <c r="G219" i="2"/>
  <c r="F219" i="2"/>
  <c r="E219" i="2"/>
  <c r="D219" i="2"/>
  <c r="D221" i="2" s="1"/>
  <c r="C219" i="2"/>
  <c r="T218" i="2"/>
  <c r="G218" i="2"/>
  <c r="F218" i="2"/>
  <c r="E218" i="2"/>
  <c r="C218" i="2"/>
  <c r="T217" i="2"/>
  <c r="G217" i="2"/>
  <c r="F217" i="2"/>
  <c r="E217" i="2"/>
  <c r="C217" i="2"/>
  <c r="T216" i="2"/>
  <c r="N216" i="2"/>
  <c r="M216" i="2"/>
  <c r="K216" i="2"/>
  <c r="J216" i="2"/>
  <c r="I216" i="2"/>
  <c r="G216" i="2"/>
  <c r="F216" i="2"/>
  <c r="T215" i="2"/>
  <c r="N215" i="2"/>
  <c r="M215" i="2"/>
  <c r="J215" i="2"/>
  <c r="I215" i="2"/>
  <c r="G215" i="2"/>
  <c r="F215" i="2"/>
  <c r="E215" i="2"/>
  <c r="T214" i="2"/>
  <c r="N214" i="2"/>
  <c r="M214" i="2"/>
  <c r="L214" i="2"/>
  <c r="J214" i="2"/>
  <c r="I214" i="2"/>
  <c r="G214" i="2"/>
  <c r="F214" i="2"/>
  <c r="E214" i="2"/>
  <c r="T213" i="2"/>
  <c r="L213" i="2"/>
  <c r="K213" i="2"/>
  <c r="T212" i="2"/>
  <c r="G212" i="2"/>
  <c r="F212" i="2"/>
  <c r="E212" i="2"/>
  <c r="C212" i="2"/>
  <c r="T211" i="2"/>
  <c r="G211" i="2"/>
  <c r="F211" i="2"/>
  <c r="E211" i="2"/>
  <c r="C211" i="2"/>
  <c r="T210" i="2"/>
  <c r="G210" i="2"/>
  <c r="F210" i="2"/>
  <c r="E210" i="2"/>
  <c r="C210" i="2"/>
  <c r="T209" i="2"/>
  <c r="G209" i="2"/>
  <c r="F209" i="2"/>
  <c r="E209" i="2"/>
  <c r="C209" i="2"/>
  <c r="T208" i="2"/>
  <c r="G208" i="2"/>
  <c r="F208" i="2"/>
  <c r="E208" i="2"/>
  <c r="C208" i="2"/>
  <c r="T207" i="2"/>
  <c r="N207" i="2"/>
  <c r="M207" i="2"/>
  <c r="L207" i="2"/>
  <c r="J207" i="2"/>
  <c r="I207" i="2"/>
  <c r="G207" i="2"/>
  <c r="F207" i="2"/>
  <c r="T206" i="2"/>
  <c r="N206" i="2"/>
  <c r="M206" i="2"/>
  <c r="L206" i="2"/>
  <c r="J206" i="2"/>
  <c r="I206" i="2"/>
  <c r="G206" i="2"/>
  <c r="F206" i="2"/>
  <c r="E206" i="2"/>
  <c r="T205" i="2"/>
  <c r="L205" i="2"/>
  <c r="K205" i="2"/>
  <c r="T204" i="2"/>
  <c r="G204" i="2"/>
  <c r="F204" i="2"/>
  <c r="E204" i="2"/>
  <c r="C204" i="2"/>
  <c r="T203" i="2"/>
  <c r="G203" i="2"/>
  <c r="F203" i="2"/>
  <c r="E203" i="2"/>
  <c r="C203" i="2"/>
  <c r="T202" i="2"/>
  <c r="G202" i="2"/>
  <c r="F202" i="2"/>
  <c r="E202" i="2"/>
  <c r="C202" i="2"/>
  <c r="T201" i="2"/>
  <c r="G201" i="2"/>
  <c r="F201" i="2"/>
  <c r="E201" i="2"/>
  <c r="C201" i="2"/>
  <c r="T200" i="2"/>
  <c r="G200" i="2"/>
  <c r="F200" i="2"/>
  <c r="E200" i="2"/>
  <c r="C200" i="2"/>
  <c r="T199" i="2"/>
  <c r="N199" i="2"/>
  <c r="M199" i="2"/>
  <c r="K199" i="2"/>
  <c r="J199" i="2"/>
  <c r="I199" i="2"/>
  <c r="G199" i="2"/>
  <c r="F199" i="2"/>
  <c r="T198" i="2"/>
  <c r="N198" i="2"/>
  <c r="M198" i="2"/>
  <c r="L198" i="2"/>
  <c r="K198" i="2"/>
  <c r="J198" i="2"/>
  <c r="I198" i="2"/>
  <c r="G198" i="2"/>
  <c r="F198" i="2"/>
  <c r="E198" i="2"/>
  <c r="T197" i="2"/>
  <c r="N197" i="2"/>
  <c r="M197" i="2"/>
  <c r="K197" i="2"/>
  <c r="J197" i="2"/>
  <c r="I197" i="2"/>
  <c r="G197" i="2"/>
  <c r="F197" i="2"/>
  <c r="E197" i="2"/>
  <c r="T196" i="2"/>
  <c r="L196" i="2"/>
  <c r="H196" i="2" s="1"/>
  <c r="K196" i="2"/>
  <c r="T195" i="2"/>
  <c r="G195" i="2"/>
  <c r="F195" i="2"/>
  <c r="E195" i="2"/>
  <c r="C195" i="2"/>
  <c r="T194" i="2"/>
  <c r="G194" i="2"/>
  <c r="F194" i="2"/>
  <c r="E194" i="2"/>
  <c r="C194" i="2"/>
  <c r="T193" i="2"/>
  <c r="G193" i="2"/>
  <c r="F193" i="2"/>
  <c r="E193" i="2"/>
  <c r="C193" i="2"/>
  <c r="T192" i="2"/>
  <c r="G192" i="2"/>
  <c r="F192" i="2"/>
  <c r="E192" i="2"/>
  <c r="C192" i="2"/>
  <c r="T191" i="2"/>
  <c r="G191" i="2"/>
  <c r="F191" i="2"/>
  <c r="E191" i="2"/>
  <c r="C191" i="2"/>
  <c r="T190" i="2"/>
  <c r="N190" i="2"/>
  <c r="M190" i="2"/>
  <c r="K190" i="2"/>
  <c r="J190" i="2"/>
  <c r="I190" i="2"/>
  <c r="G190" i="2"/>
  <c r="F190" i="2"/>
  <c r="T189" i="2"/>
  <c r="N189" i="2"/>
  <c r="M189" i="2"/>
  <c r="K189" i="2"/>
  <c r="J189" i="2"/>
  <c r="I189" i="2"/>
  <c r="G189" i="2"/>
  <c r="F189" i="2"/>
  <c r="E189" i="2"/>
  <c r="T188" i="2"/>
  <c r="L188" i="2"/>
  <c r="K188" i="2"/>
  <c r="T187" i="2"/>
  <c r="G187" i="2"/>
  <c r="F187" i="2"/>
  <c r="E187" i="2"/>
  <c r="C187" i="2"/>
  <c r="T186" i="2"/>
  <c r="G186" i="2"/>
  <c r="F186" i="2"/>
  <c r="E186" i="2"/>
  <c r="D186" i="2"/>
  <c r="C186" i="2"/>
  <c r="T185" i="2"/>
  <c r="G185" i="2"/>
  <c r="F185" i="2"/>
  <c r="E185" i="2"/>
  <c r="C185" i="2"/>
  <c r="T184" i="2"/>
  <c r="G184" i="2"/>
  <c r="F184" i="2"/>
  <c r="E184" i="2"/>
  <c r="C184" i="2"/>
  <c r="T183" i="2"/>
  <c r="G183" i="2"/>
  <c r="F183" i="2"/>
  <c r="E183" i="2"/>
  <c r="C183" i="2"/>
  <c r="T182" i="2"/>
  <c r="G182" i="2"/>
  <c r="F182" i="2"/>
  <c r="E182" i="2"/>
  <c r="C182" i="2"/>
  <c r="T181" i="2"/>
  <c r="G181" i="2"/>
  <c r="F181" i="2"/>
  <c r="E181" i="2"/>
  <c r="C181" i="2"/>
  <c r="T180" i="2"/>
  <c r="G180" i="2"/>
  <c r="F180" i="2"/>
  <c r="E180" i="2"/>
  <c r="C180" i="2"/>
  <c r="T179" i="2"/>
  <c r="G179" i="2"/>
  <c r="F179" i="2"/>
  <c r="E179" i="2"/>
  <c r="T178" i="2"/>
  <c r="G178" i="2"/>
  <c r="F178" i="2"/>
  <c r="E178" i="2"/>
  <c r="T177" i="2"/>
  <c r="G177" i="2"/>
  <c r="F177" i="2"/>
  <c r="E177" i="2"/>
  <c r="T176" i="2"/>
  <c r="G176" i="2"/>
  <c r="F176" i="2"/>
  <c r="E176" i="2"/>
  <c r="T175" i="2"/>
  <c r="N175" i="2"/>
  <c r="M175" i="2"/>
  <c r="L175" i="2"/>
  <c r="J175" i="2"/>
  <c r="I175" i="2"/>
  <c r="G175" i="2"/>
  <c r="F175" i="2"/>
  <c r="E175" i="2"/>
  <c r="T174" i="2"/>
  <c r="L174" i="2"/>
  <c r="H174" i="2" s="1"/>
  <c r="H175" i="2" s="1"/>
  <c r="C175" i="2" s="1"/>
  <c r="K174" i="2"/>
  <c r="T173" i="2"/>
  <c r="G173" i="2"/>
  <c r="F173" i="2"/>
  <c r="E173" i="2"/>
  <c r="C173" i="2"/>
  <c r="T172" i="2"/>
  <c r="G172" i="2"/>
  <c r="F172" i="2"/>
  <c r="E172" i="2"/>
  <c r="C172" i="2"/>
  <c r="T171" i="2"/>
  <c r="G171" i="2"/>
  <c r="F171" i="2"/>
  <c r="E171" i="2"/>
  <c r="C171" i="2"/>
  <c r="T170" i="2"/>
  <c r="G170" i="2"/>
  <c r="F170" i="2"/>
  <c r="E170" i="2"/>
  <c r="C170" i="2"/>
  <c r="T169" i="2"/>
  <c r="G169" i="2"/>
  <c r="F169" i="2"/>
  <c r="E169" i="2"/>
  <c r="C169" i="2"/>
  <c r="T168" i="2"/>
  <c r="G168" i="2"/>
  <c r="F168" i="2"/>
  <c r="E168" i="2"/>
  <c r="C168" i="2"/>
  <c r="T167" i="2"/>
  <c r="N167" i="2"/>
  <c r="M167" i="2"/>
  <c r="J167" i="2"/>
  <c r="I167" i="2"/>
  <c r="G167" i="2"/>
  <c r="F167" i="2"/>
  <c r="E167" i="2"/>
  <c r="T166" i="2"/>
  <c r="N166" i="2"/>
  <c r="M166" i="2"/>
  <c r="L166" i="2"/>
  <c r="J166" i="2"/>
  <c r="I166" i="2"/>
  <c r="G166" i="2"/>
  <c r="F166" i="2"/>
  <c r="T165" i="2"/>
  <c r="N165" i="2"/>
  <c r="M165" i="2"/>
  <c r="L165" i="2"/>
  <c r="J165" i="2"/>
  <c r="I165" i="2"/>
  <c r="G165" i="2"/>
  <c r="F165" i="2"/>
  <c r="E165" i="2"/>
  <c r="T164" i="2"/>
  <c r="L164" i="2"/>
  <c r="K164" i="2"/>
  <c r="T163" i="2"/>
  <c r="G163" i="2"/>
  <c r="F163" i="2"/>
  <c r="E163" i="2"/>
  <c r="C163" i="2"/>
  <c r="T162" i="2"/>
  <c r="G162" i="2"/>
  <c r="F162" i="2"/>
  <c r="E162" i="2"/>
  <c r="C162" i="2"/>
  <c r="T161" i="2"/>
  <c r="G161" i="2"/>
  <c r="F161" i="2"/>
  <c r="E161" i="2"/>
  <c r="C161" i="2"/>
  <c r="T160" i="2"/>
  <c r="G160" i="2"/>
  <c r="F160" i="2"/>
  <c r="E160" i="2"/>
  <c r="D160" i="2"/>
  <c r="C160" i="2"/>
  <c r="T159" i="2"/>
  <c r="G159" i="2"/>
  <c r="F159" i="2"/>
  <c r="E159" i="2"/>
  <c r="C159" i="2"/>
  <c r="T158" i="2"/>
  <c r="O158" i="2"/>
  <c r="M158" i="2"/>
  <c r="L158" i="2"/>
  <c r="J158" i="2"/>
  <c r="G158" i="2"/>
  <c r="F158" i="2"/>
  <c r="T157" i="2"/>
  <c r="O157" i="2"/>
  <c r="N157" i="2"/>
  <c r="N158" i="2" s="1"/>
  <c r="M157" i="2"/>
  <c r="L157" i="2"/>
  <c r="J157" i="2"/>
  <c r="I157" i="2"/>
  <c r="I158" i="2" s="1"/>
  <c r="G157" i="2"/>
  <c r="F157" i="2"/>
  <c r="E157" i="2"/>
  <c r="T156" i="2"/>
  <c r="L156" i="2"/>
  <c r="K156" i="2"/>
  <c r="T155" i="2"/>
  <c r="G155" i="2"/>
  <c r="F155" i="2"/>
  <c r="E155" i="2"/>
  <c r="C155" i="2"/>
  <c r="T154" i="2"/>
  <c r="O154" i="2"/>
  <c r="N154" i="2"/>
  <c r="M154" i="2"/>
  <c r="J154" i="2"/>
  <c r="I154" i="2"/>
  <c r="G154" i="2"/>
  <c r="F154" i="2"/>
  <c r="E154" i="2"/>
  <c r="T153" i="2"/>
  <c r="O153" i="2"/>
  <c r="N153" i="2"/>
  <c r="M153" i="2"/>
  <c r="L153" i="2"/>
  <c r="J153" i="2"/>
  <c r="I153" i="2"/>
  <c r="G153" i="2"/>
  <c r="F153" i="2"/>
  <c r="T152" i="2"/>
  <c r="L152" i="2"/>
  <c r="K152" i="2"/>
  <c r="H152" i="2" s="1"/>
  <c r="T151" i="2"/>
  <c r="G151" i="2"/>
  <c r="F151" i="2"/>
  <c r="E151" i="2"/>
  <c r="C151" i="2"/>
  <c r="T150" i="2"/>
  <c r="G150" i="2"/>
  <c r="F150" i="2"/>
  <c r="E150" i="2"/>
  <c r="D150" i="2"/>
  <c r="C150" i="2"/>
  <c r="T149" i="2"/>
  <c r="G149" i="2"/>
  <c r="F149" i="2"/>
  <c r="E149" i="2"/>
  <c r="D149" i="2"/>
  <c r="D151" i="2" s="1"/>
  <c r="C149" i="2"/>
  <c r="T148" i="2"/>
  <c r="G148" i="2"/>
  <c r="F148" i="2"/>
  <c r="E148" i="2"/>
  <c r="D148" i="2"/>
  <c r="C148" i="2"/>
  <c r="T147" i="2"/>
  <c r="G147" i="2"/>
  <c r="F147" i="2"/>
  <c r="E147" i="2"/>
  <c r="C147" i="2"/>
  <c r="T146" i="2"/>
  <c r="G146" i="2"/>
  <c r="F146" i="2"/>
  <c r="E146" i="2"/>
  <c r="C146" i="2"/>
  <c r="T145" i="2"/>
  <c r="N145" i="2"/>
  <c r="M145" i="2"/>
  <c r="J145" i="2"/>
  <c r="I145" i="2"/>
  <c r="G145" i="2"/>
  <c r="F145" i="2"/>
  <c r="E145" i="2"/>
  <c r="T144" i="2"/>
  <c r="N144" i="2"/>
  <c r="M144" i="2"/>
  <c r="L144" i="2"/>
  <c r="J144" i="2"/>
  <c r="I144" i="2"/>
  <c r="H144" i="2"/>
  <c r="C144" i="2" s="1"/>
  <c r="G144" i="2"/>
  <c r="F144" i="2"/>
  <c r="T143" i="2"/>
  <c r="N143" i="2"/>
  <c r="M143" i="2"/>
  <c r="L143" i="2"/>
  <c r="K143" i="2"/>
  <c r="J143" i="2"/>
  <c r="I143" i="2"/>
  <c r="G143" i="2"/>
  <c r="F143" i="2"/>
  <c r="E143" i="2"/>
  <c r="T142" i="2"/>
  <c r="L142" i="2"/>
  <c r="K142" i="2"/>
  <c r="H142" i="2" s="1"/>
  <c r="T141" i="2"/>
  <c r="G141" i="2"/>
  <c r="F141" i="2"/>
  <c r="E141" i="2"/>
  <c r="C141" i="2"/>
  <c r="T140" i="2"/>
  <c r="G140" i="2"/>
  <c r="F140" i="2"/>
  <c r="E140" i="2"/>
  <c r="C140" i="2"/>
  <c r="T139" i="2"/>
  <c r="G139" i="2"/>
  <c r="F139" i="2"/>
  <c r="E139" i="2"/>
  <c r="D139" i="2"/>
  <c r="D140" i="2" s="1"/>
  <c r="D141" i="2" s="1"/>
  <c r="C139" i="2"/>
  <c r="T138" i="2"/>
  <c r="G138" i="2"/>
  <c r="F138" i="2"/>
  <c r="E138" i="2"/>
  <c r="C138" i="2"/>
  <c r="T137" i="2"/>
  <c r="G137" i="2"/>
  <c r="F137" i="2"/>
  <c r="E137" i="2"/>
  <c r="C137" i="2"/>
  <c r="T136" i="2"/>
  <c r="N136" i="2"/>
  <c r="M136" i="2"/>
  <c r="L136" i="2"/>
  <c r="K136" i="2"/>
  <c r="J136" i="2"/>
  <c r="I136" i="2"/>
  <c r="G136" i="2"/>
  <c r="F136" i="2"/>
  <c r="T135" i="2"/>
  <c r="N135" i="2"/>
  <c r="M135" i="2"/>
  <c r="L135" i="2"/>
  <c r="K135" i="2"/>
  <c r="J135" i="2"/>
  <c r="I135" i="2"/>
  <c r="G135" i="2"/>
  <c r="F135" i="2"/>
  <c r="E135" i="2"/>
  <c r="T134" i="2"/>
  <c r="L134" i="2"/>
  <c r="K134" i="2"/>
  <c r="H134" i="2"/>
  <c r="T133" i="2"/>
  <c r="G133" i="2"/>
  <c r="F133" i="2"/>
  <c r="E133" i="2"/>
  <c r="C133" i="2"/>
  <c r="T132" i="2"/>
  <c r="G132" i="2"/>
  <c r="F132" i="2"/>
  <c r="E132" i="2"/>
  <c r="D132" i="2"/>
  <c r="C132" i="2"/>
  <c r="T131" i="2"/>
  <c r="G131" i="2"/>
  <c r="F131" i="2"/>
  <c r="E131" i="2"/>
  <c r="D131" i="2"/>
  <c r="C131" i="2"/>
  <c r="T130" i="2"/>
  <c r="G130" i="2"/>
  <c r="F130" i="2"/>
  <c r="E130" i="2"/>
  <c r="C130" i="2"/>
  <c r="T129" i="2"/>
  <c r="G129" i="2"/>
  <c r="F129" i="2"/>
  <c r="E129" i="2"/>
  <c r="C129" i="2"/>
  <c r="T128" i="2"/>
  <c r="N128" i="2"/>
  <c r="M128" i="2"/>
  <c r="L128" i="2"/>
  <c r="J128" i="2"/>
  <c r="I128" i="2"/>
  <c r="G128" i="2"/>
  <c r="F128" i="2"/>
  <c r="T127" i="2"/>
  <c r="N127" i="2"/>
  <c r="M127" i="2"/>
  <c r="L127" i="2"/>
  <c r="J127" i="2"/>
  <c r="I127" i="2"/>
  <c r="G127" i="2"/>
  <c r="F127" i="2"/>
  <c r="E127" i="2"/>
  <c r="T126" i="2"/>
  <c r="N126" i="2"/>
  <c r="M126" i="2"/>
  <c r="L126" i="2"/>
  <c r="K126" i="2"/>
  <c r="J126" i="2"/>
  <c r="I126" i="2"/>
  <c r="G126" i="2"/>
  <c r="F126" i="2"/>
  <c r="E126" i="2"/>
  <c r="T125" i="2"/>
  <c r="L125" i="2"/>
  <c r="K125" i="2"/>
  <c r="H125" i="2" s="1"/>
  <c r="T124" i="2"/>
  <c r="G124" i="2"/>
  <c r="F124" i="2"/>
  <c r="E124" i="2"/>
  <c r="C124" i="2"/>
  <c r="T123" i="2"/>
  <c r="G123" i="2"/>
  <c r="F123" i="2"/>
  <c r="E123" i="2"/>
  <c r="C123" i="2"/>
  <c r="T122" i="2"/>
  <c r="G122" i="2"/>
  <c r="F122" i="2"/>
  <c r="E122" i="2"/>
  <c r="D122" i="2"/>
  <c r="D123" i="2" s="1"/>
  <c r="D124" i="2" s="1"/>
  <c r="C122" i="2"/>
  <c r="T121" i="2"/>
  <c r="G121" i="2"/>
  <c r="F121" i="2"/>
  <c r="E121" i="2"/>
  <c r="C121" i="2"/>
  <c r="T120" i="2"/>
  <c r="G120" i="2"/>
  <c r="F120" i="2"/>
  <c r="E120" i="2"/>
  <c r="C120" i="2"/>
  <c r="T119" i="2"/>
  <c r="N119" i="2"/>
  <c r="M119" i="2"/>
  <c r="J119" i="2"/>
  <c r="I119" i="2"/>
  <c r="H119" i="2"/>
  <c r="C119" i="2" s="1"/>
  <c r="G119" i="2"/>
  <c r="F119" i="2"/>
  <c r="T118" i="2"/>
  <c r="N118" i="2"/>
  <c r="M118" i="2"/>
  <c r="K118" i="2"/>
  <c r="J118" i="2"/>
  <c r="I118" i="2"/>
  <c r="G118" i="2"/>
  <c r="F118" i="2"/>
  <c r="E118" i="2"/>
  <c r="T117" i="2"/>
  <c r="L117" i="2"/>
  <c r="L119" i="2" s="1"/>
  <c r="K117" i="2"/>
  <c r="H117" i="2" s="1"/>
  <c r="T116" i="2"/>
  <c r="G116" i="2"/>
  <c r="F116" i="2"/>
  <c r="E116" i="2"/>
  <c r="C116" i="2"/>
  <c r="T115" i="2"/>
  <c r="G115" i="2"/>
  <c r="F115" i="2"/>
  <c r="E115" i="2"/>
  <c r="D115" i="2"/>
  <c r="C115" i="2"/>
  <c r="T114" i="2"/>
  <c r="G114" i="2"/>
  <c r="F114" i="2"/>
  <c r="E114" i="2"/>
  <c r="C114" i="2"/>
  <c r="T113" i="2"/>
  <c r="G113" i="2"/>
  <c r="F113" i="2"/>
  <c r="E113" i="2"/>
  <c r="C113" i="2"/>
  <c r="T112" i="2"/>
  <c r="G112" i="2"/>
  <c r="F112" i="2"/>
  <c r="E112" i="2"/>
  <c r="C112" i="2"/>
  <c r="T111" i="2"/>
  <c r="O111" i="2"/>
  <c r="N111" i="2"/>
  <c r="M111" i="2"/>
  <c r="L111" i="2"/>
  <c r="J111" i="2"/>
  <c r="I111" i="2"/>
  <c r="G111" i="2"/>
  <c r="F111" i="2"/>
  <c r="T110" i="2"/>
  <c r="O110" i="2"/>
  <c r="N110" i="2"/>
  <c r="M110" i="2"/>
  <c r="K110" i="2"/>
  <c r="J110" i="2"/>
  <c r="I110" i="2"/>
  <c r="G110" i="2"/>
  <c r="F110" i="2"/>
  <c r="E110" i="2"/>
  <c r="T109" i="2"/>
  <c r="L109" i="2"/>
  <c r="L110" i="2" s="1"/>
  <c r="K109" i="2"/>
  <c r="H109" i="2" s="1"/>
  <c r="T108" i="2"/>
  <c r="H108" i="2"/>
  <c r="P108" i="2" s="1"/>
  <c r="C108" i="2" s="1"/>
  <c r="G108" i="2"/>
  <c r="F108" i="2"/>
  <c r="E108" i="2"/>
  <c r="T107" i="2"/>
  <c r="G107" i="2"/>
  <c r="F107" i="2"/>
  <c r="E107" i="2"/>
  <c r="T106" i="2"/>
  <c r="G106" i="2"/>
  <c r="F106" i="2"/>
  <c r="E106" i="2"/>
  <c r="T105" i="2"/>
  <c r="H105" i="2"/>
  <c r="C105" i="2" s="1"/>
  <c r="G105" i="2"/>
  <c r="F105" i="2"/>
  <c r="E105" i="2"/>
  <c r="T104" i="2"/>
  <c r="H104" i="2"/>
  <c r="C104" i="2" s="1"/>
  <c r="G104" i="2"/>
  <c r="F104" i="2"/>
  <c r="E104" i="2"/>
  <c r="T103" i="2"/>
  <c r="G103" i="2"/>
  <c r="F103" i="2"/>
  <c r="E103" i="2"/>
  <c r="D103" i="2"/>
  <c r="T102" i="2"/>
  <c r="G102" i="2"/>
  <c r="F102" i="2"/>
  <c r="E102" i="2"/>
  <c r="T101" i="2"/>
  <c r="G101" i="2"/>
  <c r="F101" i="2"/>
  <c r="E101" i="2"/>
  <c r="T100" i="2"/>
  <c r="H100" i="2"/>
  <c r="C100" i="2" s="1"/>
  <c r="G100" i="2"/>
  <c r="F100" i="2"/>
  <c r="E100" i="2"/>
  <c r="T99" i="2"/>
  <c r="G99" i="2"/>
  <c r="F99" i="2"/>
  <c r="E99" i="2"/>
  <c r="T98" i="2"/>
  <c r="G98" i="2"/>
  <c r="F98" i="2"/>
  <c r="E98" i="2"/>
  <c r="T97" i="2"/>
  <c r="O97" i="2"/>
  <c r="N97" i="2"/>
  <c r="M97" i="2"/>
  <c r="L97" i="2"/>
  <c r="J97" i="2"/>
  <c r="I97" i="2"/>
  <c r="G97" i="2"/>
  <c r="F97" i="2"/>
  <c r="E97" i="2"/>
  <c r="T96" i="2"/>
  <c r="O96" i="2"/>
  <c r="N96" i="2"/>
  <c r="M96" i="2"/>
  <c r="L96" i="2"/>
  <c r="K96" i="2"/>
  <c r="J96" i="2"/>
  <c r="I96" i="2"/>
  <c r="G96" i="2"/>
  <c r="F96" i="2"/>
  <c r="E96" i="2"/>
  <c r="T95" i="2"/>
  <c r="O95" i="2"/>
  <c r="N95" i="2"/>
  <c r="M95" i="2"/>
  <c r="L95" i="2"/>
  <c r="K95" i="2"/>
  <c r="J95" i="2"/>
  <c r="I95" i="2"/>
  <c r="G95" i="2"/>
  <c r="F95" i="2"/>
  <c r="E95" i="2"/>
  <c r="T94" i="2"/>
  <c r="O94" i="2"/>
  <c r="N94" i="2"/>
  <c r="M94" i="2"/>
  <c r="L94" i="2"/>
  <c r="K94" i="2"/>
  <c r="J94" i="2"/>
  <c r="I94" i="2"/>
  <c r="H94" i="2"/>
  <c r="P94" i="2" s="1"/>
  <c r="C94" i="2" s="1"/>
  <c r="G94" i="2"/>
  <c r="F94" i="2"/>
  <c r="E94" i="2"/>
  <c r="T93" i="2"/>
  <c r="O93" i="2"/>
  <c r="N93" i="2"/>
  <c r="M93" i="2"/>
  <c r="K93" i="2"/>
  <c r="J93" i="2"/>
  <c r="I93" i="2"/>
  <c r="G93" i="2"/>
  <c r="F93" i="2"/>
  <c r="E93" i="2"/>
  <c r="T92" i="2"/>
  <c r="P92" i="2"/>
  <c r="C92" i="2" s="1"/>
  <c r="L92" i="2"/>
  <c r="K92" i="2"/>
  <c r="H92" i="2"/>
  <c r="H107" i="2" s="1"/>
  <c r="C107" i="2" s="1"/>
  <c r="T91" i="2"/>
  <c r="G91" i="2"/>
  <c r="F91" i="2"/>
  <c r="E91" i="2"/>
  <c r="C91" i="2"/>
  <c r="T90" i="2"/>
  <c r="G90" i="2"/>
  <c r="F90" i="2"/>
  <c r="E90" i="2"/>
  <c r="C90" i="2"/>
  <c r="T89" i="2"/>
  <c r="G89" i="2"/>
  <c r="F89" i="2"/>
  <c r="E89" i="2"/>
  <c r="C89" i="2"/>
  <c r="T88" i="2"/>
  <c r="G88" i="2"/>
  <c r="F88" i="2"/>
  <c r="E88" i="2"/>
  <c r="C88" i="2"/>
  <c r="T87" i="2"/>
  <c r="G87" i="2"/>
  <c r="F87" i="2"/>
  <c r="E87" i="2"/>
  <c r="C87" i="2"/>
  <c r="T86" i="2"/>
  <c r="G86" i="2"/>
  <c r="F86" i="2"/>
  <c r="E86" i="2"/>
  <c r="C86" i="2"/>
  <c r="T85" i="2"/>
  <c r="G85" i="2"/>
  <c r="F85" i="2"/>
  <c r="E85" i="2"/>
  <c r="C85" i="2"/>
  <c r="T84" i="2"/>
  <c r="G84" i="2"/>
  <c r="F84" i="2"/>
  <c r="E84" i="2"/>
  <c r="C84" i="2"/>
  <c r="T83" i="2"/>
  <c r="G83" i="2"/>
  <c r="F83" i="2"/>
  <c r="E83" i="2"/>
  <c r="C83" i="2"/>
  <c r="T82" i="2"/>
  <c r="G82" i="2"/>
  <c r="F82" i="2"/>
  <c r="E82" i="2"/>
  <c r="C82" i="2"/>
  <c r="T81" i="2"/>
  <c r="G81" i="2"/>
  <c r="F81" i="2"/>
  <c r="E81" i="2"/>
  <c r="C81" i="2"/>
  <c r="T80" i="2"/>
  <c r="O80" i="2"/>
  <c r="N80" i="2"/>
  <c r="M80" i="2"/>
  <c r="L80" i="2"/>
  <c r="K80" i="2"/>
  <c r="J80" i="2"/>
  <c r="I80" i="2"/>
  <c r="G80" i="2"/>
  <c r="F80" i="2"/>
  <c r="E80" i="2"/>
  <c r="T79" i="2"/>
  <c r="O79" i="2"/>
  <c r="N79" i="2"/>
  <c r="M79" i="2"/>
  <c r="L79" i="2"/>
  <c r="J79" i="2"/>
  <c r="I79" i="2"/>
  <c r="H79" i="2"/>
  <c r="C79" i="2" s="1"/>
  <c r="G79" i="2"/>
  <c r="F79" i="2"/>
  <c r="E79" i="2"/>
  <c r="T78" i="2"/>
  <c r="O78" i="2"/>
  <c r="N78" i="2"/>
  <c r="M78" i="2"/>
  <c r="L78" i="2"/>
  <c r="K78" i="2"/>
  <c r="J78" i="2"/>
  <c r="I78" i="2"/>
  <c r="G78" i="2"/>
  <c r="F78" i="2"/>
  <c r="E78" i="2"/>
  <c r="T77" i="2"/>
  <c r="O77" i="2"/>
  <c r="N77" i="2"/>
  <c r="M77" i="2"/>
  <c r="L77" i="2"/>
  <c r="K77" i="2"/>
  <c r="J77" i="2"/>
  <c r="I77" i="2"/>
  <c r="G77" i="2"/>
  <c r="F77" i="2"/>
  <c r="E77" i="2"/>
  <c r="T76" i="2"/>
  <c r="O76" i="2"/>
  <c r="N76" i="2"/>
  <c r="M76" i="2"/>
  <c r="L76" i="2"/>
  <c r="K76" i="2"/>
  <c r="J76" i="2"/>
  <c r="I76" i="2"/>
  <c r="H76" i="2"/>
  <c r="C76" i="2" s="1"/>
  <c r="G76" i="2"/>
  <c r="F76" i="2"/>
  <c r="E76" i="2"/>
  <c r="T75" i="2"/>
  <c r="L75" i="2"/>
  <c r="L93" i="2" s="1"/>
  <c r="K75" i="2"/>
  <c r="K79" i="2" s="1"/>
  <c r="H75" i="2"/>
  <c r="T74" i="2"/>
  <c r="G74" i="2"/>
  <c r="F74" i="2"/>
  <c r="E74" i="2"/>
  <c r="C74" i="2"/>
  <c r="T73" i="2"/>
  <c r="G73" i="2"/>
  <c r="F73" i="2"/>
  <c r="E73" i="2"/>
  <c r="C73" i="2"/>
  <c r="T72" i="2"/>
  <c r="G72" i="2"/>
  <c r="F72" i="2"/>
  <c r="E72" i="2"/>
  <c r="C72" i="2"/>
  <c r="T71" i="2"/>
  <c r="G71" i="2"/>
  <c r="F71" i="2"/>
  <c r="E71" i="2"/>
  <c r="D71" i="2"/>
  <c r="C71" i="2"/>
  <c r="T70" i="2"/>
  <c r="G70" i="2"/>
  <c r="F70" i="2"/>
  <c r="E70" i="2"/>
  <c r="C70" i="2"/>
  <c r="T69" i="2"/>
  <c r="O69" i="2"/>
  <c r="N69" i="2"/>
  <c r="M69" i="2"/>
  <c r="L69" i="2"/>
  <c r="J69" i="2"/>
  <c r="I69" i="2"/>
  <c r="G69" i="2"/>
  <c r="F69" i="2"/>
  <c r="C69" i="2"/>
  <c r="T68" i="2"/>
  <c r="O68" i="2"/>
  <c r="N68" i="2"/>
  <c r="M68" i="2"/>
  <c r="J68" i="2"/>
  <c r="I68" i="2"/>
  <c r="G68" i="2"/>
  <c r="F68" i="2"/>
  <c r="E68" i="2"/>
  <c r="C68" i="2"/>
  <c r="T67" i="2"/>
  <c r="L67" i="2"/>
  <c r="K67" i="2"/>
  <c r="H67" i="2" s="1"/>
  <c r="C67" i="2" s="1"/>
  <c r="T66" i="2"/>
  <c r="G66" i="2"/>
  <c r="F66" i="2"/>
  <c r="E66" i="2"/>
  <c r="C66" i="2"/>
  <c r="T65" i="2"/>
  <c r="G65" i="2"/>
  <c r="F65" i="2"/>
  <c r="E65" i="2"/>
  <c r="D65" i="2"/>
  <c r="T64" i="2"/>
  <c r="G64" i="2"/>
  <c r="F64" i="2"/>
  <c r="E64" i="2"/>
  <c r="T63" i="2"/>
  <c r="P63" i="2"/>
  <c r="L63" i="2"/>
  <c r="L68" i="2" s="1"/>
  <c r="K63" i="2"/>
  <c r="K68" i="2" s="1"/>
  <c r="H63" i="2"/>
  <c r="H64" i="2" s="1"/>
  <c r="T62" i="2"/>
  <c r="G62" i="2"/>
  <c r="F62" i="2"/>
  <c r="E62" i="2"/>
  <c r="C62" i="2"/>
  <c r="T61" i="2"/>
  <c r="G61" i="2"/>
  <c r="F61" i="2"/>
  <c r="E61" i="2"/>
  <c r="D61" i="2"/>
  <c r="C61" i="2"/>
  <c r="T60" i="2"/>
  <c r="G60" i="2"/>
  <c r="F60" i="2"/>
  <c r="E60" i="2"/>
  <c r="C60" i="2"/>
  <c r="T59" i="2"/>
  <c r="G59" i="2"/>
  <c r="F59" i="2"/>
  <c r="E59" i="2"/>
  <c r="D59" i="2"/>
  <c r="D60" i="2" s="1"/>
  <c r="C59" i="2"/>
  <c r="T58" i="2"/>
  <c r="G58" i="2"/>
  <c r="F58" i="2"/>
  <c r="E58" i="2"/>
  <c r="C58" i="2"/>
  <c r="T57" i="2"/>
  <c r="G57" i="2"/>
  <c r="F57" i="2"/>
  <c r="E57" i="2"/>
  <c r="C57" i="2"/>
  <c r="T56" i="2"/>
  <c r="N56" i="2"/>
  <c r="M56" i="2"/>
  <c r="J56" i="2"/>
  <c r="I56" i="2"/>
  <c r="G56" i="2"/>
  <c r="F56" i="2"/>
  <c r="E56" i="2"/>
  <c r="T55" i="2"/>
  <c r="N55" i="2"/>
  <c r="M55" i="2"/>
  <c r="K55" i="2"/>
  <c r="J55" i="2"/>
  <c r="I55" i="2"/>
  <c r="G55" i="2"/>
  <c r="F55" i="2"/>
  <c r="T54" i="2"/>
  <c r="N54" i="2"/>
  <c r="M54" i="2"/>
  <c r="L54" i="2"/>
  <c r="J54" i="2"/>
  <c r="I54" i="2"/>
  <c r="G54" i="2"/>
  <c r="F54" i="2"/>
  <c r="E54" i="2"/>
  <c r="T53" i="2"/>
  <c r="L53" i="2"/>
  <c r="L55" i="2" s="1"/>
  <c r="K53" i="2"/>
  <c r="K54" i="2" s="1"/>
  <c r="T52" i="2"/>
  <c r="G52" i="2"/>
  <c r="F52" i="2"/>
  <c r="E52" i="2"/>
  <c r="C52" i="2"/>
  <c r="T51" i="2"/>
  <c r="G51" i="2"/>
  <c r="F51" i="2"/>
  <c r="E51" i="2"/>
  <c r="D51" i="2"/>
  <c r="C51" i="2"/>
  <c r="T50" i="2"/>
  <c r="G50" i="2"/>
  <c r="F50" i="2"/>
  <c r="E50" i="2"/>
  <c r="D50" i="2"/>
  <c r="C50" i="2"/>
  <c r="T49" i="2"/>
  <c r="G49" i="2"/>
  <c r="F49" i="2"/>
  <c r="E49" i="2"/>
  <c r="C49" i="2"/>
  <c r="T48" i="2"/>
  <c r="G48" i="2"/>
  <c r="F48" i="2"/>
  <c r="E48" i="2"/>
  <c r="C48" i="2"/>
  <c r="T47" i="2"/>
  <c r="N47" i="2"/>
  <c r="M47" i="2"/>
  <c r="J47" i="2"/>
  <c r="I47" i="2"/>
  <c r="H47" i="2"/>
  <c r="C47" i="2" s="1"/>
  <c r="G47" i="2"/>
  <c r="F47" i="2"/>
  <c r="T46" i="2"/>
  <c r="N46" i="2"/>
  <c r="M46" i="2"/>
  <c r="K46" i="2"/>
  <c r="J46" i="2"/>
  <c r="I46" i="2"/>
  <c r="G46" i="2"/>
  <c r="F46" i="2"/>
  <c r="E46" i="2"/>
  <c r="T45" i="2"/>
  <c r="L45" i="2"/>
  <c r="L47" i="2" s="1"/>
  <c r="K45" i="2"/>
  <c r="K47" i="2" s="1"/>
  <c r="H45" i="2"/>
  <c r="H46" i="2" s="1"/>
  <c r="C46" i="2" s="1"/>
  <c r="T44" i="2"/>
  <c r="G44" i="2"/>
  <c r="F44" i="2"/>
  <c r="E44" i="2"/>
  <c r="C44" i="2"/>
  <c r="T43" i="2"/>
  <c r="G43" i="2"/>
  <c r="F43" i="2"/>
  <c r="E43" i="2"/>
  <c r="D43" i="2"/>
  <c r="C43" i="2"/>
  <c r="T42" i="2"/>
  <c r="G42" i="2"/>
  <c r="F42" i="2"/>
  <c r="E42" i="2"/>
  <c r="D42" i="2"/>
  <c r="C42" i="2"/>
  <c r="T41" i="2"/>
  <c r="G41" i="2"/>
  <c r="F41" i="2"/>
  <c r="E41" i="2"/>
  <c r="C41" i="2"/>
  <c r="T40" i="2"/>
  <c r="G40" i="2"/>
  <c r="F40" i="2"/>
  <c r="E40" i="2"/>
  <c r="C40" i="2"/>
  <c r="T39" i="2"/>
  <c r="N39" i="2"/>
  <c r="M39" i="2"/>
  <c r="J39" i="2"/>
  <c r="I39" i="2"/>
  <c r="G39" i="2"/>
  <c r="F39" i="2"/>
  <c r="T38" i="2"/>
  <c r="N38" i="2"/>
  <c r="M38" i="2"/>
  <c r="J38" i="2"/>
  <c r="I38" i="2"/>
  <c r="G38" i="2"/>
  <c r="F38" i="2"/>
  <c r="E38" i="2"/>
  <c r="T37" i="2"/>
  <c r="L37" i="2"/>
  <c r="L39" i="2" s="1"/>
  <c r="K37" i="2"/>
  <c r="T36" i="2"/>
  <c r="G36" i="2"/>
  <c r="F36" i="2"/>
  <c r="E36" i="2"/>
  <c r="C36" i="2"/>
  <c r="T35" i="2"/>
  <c r="G35" i="2"/>
  <c r="F35" i="2"/>
  <c r="E35" i="2"/>
  <c r="D35" i="2"/>
  <c r="C35" i="2"/>
  <c r="T34" i="2"/>
  <c r="G34" i="2"/>
  <c r="F34" i="2"/>
  <c r="E34" i="2"/>
  <c r="D34" i="2"/>
  <c r="C34" i="2"/>
  <c r="T33" i="2"/>
  <c r="G33" i="2"/>
  <c r="F33" i="2"/>
  <c r="E33" i="2"/>
  <c r="C33" i="2"/>
  <c r="T32" i="2"/>
  <c r="G32" i="2"/>
  <c r="F32" i="2"/>
  <c r="E32" i="2"/>
  <c r="C32" i="2"/>
  <c r="T31" i="2"/>
  <c r="G31" i="2"/>
  <c r="F31" i="2"/>
  <c r="E31" i="2"/>
  <c r="C31" i="2"/>
  <c r="T30" i="2"/>
  <c r="O30" i="2"/>
  <c r="N30" i="2"/>
  <c r="M30" i="2"/>
  <c r="L30" i="2"/>
  <c r="J30" i="2"/>
  <c r="I30" i="2"/>
  <c r="G30" i="2"/>
  <c r="F30" i="2"/>
  <c r="E30" i="2"/>
  <c r="T29" i="2"/>
  <c r="O29" i="2"/>
  <c r="N29" i="2"/>
  <c r="M29" i="2"/>
  <c r="K29" i="2"/>
  <c r="J29" i="2"/>
  <c r="I29" i="2"/>
  <c r="G29" i="2"/>
  <c r="F29" i="2"/>
  <c r="T28" i="2"/>
  <c r="O28" i="2"/>
  <c r="N28" i="2"/>
  <c r="M28" i="2"/>
  <c r="K28" i="2"/>
  <c r="J28" i="2"/>
  <c r="I28" i="2"/>
  <c r="G28" i="2"/>
  <c r="F28" i="2"/>
  <c r="E28" i="2"/>
  <c r="T27" i="2"/>
  <c r="L27" i="2"/>
  <c r="L28" i="2" s="1"/>
  <c r="K27" i="2"/>
  <c r="T26" i="2"/>
  <c r="G26" i="2"/>
  <c r="F26" i="2"/>
  <c r="E26" i="2"/>
  <c r="C26" i="2"/>
  <c r="T25" i="2"/>
  <c r="G25" i="2"/>
  <c r="F25" i="2"/>
  <c r="E25" i="2"/>
  <c r="C25" i="2"/>
  <c r="T24" i="2"/>
  <c r="G24" i="2"/>
  <c r="F24" i="2"/>
  <c r="E24" i="2"/>
  <c r="C24" i="2"/>
  <c r="T23" i="2"/>
  <c r="G23" i="2"/>
  <c r="F23" i="2"/>
  <c r="E23" i="2"/>
  <c r="C23" i="2"/>
  <c r="T22" i="2"/>
  <c r="G22" i="2"/>
  <c r="F22" i="2"/>
  <c r="E22" i="2"/>
  <c r="D22" i="2"/>
  <c r="C22" i="2"/>
  <c r="T21" i="2"/>
  <c r="G21" i="2"/>
  <c r="F21" i="2"/>
  <c r="E21" i="2"/>
  <c r="C21" i="2"/>
  <c r="T20" i="2"/>
  <c r="O20" i="2"/>
  <c r="N20" i="2"/>
  <c r="M20" i="2"/>
  <c r="K20" i="2"/>
  <c r="J20" i="2"/>
  <c r="I20" i="2"/>
  <c r="G20" i="2"/>
  <c r="F20" i="2"/>
  <c r="T19" i="2"/>
  <c r="O19" i="2"/>
  <c r="N19" i="2"/>
  <c r="M19" i="2"/>
  <c r="J19" i="2"/>
  <c r="I19" i="2"/>
  <c r="G19" i="2"/>
  <c r="F19" i="2"/>
  <c r="E19" i="2"/>
  <c r="T18" i="2"/>
  <c r="L18" i="2"/>
  <c r="L246" i="2" s="1"/>
  <c r="K18" i="2"/>
  <c r="K56" i="2" s="1"/>
  <c r="T17" i="2"/>
  <c r="G17" i="2"/>
  <c r="F17" i="2"/>
  <c r="E17" i="2"/>
  <c r="C17" i="2"/>
  <c r="T16" i="2"/>
  <c r="G16" i="2"/>
  <c r="F16" i="2"/>
  <c r="E16" i="2"/>
  <c r="T15" i="2"/>
  <c r="G15" i="2"/>
  <c r="F15" i="2"/>
  <c r="E15" i="2"/>
  <c r="T14" i="2"/>
  <c r="P14" i="2"/>
  <c r="C14" i="2" s="1"/>
  <c r="L14" i="2"/>
  <c r="K14" i="2"/>
  <c r="H14" i="2"/>
  <c r="H15" i="2" s="1"/>
  <c r="P15" i="2" s="1"/>
  <c r="C15" i="2" s="1"/>
  <c r="M2741" i="1"/>
  <c r="I2740" i="1"/>
  <c r="A2740" i="1" s="1"/>
  <c r="G2740" i="1"/>
  <c r="F2740" i="1"/>
  <c r="E2740" i="1"/>
  <c r="I2739" i="1"/>
  <c r="A2739" i="1" s="1"/>
  <c r="G2739" i="1"/>
  <c r="E2739" i="1"/>
  <c r="I2738" i="1"/>
  <c r="A2738" i="1" s="1"/>
  <c r="G2738" i="1"/>
  <c r="E2738" i="1"/>
  <c r="I2737" i="1"/>
  <c r="A2737" i="1" s="1"/>
  <c r="I2736" i="1"/>
  <c r="A2736" i="1" s="1"/>
  <c r="H2736" i="1"/>
  <c r="G2736" i="1"/>
  <c r="F2736" i="1"/>
  <c r="I2735" i="1"/>
  <c r="H2735" i="1"/>
  <c r="G2735" i="1"/>
  <c r="F2735" i="1"/>
  <c r="A2735" i="1"/>
  <c r="I2734" i="1"/>
  <c r="A2734" i="1" s="1"/>
  <c r="H2734" i="1"/>
  <c r="G2734" i="1"/>
  <c r="F2734" i="1"/>
  <c r="E2734" i="1"/>
  <c r="I2733" i="1"/>
  <c r="A2733" i="1" s="1"/>
  <c r="H2733" i="1"/>
  <c r="G2733" i="1"/>
  <c r="F2733" i="1"/>
  <c r="E2733" i="1"/>
  <c r="I2732" i="1"/>
  <c r="A2732" i="1" s="1"/>
  <c r="H2732" i="1"/>
  <c r="G2732" i="1"/>
  <c r="F2732" i="1"/>
  <c r="E2732" i="1"/>
  <c r="I2731" i="1"/>
  <c r="H2731" i="1"/>
  <c r="G2731" i="1"/>
  <c r="F2731" i="1"/>
  <c r="E2731" i="1"/>
  <c r="A2731" i="1"/>
  <c r="I2730" i="1"/>
  <c r="A2730" i="1" s="1"/>
  <c r="H2730" i="1"/>
  <c r="G2730" i="1"/>
  <c r="F2730" i="1"/>
  <c r="E2730" i="1"/>
  <c r="I2729" i="1"/>
  <c r="A2729" i="1" s="1"/>
  <c r="H2729" i="1"/>
  <c r="G2729" i="1"/>
  <c r="F2729" i="1"/>
  <c r="E2729" i="1"/>
  <c r="I2728" i="1"/>
  <c r="A2728" i="1" s="1"/>
  <c r="H2728" i="1"/>
  <c r="G2728" i="1"/>
  <c r="F2728" i="1"/>
  <c r="E2728" i="1"/>
  <c r="I2727" i="1"/>
  <c r="H2727" i="1"/>
  <c r="G2727" i="1"/>
  <c r="F2727" i="1"/>
  <c r="E2727" i="1"/>
  <c r="A2727" i="1"/>
  <c r="I2726" i="1"/>
  <c r="A2726" i="1" s="1"/>
  <c r="H2726" i="1"/>
  <c r="G2726" i="1"/>
  <c r="F2726" i="1"/>
  <c r="E2726" i="1"/>
  <c r="I2725" i="1"/>
  <c r="A2725" i="1" s="1"/>
  <c r="H2725" i="1"/>
  <c r="G2725" i="1"/>
  <c r="F2725" i="1"/>
  <c r="E2725" i="1"/>
  <c r="I2724" i="1"/>
  <c r="A2724" i="1" s="1"/>
  <c r="H2724" i="1"/>
  <c r="G2724" i="1"/>
  <c r="F2724" i="1"/>
  <c r="E2724" i="1"/>
  <c r="I2723" i="1"/>
  <c r="H2723" i="1"/>
  <c r="G2723" i="1"/>
  <c r="F2723" i="1"/>
  <c r="E2723" i="1"/>
  <c r="A2723" i="1"/>
  <c r="I2722" i="1"/>
  <c r="A2722" i="1" s="1"/>
  <c r="H2722" i="1"/>
  <c r="G2722" i="1"/>
  <c r="F2722" i="1"/>
  <c r="E2722" i="1"/>
  <c r="I2721" i="1"/>
  <c r="A2721" i="1" s="1"/>
  <c r="H2721" i="1"/>
  <c r="G2721" i="1"/>
  <c r="F2721" i="1"/>
  <c r="E2721" i="1"/>
  <c r="I2720" i="1"/>
  <c r="A2720" i="1" s="1"/>
  <c r="H2720" i="1"/>
  <c r="G2720" i="1"/>
  <c r="F2720" i="1"/>
  <c r="E2720" i="1"/>
  <c r="I2719" i="1"/>
  <c r="H2719" i="1"/>
  <c r="G2719" i="1"/>
  <c r="F2719" i="1"/>
  <c r="E2719" i="1"/>
  <c r="A2719" i="1"/>
  <c r="I2718" i="1"/>
  <c r="A2718" i="1" s="1"/>
  <c r="H2718" i="1"/>
  <c r="H2740" i="1" s="1"/>
  <c r="G2718" i="1"/>
  <c r="F2718" i="1"/>
  <c r="E2718" i="1"/>
  <c r="I2717" i="1"/>
  <c r="A2717" i="1" s="1"/>
  <c r="H2717" i="1"/>
  <c r="G2717" i="1"/>
  <c r="F2717" i="1"/>
  <c r="E2717" i="1"/>
  <c r="I2716" i="1"/>
  <c r="A2716" i="1" s="1"/>
  <c r="H2716" i="1"/>
  <c r="G2716" i="1"/>
  <c r="F2716" i="1"/>
  <c r="E2716" i="1"/>
  <c r="I2715" i="1"/>
  <c r="I2714" i="1"/>
  <c r="A2714" i="1" s="1"/>
  <c r="A2715" i="1" s="1"/>
  <c r="I2713" i="1"/>
  <c r="A2713" i="1" s="1"/>
  <c r="G2713" i="1"/>
  <c r="F2713" i="1"/>
  <c r="I2712" i="1"/>
  <c r="G2712" i="1"/>
  <c r="F2712" i="1"/>
  <c r="E2712" i="1"/>
  <c r="A2712" i="1"/>
  <c r="I2711" i="1"/>
  <c r="G2711" i="1"/>
  <c r="F2711" i="1"/>
  <c r="E2711" i="1"/>
  <c r="A2711" i="1"/>
  <c r="I2710" i="1"/>
  <c r="G2710" i="1"/>
  <c r="F2710" i="1"/>
  <c r="A2710" i="1"/>
  <c r="I2709" i="1"/>
  <c r="A2709" i="1" s="1"/>
  <c r="G2709" i="1"/>
  <c r="F2709" i="1"/>
  <c r="E2709" i="1"/>
  <c r="I2708" i="1"/>
  <c r="A2708" i="1" s="1"/>
  <c r="G2708" i="1"/>
  <c r="F2708" i="1"/>
  <c r="E2708" i="1"/>
  <c r="I2707" i="1"/>
  <c r="G2707" i="1"/>
  <c r="F2707" i="1"/>
  <c r="E2707" i="1"/>
  <c r="A2707" i="1"/>
  <c r="I2706" i="1"/>
  <c r="G2706" i="1"/>
  <c r="F2706" i="1"/>
  <c r="E2706" i="1"/>
  <c r="A2706" i="1"/>
  <c r="I2705" i="1"/>
  <c r="G2705" i="1"/>
  <c r="F2705" i="1"/>
  <c r="E2705" i="1"/>
  <c r="A2705" i="1"/>
  <c r="I2704" i="1"/>
  <c r="G2704" i="1"/>
  <c r="F2704" i="1"/>
  <c r="E2704" i="1"/>
  <c r="A2704" i="1"/>
  <c r="I2703" i="1"/>
  <c r="A2703" i="1" s="1"/>
  <c r="G2703" i="1"/>
  <c r="F2703" i="1"/>
  <c r="E2703" i="1"/>
  <c r="I2702" i="1"/>
  <c r="A2702" i="1" s="1"/>
  <c r="G2702" i="1"/>
  <c r="F2702" i="1"/>
  <c r="E2702" i="1"/>
  <c r="I2701" i="1"/>
  <c r="A2701" i="1" s="1"/>
  <c r="G2701" i="1"/>
  <c r="F2701" i="1"/>
  <c r="E2701" i="1"/>
  <c r="I2700" i="1"/>
  <c r="A2700" i="1" s="1"/>
  <c r="G2700" i="1"/>
  <c r="F2700" i="1"/>
  <c r="E2700" i="1"/>
  <c r="N2699" i="1"/>
  <c r="I2699" i="1"/>
  <c r="A2699" i="1" s="1"/>
  <c r="G2699" i="1"/>
  <c r="F2699" i="1"/>
  <c r="E2699" i="1"/>
  <c r="N2698" i="1"/>
  <c r="I2698" i="1"/>
  <c r="G2698" i="1"/>
  <c r="F2698" i="1"/>
  <c r="E2698" i="1"/>
  <c r="A2698" i="1"/>
  <c r="I2697" i="1"/>
  <c r="I2696" i="1"/>
  <c r="A2696" i="1"/>
  <c r="A2697" i="1" s="1"/>
  <c r="I2695" i="1"/>
  <c r="A2695" i="1" s="1"/>
  <c r="G2695" i="1"/>
  <c r="F2695" i="1"/>
  <c r="E2695" i="1"/>
  <c r="I2694" i="1"/>
  <c r="G2694" i="1"/>
  <c r="F2694" i="1"/>
  <c r="E2694" i="1"/>
  <c r="A2694" i="1"/>
  <c r="I2693" i="1"/>
  <c r="I2692" i="1"/>
  <c r="H2692" i="1"/>
  <c r="H2694" i="1" s="1"/>
  <c r="H2695" i="1" s="1"/>
  <c r="A2692" i="1"/>
  <c r="A2693" i="1" s="1"/>
  <c r="I2691" i="1"/>
  <c r="G2691" i="1"/>
  <c r="F2691" i="1"/>
  <c r="E2691" i="1"/>
  <c r="A2691" i="1"/>
  <c r="I2690" i="1"/>
  <c r="A2690" i="1" s="1"/>
  <c r="G2690" i="1"/>
  <c r="F2690" i="1"/>
  <c r="E2690" i="1"/>
  <c r="I2689" i="1"/>
  <c r="G2689" i="1"/>
  <c r="F2689" i="1"/>
  <c r="E2689" i="1"/>
  <c r="A2689" i="1"/>
  <c r="I2688" i="1"/>
  <c r="G2688" i="1"/>
  <c r="F2688" i="1"/>
  <c r="E2688" i="1"/>
  <c r="A2688" i="1"/>
  <c r="I2687" i="1"/>
  <c r="G2687" i="1"/>
  <c r="F2687" i="1"/>
  <c r="E2687" i="1"/>
  <c r="A2687" i="1"/>
  <c r="I2686" i="1"/>
  <c r="A2686" i="1" s="1"/>
  <c r="G2686" i="1"/>
  <c r="F2686" i="1"/>
  <c r="E2686" i="1"/>
  <c r="I2685" i="1"/>
  <c r="H2685" i="1"/>
  <c r="G2685" i="1"/>
  <c r="F2685" i="1"/>
  <c r="E2685" i="1"/>
  <c r="A2685" i="1"/>
  <c r="I2684" i="1"/>
  <c r="I2683" i="1"/>
  <c r="H2683" i="1"/>
  <c r="H2689" i="1" s="1"/>
  <c r="A2683" i="1"/>
  <c r="A2684" i="1" s="1"/>
  <c r="I2682" i="1"/>
  <c r="G2682" i="1"/>
  <c r="F2682" i="1"/>
  <c r="E2682" i="1"/>
  <c r="A2682" i="1"/>
  <c r="I2681" i="1"/>
  <c r="A2681" i="1" s="1"/>
  <c r="G2681" i="1"/>
  <c r="F2681" i="1"/>
  <c r="E2681" i="1"/>
  <c r="I2680" i="1"/>
  <c r="G2680" i="1"/>
  <c r="F2680" i="1"/>
  <c r="E2680" i="1"/>
  <c r="A2680" i="1"/>
  <c r="I2679" i="1"/>
  <c r="G2679" i="1"/>
  <c r="F2679" i="1"/>
  <c r="E2679" i="1"/>
  <c r="A2679" i="1"/>
  <c r="I2678" i="1"/>
  <c r="G2678" i="1"/>
  <c r="F2678" i="1"/>
  <c r="E2678" i="1"/>
  <c r="A2678" i="1"/>
  <c r="I2677" i="1"/>
  <c r="A2677" i="1" s="1"/>
  <c r="G2677" i="1"/>
  <c r="F2677" i="1"/>
  <c r="E2677" i="1"/>
  <c r="I2676" i="1"/>
  <c r="G2676" i="1"/>
  <c r="F2676" i="1"/>
  <c r="E2676" i="1"/>
  <c r="A2676" i="1"/>
  <c r="I2675" i="1"/>
  <c r="G2675" i="1"/>
  <c r="F2675" i="1"/>
  <c r="E2675" i="1"/>
  <c r="A2675" i="1"/>
  <c r="I2674" i="1"/>
  <c r="G2674" i="1"/>
  <c r="F2674" i="1"/>
  <c r="E2674" i="1"/>
  <c r="A2674" i="1"/>
  <c r="I2673" i="1"/>
  <c r="A2673" i="1" s="1"/>
  <c r="G2673" i="1"/>
  <c r="F2673" i="1"/>
  <c r="E2673" i="1"/>
  <c r="I2672" i="1"/>
  <c r="A2672" i="1"/>
  <c r="I2671" i="1"/>
  <c r="H2671" i="1"/>
  <c r="H2676" i="1" s="1"/>
  <c r="H2677" i="1" s="1"/>
  <c r="A2671" i="1"/>
  <c r="I2670" i="1"/>
  <c r="G2670" i="1"/>
  <c r="F2670" i="1"/>
  <c r="E2670" i="1"/>
  <c r="A2670" i="1"/>
  <c r="I2669" i="1"/>
  <c r="G2669" i="1"/>
  <c r="F2669" i="1"/>
  <c r="E2669" i="1"/>
  <c r="A2669" i="1"/>
  <c r="I2668" i="1"/>
  <c r="A2668" i="1" s="1"/>
  <c r="G2668" i="1"/>
  <c r="F2668" i="1"/>
  <c r="E2668" i="1"/>
  <c r="I2667" i="1"/>
  <c r="G2667" i="1"/>
  <c r="F2667" i="1"/>
  <c r="E2667" i="1"/>
  <c r="A2667" i="1"/>
  <c r="I2666" i="1"/>
  <c r="G2666" i="1"/>
  <c r="F2666" i="1"/>
  <c r="E2666" i="1"/>
  <c r="A2666" i="1"/>
  <c r="I2665" i="1"/>
  <c r="G2665" i="1"/>
  <c r="F2665" i="1"/>
  <c r="E2665" i="1"/>
  <c r="A2665" i="1"/>
  <c r="I2664" i="1"/>
  <c r="A2664" i="1" s="1"/>
  <c r="G2664" i="1"/>
  <c r="F2664" i="1"/>
  <c r="E2664" i="1"/>
  <c r="I2663" i="1"/>
  <c r="A2663" i="1"/>
  <c r="I2662" i="1"/>
  <c r="A2662" i="1"/>
  <c r="I2661" i="1"/>
  <c r="H2661" i="1"/>
  <c r="G2661" i="1"/>
  <c r="F2661" i="1"/>
  <c r="E2661" i="1"/>
  <c r="A2661" i="1"/>
  <c r="I2660" i="1"/>
  <c r="H2660" i="1"/>
  <c r="G2660" i="1"/>
  <c r="F2660" i="1"/>
  <c r="E2660" i="1"/>
  <c r="A2660" i="1"/>
  <c r="I2659" i="1"/>
  <c r="A2659" i="1" s="1"/>
  <c r="H2659" i="1"/>
  <c r="G2659" i="1"/>
  <c r="F2659" i="1"/>
  <c r="E2659" i="1"/>
  <c r="I2658" i="1"/>
  <c r="H2658" i="1"/>
  <c r="G2658" i="1"/>
  <c r="F2658" i="1"/>
  <c r="E2658" i="1"/>
  <c r="A2658" i="1"/>
  <c r="I2657" i="1"/>
  <c r="H2657" i="1"/>
  <c r="G2657" i="1"/>
  <c r="F2657" i="1"/>
  <c r="E2657" i="1"/>
  <c r="A2657" i="1"/>
  <c r="I2656" i="1"/>
  <c r="H2656" i="1"/>
  <c r="G2656" i="1"/>
  <c r="F2656" i="1"/>
  <c r="E2656" i="1"/>
  <c r="A2656" i="1"/>
  <c r="I2655" i="1"/>
  <c r="A2655" i="1" s="1"/>
  <c r="H2655" i="1"/>
  <c r="G2655" i="1"/>
  <c r="F2655" i="1"/>
  <c r="E2655" i="1"/>
  <c r="I2654" i="1"/>
  <c r="H2654" i="1"/>
  <c r="G2654" i="1"/>
  <c r="F2654" i="1"/>
  <c r="E2654" i="1"/>
  <c r="A2654" i="1"/>
  <c r="I2653" i="1"/>
  <c r="I2652" i="1"/>
  <c r="A2652" i="1"/>
  <c r="A2653" i="1" s="1"/>
  <c r="I2651" i="1"/>
  <c r="A2651" i="1" s="1"/>
  <c r="G2651" i="1"/>
  <c r="F2651" i="1"/>
  <c r="E2651" i="1"/>
  <c r="I2650" i="1"/>
  <c r="A2650" i="1" s="1"/>
  <c r="G2650" i="1"/>
  <c r="F2650" i="1"/>
  <c r="E2650" i="1"/>
  <c r="I2649" i="1"/>
  <c r="G2649" i="1"/>
  <c r="F2649" i="1"/>
  <c r="E2649" i="1"/>
  <c r="A2649" i="1"/>
  <c r="I2648" i="1"/>
  <c r="A2648" i="1" s="1"/>
  <c r="G2648" i="1"/>
  <c r="F2648" i="1"/>
  <c r="E2648" i="1"/>
  <c r="I2647" i="1"/>
  <c r="I2646" i="1"/>
  <c r="A2646" i="1" s="1"/>
  <c r="A2647" i="1" s="1"/>
  <c r="I2645" i="1"/>
  <c r="A2645" i="1" s="1"/>
  <c r="G2645" i="1"/>
  <c r="F2645" i="1"/>
  <c r="E2645" i="1"/>
  <c r="I2644" i="1"/>
  <c r="F2644" i="1"/>
  <c r="E2644" i="1"/>
  <c r="A2644" i="1"/>
  <c r="I2643" i="1"/>
  <c r="A2643" i="1" s="1"/>
  <c r="F2643" i="1"/>
  <c r="E2643" i="1"/>
  <c r="I2642" i="1"/>
  <c r="A2642" i="1" s="1"/>
  <c r="F2642" i="1"/>
  <c r="E2642" i="1"/>
  <c r="I2641" i="1"/>
  <c r="E2641" i="1"/>
  <c r="A2641" i="1"/>
  <c r="I2640" i="1"/>
  <c r="G2640" i="1"/>
  <c r="F2640" i="1"/>
  <c r="E2640" i="1"/>
  <c r="A2640" i="1"/>
  <c r="I2639" i="1"/>
  <c r="G2639" i="1"/>
  <c r="F2639" i="1"/>
  <c r="E2639" i="1"/>
  <c r="A2639" i="1"/>
  <c r="I2638" i="1"/>
  <c r="A2638" i="1" s="1"/>
  <c r="G2638" i="1"/>
  <c r="F2638" i="1"/>
  <c r="E2638" i="1"/>
  <c r="I2637" i="1"/>
  <c r="A2637" i="1" s="1"/>
  <c r="G2637" i="1"/>
  <c r="F2637" i="1"/>
  <c r="E2637" i="1"/>
  <c r="I2636" i="1"/>
  <c r="A2636" i="1" s="1"/>
  <c r="G2636" i="1"/>
  <c r="F2636" i="1"/>
  <c r="E2636" i="1"/>
  <c r="I2635" i="1"/>
  <c r="G2635" i="1"/>
  <c r="F2635" i="1"/>
  <c r="E2635" i="1"/>
  <c r="A2635" i="1"/>
  <c r="I2634" i="1"/>
  <c r="A2634" i="1" s="1"/>
  <c r="G2634" i="1"/>
  <c r="F2634" i="1"/>
  <c r="E2634" i="1"/>
  <c r="I2633" i="1"/>
  <c r="A2633" i="1" s="1"/>
  <c r="G2633" i="1"/>
  <c r="F2633" i="1"/>
  <c r="E2633" i="1"/>
  <c r="I2632" i="1"/>
  <c r="A2632" i="1" s="1"/>
  <c r="G2632" i="1"/>
  <c r="F2632" i="1"/>
  <c r="E2632" i="1"/>
  <c r="I2631" i="1"/>
  <c r="G2631" i="1"/>
  <c r="F2631" i="1"/>
  <c r="E2631" i="1"/>
  <c r="A2631" i="1"/>
  <c r="I2630" i="1"/>
  <c r="A2630" i="1" s="1"/>
  <c r="I2629" i="1"/>
  <c r="A2629" i="1"/>
  <c r="I2628" i="1"/>
  <c r="A2628" i="1" s="1"/>
  <c r="F2628" i="1"/>
  <c r="I2627" i="1"/>
  <c r="F2627" i="1"/>
  <c r="A2627" i="1"/>
  <c r="I2626" i="1"/>
  <c r="A2626" i="1" s="1"/>
  <c r="F2626" i="1"/>
  <c r="I2625" i="1"/>
  <c r="F2625" i="1"/>
  <c r="A2625" i="1"/>
  <c r="I2624" i="1"/>
  <c r="A2624" i="1" s="1"/>
  <c r="F2624" i="1"/>
  <c r="I2623" i="1"/>
  <c r="F2623" i="1"/>
  <c r="A2623" i="1"/>
  <c r="I2622" i="1"/>
  <c r="A2622" i="1" s="1"/>
  <c r="F2622" i="1"/>
  <c r="I2621" i="1"/>
  <c r="I2620" i="1"/>
  <c r="A2620" i="1" s="1"/>
  <c r="A2621" i="1" s="1"/>
  <c r="I2619" i="1"/>
  <c r="A2619" i="1" s="1"/>
  <c r="F2619" i="1"/>
  <c r="I2618" i="1"/>
  <c r="A2618" i="1" s="1"/>
  <c r="F2618" i="1"/>
  <c r="I2617" i="1"/>
  <c r="A2617" i="1" s="1"/>
  <c r="F2617" i="1"/>
  <c r="I2616" i="1"/>
  <c r="A2616" i="1" s="1"/>
  <c r="F2616" i="1"/>
  <c r="I2615" i="1"/>
  <c r="A2615" i="1" s="1"/>
  <c r="F2615" i="1"/>
  <c r="I2614" i="1"/>
  <c r="A2614" i="1" s="1"/>
  <c r="F2614" i="1"/>
  <c r="I2613" i="1"/>
  <c r="A2613" i="1" s="1"/>
  <c r="F2613" i="1"/>
  <c r="I2612" i="1"/>
  <c r="I2611" i="1"/>
  <c r="A2611" i="1" s="1"/>
  <c r="A2612" i="1" s="1"/>
  <c r="I2610" i="1"/>
  <c r="F2610" i="1"/>
  <c r="A2610" i="1"/>
  <c r="I2609" i="1"/>
  <c r="A2609" i="1" s="1"/>
  <c r="F2609" i="1"/>
  <c r="I2608" i="1"/>
  <c r="F2608" i="1"/>
  <c r="A2608" i="1"/>
  <c r="I2607" i="1"/>
  <c r="A2607" i="1" s="1"/>
  <c r="F2607" i="1"/>
  <c r="I2606" i="1"/>
  <c r="F2606" i="1"/>
  <c r="A2606" i="1"/>
  <c r="I2605" i="1"/>
  <c r="I2604" i="1"/>
  <c r="A2604" i="1" s="1"/>
  <c r="A2605" i="1" s="1"/>
  <c r="I2603" i="1"/>
  <c r="A2603" i="1" s="1"/>
  <c r="F2603" i="1"/>
  <c r="I2602" i="1"/>
  <c r="A2602" i="1" s="1"/>
  <c r="F2602" i="1"/>
  <c r="I2601" i="1"/>
  <c r="A2601" i="1" s="1"/>
  <c r="F2601" i="1"/>
  <c r="I2600" i="1"/>
  <c r="A2600" i="1" s="1"/>
  <c r="F2600" i="1"/>
  <c r="I2599" i="1"/>
  <c r="A2599" i="1" s="1"/>
  <c r="F2599" i="1"/>
  <c r="I2598" i="1"/>
  <c r="I2597" i="1"/>
  <c r="A2597" i="1" s="1"/>
  <c r="A2598" i="1" s="1"/>
  <c r="I2596" i="1"/>
  <c r="A2596" i="1" s="1"/>
  <c r="F2596" i="1"/>
  <c r="I2595" i="1"/>
  <c r="A2595" i="1" s="1"/>
  <c r="F2595" i="1"/>
  <c r="I2594" i="1"/>
  <c r="A2594" i="1" s="1"/>
  <c r="F2594" i="1"/>
  <c r="I2593" i="1"/>
  <c r="A2593" i="1" s="1"/>
  <c r="F2593" i="1"/>
  <c r="I2592" i="1"/>
  <c r="A2592" i="1" s="1"/>
  <c r="F2592" i="1"/>
  <c r="I2591" i="1"/>
  <c r="I2590" i="1"/>
  <c r="A2590" i="1" s="1"/>
  <c r="A2591" i="1" s="1"/>
  <c r="I2589" i="1"/>
  <c r="A2589" i="1" s="1"/>
  <c r="G2589" i="1"/>
  <c r="F2589" i="1"/>
  <c r="E2589" i="1"/>
  <c r="I2588" i="1"/>
  <c r="A2588" i="1" s="1"/>
  <c r="G2588" i="1"/>
  <c r="F2588" i="1"/>
  <c r="E2588" i="1"/>
  <c r="I2587" i="1"/>
  <c r="A2587" i="1" s="1"/>
  <c r="G2587" i="1"/>
  <c r="F2587" i="1"/>
  <c r="E2587" i="1"/>
  <c r="I2586" i="1"/>
  <c r="G2586" i="1"/>
  <c r="F2586" i="1"/>
  <c r="E2586" i="1"/>
  <c r="A2586" i="1"/>
  <c r="I2585" i="1"/>
  <c r="A2585" i="1" s="1"/>
  <c r="G2585" i="1"/>
  <c r="F2585" i="1"/>
  <c r="E2585" i="1"/>
  <c r="I2584" i="1"/>
  <c r="A2584" i="1" s="1"/>
  <c r="G2584" i="1"/>
  <c r="F2584" i="1"/>
  <c r="E2584" i="1"/>
  <c r="I2583" i="1"/>
  <c r="I2582" i="1"/>
  <c r="A2582" i="1" s="1"/>
  <c r="A2583" i="1" s="1"/>
  <c r="I2581" i="1"/>
  <c r="G2581" i="1"/>
  <c r="E2581" i="1"/>
  <c r="B2581" i="1"/>
  <c r="F2581" i="1" s="1"/>
  <c r="A2581" i="1"/>
  <c r="I2580" i="1"/>
  <c r="A2580" i="1" s="1"/>
  <c r="B2580" i="1"/>
  <c r="I2579" i="1"/>
  <c r="G2579" i="1"/>
  <c r="F2579" i="1"/>
  <c r="A2579" i="1"/>
  <c r="I2578" i="1"/>
  <c r="G2578" i="1"/>
  <c r="F2578" i="1"/>
  <c r="E2578" i="1"/>
  <c r="A2578" i="1"/>
  <c r="I2577" i="1"/>
  <c r="A2577" i="1"/>
  <c r="I2576" i="1"/>
  <c r="G2576" i="1"/>
  <c r="F2576" i="1"/>
  <c r="E2576" i="1"/>
  <c r="A2576" i="1"/>
  <c r="I2575" i="1"/>
  <c r="G2575" i="1"/>
  <c r="F2575" i="1"/>
  <c r="A2575" i="1"/>
  <c r="I2574" i="1"/>
  <c r="G2574" i="1"/>
  <c r="F2574" i="1"/>
  <c r="E2574" i="1"/>
  <c r="A2574" i="1"/>
  <c r="I2573" i="1"/>
  <c r="G2573" i="1"/>
  <c r="F2573" i="1"/>
  <c r="A2573" i="1"/>
  <c r="I2572" i="1"/>
  <c r="G2572" i="1"/>
  <c r="F2572" i="1"/>
  <c r="A2572" i="1"/>
  <c r="I2571" i="1"/>
  <c r="A2571" i="1" s="1"/>
  <c r="I2570" i="1"/>
  <c r="A2570" i="1" s="1"/>
  <c r="I2569" i="1"/>
  <c r="A2569" i="1" s="1"/>
  <c r="I2568" i="1"/>
  <c r="G2568" i="1"/>
  <c r="F2568" i="1"/>
  <c r="E2568" i="1"/>
  <c r="A2568" i="1"/>
  <c r="I2567" i="1"/>
  <c r="A2567" i="1" s="1"/>
  <c r="G2567" i="1"/>
  <c r="F2567" i="1"/>
  <c r="E2567" i="1"/>
  <c r="I2566" i="1"/>
  <c r="G2566" i="1"/>
  <c r="F2566" i="1"/>
  <c r="E2566" i="1"/>
  <c r="A2566" i="1"/>
  <c r="I2565" i="1"/>
  <c r="A2565" i="1" s="1"/>
  <c r="G2565" i="1"/>
  <c r="F2565" i="1"/>
  <c r="E2565" i="1"/>
  <c r="I2564" i="1"/>
  <c r="G2564" i="1"/>
  <c r="F2564" i="1"/>
  <c r="E2564" i="1"/>
  <c r="A2564" i="1"/>
  <c r="I2563" i="1"/>
  <c r="H2563" i="1"/>
  <c r="G2563" i="1"/>
  <c r="F2563" i="1"/>
  <c r="E2563" i="1"/>
  <c r="A2563" i="1"/>
  <c r="I2562" i="1"/>
  <c r="A2562" i="1" s="1"/>
  <c r="G2562" i="1"/>
  <c r="F2562" i="1"/>
  <c r="E2562" i="1"/>
  <c r="I2561" i="1"/>
  <c r="G2561" i="1"/>
  <c r="F2561" i="1"/>
  <c r="E2561" i="1"/>
  <c r="A2561" i="1"/>
  <c r="I2560" i="1"/>
  <c r="G2560" i="1"/>
  <c r="F2560" i="1"/>
  <c r="E2560" i="1"/>
  <c r="A2560" i="1"/>
  <c r="I2559" i="1"/>
  <c r="A2559" i="1" s="1"/>
  <c r="G2559" i="1"/>
  <c r="F2559" i="1"/>
  <c r="E2559" i="1"/>
  <c r="I2558" i="1"/>
  <c r="G2558" i="1"/>
  <c r="F2558" i="1"/>
  <c r="E2558" i="1"/>
  <c r="A2558" i="1"/>
  <c r="I2557" i="1"/>
  <c r="A2557" i="1" s="1"/>
  <c r="H2557" i="1"/>
  <c r="H2611" i="1" s="1"/>
  <c r="G2557" i="1"/>
  <c r="F2557" i="1"/>
  <c r="E2557" i="1"/>
  <c r="D2557" i="1"/>
  <c r="I2556" i="1"/>
  <c r="A2556" i="1" s="1"/>
  <c r="I2555" i="1"/>
  <c r="A2555" i="1" s="1"/>
  <c r="D2555" i="1"/>
  <c r="I2554" i="1"/>
  <c r="A2554" i="1"/>
  <c r="I2553" i="1"/>
  <c r="A2553" i="1"/>
  <c r="I2552" i="1"/>
  <c r="A2552" i="1" s="1"/>
  <c r="G2552" i="1"/>
  <c r="F2552" i="1"/>
  <c r="E2552" i="1"/>
  <c r="I2551" i="1"/>
  <c r="A2551" i="1" s="1"/>
  <c r="G2551" i="1"/>
  <c r="E2551" i="1"/>
  <c r="I2550" i="1"/>
  <c r="A2550" i="1" s="1"/>
  <c r="G2550" i="1"/>
  <c r="E2550" i="1"/>
  <c r="I2549" i="1"/>
  <c r="A2549" i="1" s="1"/>
  <c r="I2548" i="1"/>
  <c r="A2548" i="1" s="1"/>
  <c r="G2548" i="1"/>
  <c r="F2548" i="1"/>
  <c r="I2547" i="1"/>
  <c r="A2547" i="1" s="1"/>
  <c r="G2547" i="1"/>
  <c r="F2547" i="1"/>
  <c r="I2546" i="1"/>
  <c r="A2546" i="1" s="1"/>
  <c r="G2546" i="1"/>
  <c r="F2546" i="1"/>
  <c r="E2546" i="1"/>
  <c r="I2545" i="1"/>
  <c r="G2545" i="1"/>
  <c r="F2545" i="1"/>
  <c r="E2545" i="1"/>
  <c r="A2545" i="1"/>
  <c r="I2544" i="1"/>
  <c r="G2544" i="1"/>
  <c r="F2544" i="1"/>
  <c r="E2544" i="1"/>
  <c r="A2544" i="1"/>
  <c r="I2543" i="1"/>
  <c r="G2543" i="1"/>
  <c r="F2543" i="1"/>
  <c r="E2543" i="1"/>
  <c r="A2543" i="1"/>
  <c r="I2542" i="1"/>
  <c r="G2542" i="1"/>
  <c r="F2542" i="1"/>
  <c r="E2542" i="1"/>
  <c r="A2542" i="1"/>
  <c r="I2541" i="1"/>
  <c r="A2541" i="1" s="1"/>
  <c r="G2541" i="1"/>
  <c r="F2541" i="1"/>
  <c r="E2541" i="1"/>
  <c r="I2540" i="1"/>
  <c r="A2540" i="1" s="1"/>
  <c r="G2540" i="1"/>
  <c r="F2540" i="1"/>
  <c r="E2540" i="1"/>
  <c r="I2539" i="1"/>
  <c r="A2539" i="1" s="1"/>
  <c r="G2539" i="1"/>
  <c r="F2539" i="1"/>
  <c r="E2539" i="1"/>
  <c r="I2538" i="1"/>
  <c r="A2538" i="1" s="1"/>
  <c r="G2538" i="1"/>
  <c r="F2538" i="1"/>
  <c r="E2538" i="1"/>
  <c r="I2537" i="1"/>
  <c r="G2537" i="1"/>
  <c r="F2537" i="1"/>
  <c r="E2537" i="1"/>
  <c r="A2537" i="1"/>
  <c r="I2536" i="1"/>
  <c r="G2536" i="1"/>
  <c r="F2536" i="1"/>
  <c r="E2536" i="1"/>
  <c r="A2536" i="1"/>
  <c r="I2535" i="1"/>
  <c r="G2535" i="1"/>
  <c r="F2535" i="1"/>
  <c r="E2535" i="1"/>
  <c r="A2535" i="1"/>
  <c r="I2534" i="1"/>
  <c r="G2534" i="1"/>
  <c r="F2534" i="1"/>
  <c r="E2534" i="1"/>
  <c r="A2534" i="1"/>
  <c r="I2533" i="1"/>
  <c r="A2533" i="1" s="1"/>
  <c r="G2533" i="1"/>
  <c r="F2533" i="1"/>
  <c r="E2533" i="1"/>
  <c r="I2532" i="1"/>
  <c r="A2532" i="1" s="1"/>
  <c r="G2532" i="1"/>
  <c r="F2532" i="1"/>
  <c r="E2532" i="1"/>
  <c r="I2531" i="1"/>
  <c r="A2531" i="1" s="1"/>
  <c r="G2531" i="1"/>
  <c r="F2531" i="1"/>
  <c r="E2531" i="1"/>
  <c r="I2530" i="1"/>
  <c r="A2530" i="1" s="1"/>
  <c r="G2530" i="1"/>
  <c r="F2530" i="1"/>
  <c r="E2530" i="1"/>
  <c r="I2529" i="1"/>
  <c r="G2529" i="1"/>
  <c r="F2529" i="1"/>
  <c r="E2529" i="1"/>
  <c r="A2529" i="1"/>
  <c r="I2528" i="1"/>
  <c r="G2528" i="1"/>
  <c r="F2528" i="1"/>
  <c r="E2528" i="1"/>
  <c r="A2528" i="1"/>
  <c r="I2527" i="1"/>
  <c r="I2526" i="1"/>
  <c r="A2526" i="1" s="1"/>
  <c r="A2527" i="1" s="1"/>
  <c r="I2525" i="1"/>
  <c r="A2525" i="1" s="1"/>
  <c r="G2525" i="1"/>
  <c r="F2525" i="1"/>
  <c r="I2524" i="1"/>
  <c r="A2524" i="1" s="1"/>
  <c r="G2524" i="1"/>
  <c r="F2524" i="1"/>
  <c r="E2524" i="1"/>
  <c r="I2523" i="1"/>
  <c r="G2523" i="1"/>
  <c r="F2523" i="1"/>
  <c r="E2523" i="1"/>
  <c r="A2523" i="1"/>
  <c r="I2522" i="1"/>
  <c r="A2522" i="1" s="1"/>
  <c r="G2522" i="1"/>
  <c r="F2522" i="1"/>
  <c r="I2521" i="1"/>
  <c r="A2521" i="1" s="1"/>
  <c r="G2521" i="1"/>
  <c r="F2521" i="1"/>
  <c r="E2521" i="1"/>
  <c r="I2520" i="1"/>
  <c r="A2520" i="1" s="1"/>
  <c r="G2520" i="1"/>
  <c r="F2520" i="1"/>
  <c r="E2520" i="1"/>
  <c r="I2519" i="1"/>
  <c r="A2519" i="1" s="1"/>
  <c r="G2519" i="1"/>
  <c r="F2519" i="1"/>
  <c r="E2519" i="1"/>
  <c r="I2518" i="1"/>
  <c r="G2518" i="1"/>
  <c r="F2518" i="1"/>
  <c r="E2518" i="1"/>
  <c r="A2518" i="1"/>
  <c r="I2517" i="1"/>
  <c r="G2517" i="1"/>
  <c r="F2517" i="1"/>
  <c r="E2517" i="1"/>
  <c r="A2517" i="1"/>
  <c r="I2516" i="1"/>
  <c r="G2516" i="1"/>
  <c r="F2516" i="1"/>
  <c r="E2516" i="1"/>
  <c r="A2516" i="1"/>
  <c r="I2515" i="1"/>
  <c r="G2515" i="1"/>
  <c r="F2515" i="1"/>
  <c r="E2515" i="1"/>
  <c r="A2515" i="1"/>
  <c r="I2514" i="1"/>
  <c r="G2514" i="1"/>
  <c r="F2514" i="1"/>
  <c r="E2514" i="1"/>
  <c r="I2513" i="1"/>
  <c r="G2513" i="1"/>
  <c r="F2513" i="1"/>
  <c r="E2513" i="1"/>
  <c r="I2512" i="1"/>
  <c r="G2512" i="1"/>
  <c r="F2512" i="1"/>
  <c r="E2512" i="1"/>
  <c r="N2511" i="1"/>
  <c r="I2511" i="1"/>
  <c r="G2511" i="1"/>
  <c r="F2511" i="1"/>
  <c r="E2511" i="1"/>
  <c r="N2510" i="1"/>
  <c r="I2510" i="1"/>
  <c r="G2510" i="1"/>
  <c r="F2510" i="1"/>
  <c r="E2510" i="1"/>
  <c r="I2509" i="1"/>
  <c r="A2509" i="1"/>
  <c r="A2510" i="1" s="1"/>
  <c r="A2511" i="1" s="1"/>
  <c r="A2512" i="1" s="1"/>
  <c r="A2513" i="1" s="1"/>
  <c r="A2514" i="1" s="1"/>
  <c r="I2508" i="1"/>
  <c r="A2508" i="1"/>
  <c r="I2507" i="1"/>
  <c r="G2507" i="1"/>
  <c r="F2507" i="1"/>
  <c r="E2507" i="1"/>
  <c r="A2507" i="1"/>
  <c r="I2506" i="1"/>
  <c r="G2506" i="1"/>
  <c r="F2506" i="1"/>
  <c r="E2506" i="1"/>
  <c r="A2506" i="1"/>
  <c r="I2505" i="1"/>
  <c r="A2505" i="1"/>
  <c r="I2504" i="1"/>
  <c r="A2504" i="1" s="1"/>
  <c r="I2503" i="1"/>
  <c r="G2503" i="1"/>
  <c r="F2503" i="1"/>
  <c r="E2503" i="1"/>
  <c r="A2503" i="1"/>
  <c r="I2502" i="1"/>
  <c r="G2502" i="1"/>
  <c r="F2502" i="1"/>
  <c r="E2502" i="1"/>
  <c r="A2502" i="1"/>
  <c r="I2501" i="1"/>
  <c r="G2501" i="1"/>
  <c r="F2501" i="1"/>
  <c r="E2501" i="1"/>
  <c r="A2501" i="1"/>
  <c r="I2500" i="1"/>
  <c r="G2500" i="1"/>
  <c r="F2500" i="1"/>
  <c r="E2500" i="1"/>
  <c r="A2500" i="1"/>
  <c r="I2499" i="1"/>
  <c r="G2499" i="1"/>
  <c r="F2499" i="1"/>
  <c r="E2499" i="1"/>
  <c r="A2499" i="1"/>
  <c r="I2498" i="1"/>
  <c r="G2498" i="1"/>
  <c r="F2498" i="1"/>
  <c r="E2498" i="1"/>
  <c r="A2498" i="1"/>
  <c r="I2497" i="1"/>
  <c r="G2497" i="1"/>
  <c r="F2497" i="1"/>
  <c r="E2497" i="1"/>
  <c r="A2497" i="1"/>
  <c r="I2496" i="1"/>
  <c r="I2495" i="1"/>
  <c r="A2495" i="1" s="1"/>
  <c r="A2496" i="1" s="1"/>
  <c r="I2494" i="1"/>
  <c r="G2494" i="1"/>
  <c r="F2494" i="1"/>
  <c r="E2494" i="1"/>
  <c r="A2494" i="1"/>
  <c r="I2493" i="1"/>
  <c r="G2493" i="1"/>
  <c r="F2493" i="1"/>
  <c r="E2493" i="1"/>
  <c r="A2493" i="1"/>
  <c r="I2492" i="1"/>
  <c r="G2492" i="1"/>
  <c r="F2492" i="1"/>
  <c r="E2492" i="1"/>
  <c r="A2492" i="1"/>
  <c r="I2491" i="1"/>
  <c r="G2491" i="1"/>
  <c r="F2491" i="1"/>
  <c r="E2491" i="1"/>
  <c r="A2491" i="1"/>
  <c r="I2490" i="1"/>
  <c r="G2490" i="1"/>
  <c r="F2490" i="1"/>
  <c r="E2490" i="1"/>
  <c r="A2490" i="1"/>
  <c r="I2489" i="1"/>
  <c r="G2489" i="1"/>
  <c r="F2489" i="1"/>
  <c r="E2489" i="1"/>
  <c r="A2489" i="1"/>
  <c r="I2488" i="1"/>
  <c r="G2488" i="1"/>
  <c r="F2488" i="1"/>
  <c r="E2488" i="1"/>
  <c r="A2488" i="1"/>
  <c r="I2487" i="1"/>
  <c r="G2487" i="1"/>
  <c r="F2487" i="1"/>
  <c r="E2487" i="1"/>
  <c r="A2487" i="1"/>
  <c r="I2486" i="1"/>
  <c r="G2486" i="1"/>
  <c r="F2486" i="1"/>
  <c r="E2486" i="1"/>
  <c r="A2486" i="1"/>
  <c r="I2485" i="1"/>
  <c r="G2485" i="1"/>
  <c r="F2485" i="1"/>
  <c r="E2485" i="1"/>
  <c r="A2485" i="1"/>
  <c r="I2484" i="1"/>
  <c r="A2484" i="1"/>
  <c r="I2483" i="1"/>
  <c r="A2483" i="1"/>
  <c r="I2482" i="1"/>
  <c r="G2482" i="1"/>
  <c r="F2482" i="1"/>
  <c r="E2482" i="1"/>
  <c r="A2482" i="1"/>
  <c r="I2481" i="1"/>
  <c r="G2481" i="1"/>
  <c r="F2481" i="1"/>
  <c r="E2481" i="1"/>
  <c r="A2481" i="1"/>
  <c r="I2480" i="1"/>
  <c r="G2480" i="1"/>
  <c r="F2480" i="1"/>
  <c r="E2480" i="1"/>
  <c r="A2480" i="1"/>
  <c r="I2479" i="1"/>
  <c r="G2479" i="1"/>
  <c r="F2479" i="1"/>
  <c r="E2479" i="1"/>
  <c r="A2479" i="1"/>
  <c r="I2478" i="1"/>
  <c r="A2478" i="1" s="1"/>
  <c r="G2478" i="1"/>
  <c r="F2478" i="1"/>
  <c r="E2478" i="1"/>
  <c r="I2477" i="1"/>
  <c r="G2477" i="1"/>
  <c r="F2477" i="1"/>
  <c r="E2477" i="1"/>
  <c r="A2477" i="1"/>
  <c r="I2476" i="1"/>
  <c r="G2476" i="1"/>
  <c r="F2476" i="1"/>
  <c r="E2476" i="1"/>
  <c r="A2476" i="1"/>
  <c r="I2475" i="1"/>
  <c r="I2474" i="1"/>
  <c r="A2474" i="1"/>
  <c r="A2475" i="1" s="1"/>
  <c r="I2473" i="1"/>
  <c r="A2473" i="1" s="1"/>
  <c r="H2473" i="1"/>
  <c r="G2473" i="1"/>
  <c r="F2473" i="1"/>
  <c r="E2473" i="1"/>
  <c r="I2472" i="1"/>
  <c r="H2472" i="1"/>
  <c r="G2472" i="1"/>
  <c r="F2472" i="1"/>
  <c r="E2472" i="1"/>
  <c r="A2472" i="1"/>
  <c r="I2471" i="1"/>
  <c r="G2471" i="1"/>
  <c r="F2471" i="1"/>
  <c r="E2471" i="1"/>
  <c r="A2471" i="1"/>
  <c r="I2470" i="1"/>
  <c r="H2470" i="1"/>
  <c r="G2470" i="1"/>
  <c r="F2470" i="1"/>
  <c r="E2470" i="1"/>
  <c r="A2470" i="1"/>
  <c r="I2469" i="1"/>
  <c r="A2469" i="1" s="1"/>
  <c r="H2469" i="1"/>
  <c r="G2469" i="1"/>
  <c r="F2469" i="1"/>
  <c r="E2469" i="1"/>
  <c r="I2468" i="1"/>
  <c r="H2468" i="1"/>
  <c r="G2468" i="1"/>
  <c r="F2468" i="1"/>
  <c r="E2468" i="1"/>
  <c r="A2468" i="1"/>
  <c r="I2467" i="1"/>
  <c r="H2467" i="1"/>
  <c r="G2467" i="1"/>
  <c r="F2467" i="1"/>
  <c r="E2467" i="1"/>
  <c r="A2467" i="1"/>
  <c r="I2466" i="1"/>
  <c r="H2466" i="1"/>
  <c r="H2471" i="1" s="1"/>
  <c r="G2466" i="1"/>
  <c r="F2466" i="1"/>
  <c r="E2466" i="1"/>
  <c r="A2466" i="1"/>
  <c r="I2465" i="1"/>
  <c r="A2465" i="1"/>
  <c r="I2464" i="1"/>
  <c r="A2464" i="1" s="1"/>
  <c r="I2463" i="1"/>
  <c r="G2463" i="1"/>
  <c r="F2463" i="1"/>
  <c r="E2463" i="1"/>
  <c r="A2463" i="1"/>
  <c r="I2462" i="1"/>
  <c r="A2462" i="1" s="1"/>
  <c r="G2462" i="1"/>
  <c r="F2462" i="1"/>
  <c r="E2462" i="1"/>
  <c r="I2461" i="1"/>
  <c r="A2461" i="1" s="1"/>
  <c r="G2461" i="1"/>
  <c r="F2461" i="1"/>
  <c r="E2461" i="1"/>
  <c r="I2460" i="1"/>
  <c r="A2460" i="1" s="1"/>
  <c r="G2460" i="1"/>
  <c r="F2460" i="1"/>
  <c r="E2460" i="1"/>
  <c r="I2459" i="1"/>
  <c r="I2458" i="1"/>
  <c r="A2458" i="1" s="1"/>
  <c r="A2459" i="1" s="1"/>
  <c r="I2457" i="1"/>
  <c r="A2457" i="1" s="1"/>
  <c r="G2457" i="1"/>
  <c r="F2457" i="1"/>
  <c r="E2457" i="1"/>
  <c r="I2456" i="1"/>
  <c r="A2456" i="1" s="1"/>
  <c r="F2456" i="1"/>
  <c r="E2456" i="1"/>
  <c r="I2455" i="1"/>
  <c r="F2455" i="1"/>
  <c r="E2455" i="1"/>
  <c r="A2455" i="1"/>
  <c r="I2454" i="1"/>
  <c r="A2454" i="1" s="1"/>
  <c r="F2454" i="1"/>
  <c r="E2454" i="1"/>
  <c r="I2453" i="1"/>
  <c r="E2453" i="1"/>
  <c r="A2453" i="1"/>
  <c r="I2452" i="1"/>
  <c r="A2452" i="1" s="1"/>
  <c r="G2452" i="1"/>
  <c r="F2452" i="1"/>
  <c r="E2452" i="1"/>
  <c r="I2451" i="1"/>
  <c r="A2451" i="1" s="1"/>
  <c r="G2451" i="1"/>
  <c r="F2451" i="1"/>
  <c r="E2451" i="1"/>
  <c r="I2450" i="1"/>
  <c r="A2450" i="1" s="1"/>
  <c r="G2450" i="1"/>
  <c r="F2450" i="1"/>
  <c r="E2450" i="1"/>
  <c r="I2449" i="1"/>
  <c r="G2449" i="1"/>
  <c r="F2449" i="1"/>
  <c r="E2449" i="1"/>
  <c r="A2449" i="1"/>
  <c r="I2448" i="1"/>
  <c r="A2448" i="1" s="1"/>
  <c r="G2448" i="1"/>
  <c r="F2448" i="1"/>
  <c r="E2448" i="1"/>
  <c r="I2447" i="1"/>
  <c r="A2447" i="1" s="1"/>
  <c r="G2447" i="1"/>
  <c r="F2447" i="1"/>
  <c r="E2447" i="1"/>
  <c r="I2446" i="1"/>
  <c r="A2446" i="1" s="1"/>
  <c r="G2446" i="1"/>
  <c r="F2446" i="1"/>
  <c r="E2446" i="1"/>
  <c r="I2445" i="1"/>
  <c r="G2445" i="1"/>
  <c r="F2445" i="1"/>
  <c r="E2445" i="1"/>
  <c r="A2445" i="1"/>
  <c r="I2444" i="1"/>
  <c r="A2444" i="1" s="1"/>
  <c r="G2444" i="1"/>
  <c r="F2444" i="1"/>
  <c r="E2444" i="1"/>
  <c r="I2443" i="1"/>
  <c r="A2443" i="1" s="1"/>
  <c r="G2443" i="1"/>
  <c r="F2443" i="1"/>
  <c r="E2443" i="1"/>
  <c r="I2442" i="1"/>
  <c r="A2442" i="1" s="1"/>
  <c r="I2441" i="1"/>
  <c r="A2441" i="1" s="1"/>
  <c r="I2440" i="1"/>
  <c r="A2440" i="1" s="1"/>
  <c r="F2440" i="1"/>
  <c r="I2439" i="1"/>
  <c r="A2439" i="1" s="1"/>
  <c r="F2439" i="1"/>
  <c r="I2438" i="1"/>
  <c r="A2438" i="1" s="1"/>
  <c r="F2438" i="1"/>
  <c r="I2437" i="1"/>
  <c r="A2437" i="1" s="1"/>
  <c r="F2437" i="1"/>
  <c r="I2436" i="1"/>
  <c r="A2436" i="1" s="1"/>
  <c r="F2436" i="1"/>
  <c r="I2435" i="1"/>
  <c r="A2435" i="1" s="1"/>
  <c r="F2435" i="1"/>
  <c r="I2434" i="1"/>
  <c r="A2434" i="1" s="1"/>
  <c r="F2434" i="1"/>
  <c r="I2433" i="1"/>
  <c r="I2432" i="1"/>
  <c r="A2432" i="1" s="1"/>
  <c r="A2433" i="1" s="1"/>
  <c r="I2431" i="1"/>
  <c r="A2431" i="1" s="1"/>
  <c r="F2431" i="1"/>
  <c r="I2430" i="1"/>
  <c r="A2430" i="1" s="1"/>
  <c r="F2430" i="1"/>
  <c r="I2429" i="1"/>
  <c r="A2429" i="1" s="1"/>
  <c r="F2429" i="1"/>
  <c r="I2428" i="1"/>
  <c r="A2428" i="1" s="1"/>
  <c r="F2428" i="1"/>
  <c r="I2427" i="1"/>
  <c r="A2427" i="1" s="1"/>
  <c r="F2427" i="1"/>
  <c r="I2426" i="1"/>
  <c r="A2426" i="1" s="1"/>
  <c r="F2426" i="1"/>
  <c r="I2425" i="1"/>
  <c r="A2425" i="1" s="1"/>
  <c r="F2425" i="1"/>
  <c r="I2424" i="1"/>
  <c r="I2423" i="1"/>
  <c r="A2423" i="1" s="1"/>
  <c r="A2424" i="1" s="1"/>
  <c r="I2422" i="1"/>
  <c r="A2422" i="1" s="1"/>
  <c r="F2422" i="1"/>
  <c r="I2421" i="1"/>
  <c r="A2421" i="1" s="1"/>
  <c r="F2421" i="1"/>
  <c r="I2420" i="1"/>
  <c r="A2420" i="1" s="1"/>
  <c r="F2420" i="1"/>
  <c r="I2419" i="1"/>
  <c r="A2419" i="1" s="1"/>
  <c r="F2419" i="1"/>
  <c r="I2418" i="1"/>
  <c r="A2418" i="1" s="1"/>
  <c r="F2418" i="1"/>
  <c r="I2417" i="1"/>
  <c r="I2416" i="1"/>
  <c r="A2416" i="1" s="1"/>
  <c r="A2417" i="1" s="1"/>
  <c r="I2415" i="1"/>
  <c r="A2415" i="1" s="1"/>
  <c r="F2415" i="1"/>
  <c r="I2414" i="1"/>
  <c r="A2414" i="1" s="1"/>
  <c r="F2414" i="1"/>
  <c r="I2413" i="1"/>
  <c r="A2413" i="1" s="1"/>
  <c r="F2413" i="1"/>
  <c r="I2412" i="1"/>
  <c r="A2412" i="1" s="1"/>
  <c r="F2412" i="1"/>
  <c r="I2411" i="1"/>
  <c r="A2411" i="1" s="1"/>
  <c r="F2411" i="1"/>
  <c r="I2410" i="1"/>
  <c r="I2409" i="1"/>
  <c r="A2409" i="1" s="1"/>
  <c r="A2410" i="1" s="1"/>
  <c r="I2408" i="1"/>
  <c r="A2408" i="1" s="1"/>
  <c r="F2408" i="1"/>
  <c r="I2407" i="1"/>
  <c r="A2407" i="1" s="1"/>
  <c r="F2407" i="1"/>
  <c r="I2406" i="1"/>
  <c r="A2406" i="1" s="1"/>
  <c r="F2406" i="1"/>
  <c r="I2405" i="1"/>
  <c r="A2405" i="1" s="1"/>
  <c r="F2405" i="1"/>
  <c r="I2404" i="1"/>
  <c r="A2404" i="1" s="1"/>
  <c r="F2404" i="1"/>
  <c r="I2403" i="1"/>
  <c r="I2402" i="1"/>
  <c r="A2402" i="1" s="1"/>
  <c r="A2403" i="1" s="1"/>
  <c r="I2401" i="1"/>
  <c r="A2401" i="1" s="1"/>
  <c r="G2401" i="1"/>
  <c r="F2401" i="1"/>
  <c r="E2401" i="1"/>
  <c r="I2400" i="1"/>
  <c r="G2400" i="1"/>
  <c r="F2400" i="1"/>
  <c r="E2400" i="1"/>
  <c r="A2400" i="1"/>
  <c r="I2399" i="1"/>
  <c r="A2399" i="1" s="1"/>
  <c r="G2399" i="1"/>
  <c r="F2399" i="1"/>
  <c r="E2399" i="1"/>
  <c r="I2398" i="1"/>
  <c r="A2398" i="1" s="1"/>
  <c r="G2398" i="1"/>
  <c r="F2398" i="1"/>
  <c r="E2398" i="1"/>
  <c r="I2397" i="1"/>
  <c r="A2397" i="1" s="1"/>
  <c r="G2397" i="1"/>
  <c r="F2397" i="1"/>
  <c r="E2397" i="1"/>
  <c r="I2396" i="1"/>
  <c r="G2396" i="1"/>
  <c r="F2396" i="1"/>
  <c r="E2396" i="1"/>
  <c r="A2396" i="1"/>
  <c r="I2395" i="1"/>
  <c r="I2394" i="1"/>
  <c r="A2394" i="1" s="1"/>
  <c r="A2395" i="1" s="1"/>
  <c r="I2393" i="1"/>
  <c r="G2393" i="1"/>
  <c r="F2393" i="1"/>
  <c r="E2393" i="1"/>
  <c r="B2393" i="1"/>
  <c r="A2393" i="1"/>
  <c r="I2392" i="1"/>
  <c r="G2392" i="1"/>
  <c r="F2392" i="1"/>
  <c r="E2392" i="1"/>
  <c r="B2392" i="1"/>
  <c r="A2392" i="1"/>
  <c r="I2391" i="1"/>
  <c r="A2391" i="1" s="1"/>
  <c r="G2391" i="1"/>
  <c r="F2391" i="1"/>
  <c r="I2390" i="1"/>
  <c r="G2390" i="1"/>
  <c r="F2390" i="1"/>
  <c r="E2390" i="1"/>
  <c r="A2390" i="1"/>
  <c r="I2389" i="1"/>
  <c r="A2389" i="1" s="1"/>
  <c r="I2388" i="1"/>
  <c r="G2388" i="1"/>
  <c r="F2388" i="1"/>
  <c r="E2388" i="1"/>
  <c r="A2388" i="1"/>
  <c r="I2387" i="1"/>
  <c r="A2387" i="1" s="1"/>
  <c r="G2387" i="1"/>
  <c r="F2387" i="1"/>
  <c r="I2386" i="1"/>
  <c r="A2386" i="1" s="1"/>
  <c r="G2386" i="1"/>
  <c r="F2386" i="1"/>
  <c r="E2386" i="1"/>
  <c r="I2385" i="1"/>
  <c r="A2385" i="1" s="1"/>
  <c r="G2385" i="1"/>
  <c r="F2385" i="1"/>
  <c r="I2384" i="1"/>
  <c r="A2384" i="1" s="1"/>
  <c r="G2384" i="1"/>
  <c r="F2384" i="1"/>
  <c r="I2383" i="1"/>
  <c r="A2383" i="1" s="1"/>
  <c r="I2382" i="1"/>
  <c r="A2382" i="1" s="1"/>
  <c r="I2381" i="1"/>
  <c r="A2381" i="1" s="1"/>
  <c r="I2380" i="1"/>
  <c r="A2380" i="1" s="1"/>
  <c r="G2380" i="1"/>
  <c r="F2380" i="1"/>
  <c r="E2380" i="1"/>
  <c r="I2379" i="1"/>
  <c r="G2379" i="1"/>
  <c r="F2379" i="1"/>
  <c r="E2379" i="1"/>
  <c r="A2379" i="1"/>
  <c r="I2378" i="1"/>
  <c r="A2378" i="1" s="1"/>
  <c r="G2378" i="1"/>
  <c r="F2378" i="1"/>
  <c r="E2378" i="1"/>
  <c r="I2377" i="1"/>
  <c r="G2377" i="1"/>
  <c r="F2377" i="1"/>
  <c r="E2377" i="1"/>
  <c r="A2377" i="1"/>
  <c r="I2376" i="1"/>
  <c r="G2376" i="1"/>
  <c r="F2376" i="1"/>
  <c r="E2376" i="1"/>
  <c r="A2376" i="1"/>
  <c r="I2375" i="1"/>
  <c r="G2375" i="1"/>
  <c r="F2375" i="1"/>
  <c r="E2375" i="1"/>
  <c r="A2375" i="1"/>
  <c r="I2374" i="1"/>
  <c r="A2374" i="1" s="1"/>
  <c r="G2374" i="1"/>
  <c r="F2374" i="1"/>
  <c r="E2374" i="1"/>
  <c r="I2373" i="1"/>
  <c r="A2373" i="1" s="1"/>
  <c r="G2373" i="1"/>
  <c r="F2373" i="1"/>
  <c r="E2373" i="1"/>
  <c r="I2372" i="1"/>
  <c r="G2372" i="1"/>
  <c r="F2372" i="1"/>
  <c r="E2372" i="1"/>
  <c r="A2372" i="1"/>
  <c r="I2371" i="1"/>
  <c r="G2371" i="1"/>
  <c r="F2371" i="1"/>
  <c r="E2371" i="1"/>
  <c r="A2371" i="1"/>
  <c r="I2370" i="1"/>
  <c r="A2370" i="1" s="1"/>
  <c r="G2370" i="1"/>
  <c r="F2370" i="1"/>
  <c r="E2370" i="1"/>
  <c r="I2369" i="1"/>
  <c r="H2369" i="1"/>
  <c r="H2495" i="1" s="1"/>
  <c r="G2369" i="1"/>
  <c r="F2369" i="1"/>
  <c r="E2369" i="1"/>
  <c r="D2369" i="1"/>
  <c r="A2369" i="1"/>
  <c r="I2368" i="1"/>
  <c r="A2368" i="1" s="1"/>
  <c r="I2367" i="1"/>
  <c r="D2367" i="1"/>
  <c r="A2367" i="1"/>
  <c r="I2366" i="1"/>
  <c r="A2366" i="1"/>
  <c r="I2365" i="1"/>
  <c r="A2365" i="1" s="1"/>
  <c r="I2364" i="1"/>
  <c r="G2364" i="1"/>
  <c r="E2364" i="1"/>
  <c r="A2364" i="1"/>
  <c r="I2363" i="1"/>
  <c r="A2363" i="1" s="1"/>
  <c r="G2363" i="1"/>
  <c r="E2363" i="1"/>
  <c r="I2362" i="1"/>
  <c r="A2362" i="1"/>
  <c r="I2361" i="1"/>
  <c r="H2361" i="1"/>
  <c r="G2361" i="1"/>
  <c r="F2361" i="1"/>
  <c r="E2361" i="1"/>
  <c r="A2361" i="1"/>
  <c r="I2360" i="1"/>
  <c r="H2360" i="1"/>
  <c r="G2360" i="1"/>
  <c r="F2360" i="1"/>
  <c r="E2360" i="1"/>
  <c r="A2360" i="1"/>
  <c r="I2359" i="1"/>
  <c r="H2359" i="1"/>
  <c r="G2359" i="1"/>
  <c r="F2359" i="1"/>
  <c r="E2359" i="1"/>
  <c r="A2359" i="1"/>
  <c r="I2358" i="1"/>
  <c r="H2358" i="1"/>
  <c r="G2358" i="1"/>
  <c r="F2358" i="1"/>
  <c r="E2358" i="1"/>
  <c r="A2358" i="1"/>
  <c r="I2357" i="1"/>
  <c r="H2357" i="1"/>
  <c r="G2357" i="1"/>
  <c r="F2357" i="1"/>
  <c r="E2357" i="1"/>
  <c r="A2357" i="1"/>
  <c r="I2356" i="1"/>
  <c r="H2356" i="1"/>
  <c r="G2356" i="1"/>
  <c r="F2356" i="1"/>
  <c r="E2356" i="1"/>
  <c r="A2356" i="1"/>
  <c r="I2355" i="1"/>
  <c r="H2355" i="1"/>
  <c r="G2355" i="1"/>
  <c r="F2355" i="1"/>
  <c r="E2355" i="1"/>
  <c r="A2355" i="1"/>
  <c r="I2354" i="1"/>
  <c r="H2354" i="1"/>
  <c r="G2354" i="1"/>
  <c r="F2354" i="1"/>
  <c r="E2354" i="1"/>
  <c r="A2354" i="1"/>
  <c r="I2353" i="1"/>
  <c r="H2353" i="1"/>
  <c r="G2353" i="1"/>
  <c r="F2353" i="1"/>
  <c r="E2353" i="1"/>
  <c r="A2353" i="1"/>
  <c r="I2352" i="1"/>
  <c r="H2352" i="1"/>
  <c r="G2352" i="1"/>
  <c r="F2352" i="1"/>
  <c r="E2352" i="1"/>
  <c r="A2352" i="1"/>
  <c r="I2351" i="1"/>
  <c r="H2351" i="1"/>
  <c r="G2351" i="1"/>
  <c r="F2351" i="1"/>
  <c r="E2351" i="1"/>
  <c r="A2351" i="1"/>
  <c r="I2350" i="1"/>
  <c r="H2350" i="1"/>
  <c r="G2350" i="1"/>
  <c r="F2350" i="1"/>
  <c r="E2350" i="1"/>
  <c r="A2350" i="1"/>
  <c r="I2349" i="1"/>
  <c r="H2349" i="1"/>
  <c r="G2349" i="1"/>
  <c r="F2349" i="1"/>
  <c r="E2349" i="1"/>
  <c r="A2349" i="1"/>
  <c r="I2348" i="1"/>
  <c r="H2348" i="1"/>
  <c r="G2348" i="1"/>
  <c r="F2348" i="1"/>
  <c r="E2348" i="1"/>
  <c r="A2348" i="1"/>
  <c r="I2347" i="1"/>
  <c r="H2347" i="1"/>
  <c r="G2347" i="1"/>
  <c r="F2347" i="1"/>
  <c r="E2347" i="1"/>
  <c r="A2347" i="1"/>
  <c r="I2346" i="1"/>
  <c r="H2346" i="1"/>
  <c r="G2346" i="1"/>
  <c r="F2346" i="1"/>
  <c r="E2346" i="1"/>
  <c r="A2346" i="1"/>
  <c r="I2345" i="1"/>
  <c r="H2345" i="1"/>
  <c r="G2345" i="1"/>
  <c r="F2345" i="1"/>
  <c r="E2345" i="1"/>
  <c r="A2345" i="1"/>
  <c r="I2344" i="1"/>
  <c r="H2344" i="1"/>
  <c r="G2344" i="1"/>
  <c r="F2344" i="1"/>
  <c r="E2344" i="1"/>
  <c r="A2344" i="1"/>
  <c r="I2343" i="1"/>
  <c r="H2343" i="1"/>
  <c r="G2343" i="1"/>
  <c r="F2343" i="1"/>
  <c r="E2343" i="1"/>
  <c r="A2343" i="1"/>
  <c r="I2342" i="1"/>
  <c r="H2342" i="1"/>
  <c r="G2342" i="1"/>
  <c r="F2342" i="1"/>
  <c r="E2342" i="1"/>
  <c r="A2342" i="1"/>
  <c r="I2341" i="1"/>
  <c r="H2341" i="1"/>
  <c r="G2341" i="1"/>
  <c r="F2341" i="1"/>
  <c r="E2341" i="1"/>
  <c r="A2341" i="1"/>
  <c r="I2340" i="1"/>
  <c r="A2340" i="1"/>
  <c r="I2339" i="1"/>
  <c r="A2339" i="1"/>
  <c r="I2338" i="1"/>
  <c r="A2338" i="1" s="1"/>
  <c r="G2338" i="1"/>
  <c r="F2338" i="1"/>
  <c r="E2338" i="1"/>
  <c r="I2337" i="1"/>
  <c r="A2337" i="1" s="1"/>
  <c r="G2337" i="1"/>
  <c r="F2337" i="1"/>
  <c r="E2337" i="1"/>
  <c r="I2336" i="1"/>
  <c r="G2336" i="1"/>
  <c r="F2336" i="1"/>
  <c r="E2336" i="1"/>
  <c r="A2336" i="1"/>
  <c r="I2335" i="1"/>
  <c r="A2335" i="1" s="1"/>
  <c r="G2335" i="1"/>
  <c r="F2335" i="1"/>
  <c r="E2335" i="1"/>
  <c r="I2334" i="1"/>
  <c r="A2334" i="1" s="1"/>
  <c r="G2334" i="1"/>
  <c r="F2334" i="1"/>
  <c r="E2334" i="1"/>
  <c r="I2333" i="1"/>
  <c r="G2333" i="1"/>
  <c r="F2333" i="1"/>
  <c r="E2333" i="1"/>
  <c r="A2333" i="1"/>
  <c r="I2332" i="1"/>
  <c r="A2332" i="1" s="1"/>
  <c r="G2332" i="1"/>
  <c r="F2332" i="1"/>
  <c r="E2332" i="1"/>
  <c r="I2331" i="1"/>
  <c r="G2331" i="1"/>
  <c r="F2331" i="1"/>
  <c r="A2331" i="1"/>
  <c r="I2330" i="1"/>
  <c r="H2330" i="1"/>
  <c r="G2330" i="1"/>
  <c r="F2330" i="1"/>
  <c r="E2330" i="1"/>
  <c r="A2330" i="1"/>
  <c r="I2329" i="1"/>
  <c r="G2329" i="1"/>
  <c r="F2329" i="1"/>
  <c r="E2329" i="1"/>
  <c r="A2329" i="1"/>
  <c r="I2328" i="1"/>
  <c r="H2328" i="1"/>
  <c r="H2329" i="1" s="1"/>
  <c r="G2328" i="1"/>
  <c r="F2328" i="1"/>
  <c r="E2328" i="1"/>
  <c r="A2328" i="1"/>
  <c r="I2327" i="1"/>
  <c r="G2327" i="1"/>
  <c r="F2327" i="1"/>
  <c r="E2327" i="1"/>
  <c r="A2327" i="1"/>
  <c r="I2326" i="1"/>
  <c r="H2326" i="1"/>
  <c r="G2326" i="1"/>
  <c r="F2326" i="1"/>
  <c r="E2326" i="1"/>
  <c r="A2326" i="1"/>
  <c r="I2325" i="1"/>
  <c r="G2325" i="1"/>
  <c r="F2325" i="1"/>
  <c r="E2325" i="1"/>
  <c r="A2325" i="1"/>
  <c r="I2324" i="1"/>
  <c r="G2324" i="1"/>
  <c r="F2324" i="1"/>
  <c r="E2324" i="1"/>
  <c r="A2324" i="1"/>
  <c r="I2323" i="1"/>
  <c r="G2323" i="1"/>
  <c r="F2323" i="1"/>
  <c r="E2323" i="1"/>
  <c r="A2323" i="1"/>
  <c r="I2322" i="1"/>
  <c r="A2322" i="1" s="1"/>
  <c r="G2322" i="1"/>
  <c r="F2322" i="1"/>
  <c r="E2322" i="1"/>
  <c r="I2321" i="1"/>
  <c r="A2321" i="1" s="1"/>
  <c r="G2321" i="1"/>
  <c r="F2321" i="1"/>
  <c r="E2321" i="1"/>
  <c r="I2320" i="1"/>
  <c r="A2320" i="1" s="1"/>
  <c r="H2320" i="1"/>
  <c r="G2320" i="1"/>
  <c r="F2320" i="1"/>
  <c r="E2320" i="1"/>
  <c r="I2319" i="1"/>
  <c r="G2319" i="1"/>
  <c r="F2319" i="1"/>
  <c r="E2319" i="1"/>
  <c r="A2319" i="1"/>
  <c r="I2318" i="1"/>
  <c r="A2318" i="1" s="1"/>
  <c r="G2318" i="1"/>
  <c r="F2318" i="1"/>
  <c r="E2318" i="1"/>
  <c r="I2317" i="1"/>
  <c r="G2317" i="1"/>
  <c r="F2317" i="1"/>
  <c r="E2317" i="1"/>
  <c r="A2317" i="1"/>
  <c r="I2316" i="1"/>
  <c r="G2316" i="1"/>
  <c r="F2316" i="1"/>
  <c r="E2316" i="1"/>
  <c r="A2316" i="1"/>
  <c r="I2315" i="1"/>
  <c r="I2314" i="1"/>
  <c r="A2314" i="1"/>
  <c r="A2315" i="1" s="1"/>
  <c r="I2313" i="1"/>
  <c r="G2313" i="1"/>
  <c r="F2313" i="1"/>
  <c r="E2313" i="1"/>
  <c r="A2313" i="1"/>
  <c r="I2312" i="1"/>
  <c r="G2312" i="1"/>
  <c r="F2312" i="1"/>
  <c r="E2312" i="1"/>
  <c r="A2312" i="1"/>
  <c r="I2311" i="1"/>
  <c r="G2311" i="1"/>
  <c r="F2311" i="1"/>
  <c r="E2311" i="1"/>
  <c r="A2311" i="1"/>
  <c r="I2310" i="1"/>
  <c r="G2310" i="1"/>
  <c r="F2310" i="1"/>
  <c r="E2310" i="1"/>
  <c r="A2310" i="1"/>
  <c r="I2309" i="1"/>
  <c r="A2309" i="1"/>
  <c r="I2308" i="1"/>
  <c r="A2308" i="1"/>
  <c r="I2307" i="1"/>
  <c r="A2307" i="1" s="1"/>
  <c r="G2307" i="1"/>
  <c r="F2307" i="1"/>
  <c r="E2307" i="1"/>
  <c r="I2306" i="1"/>
  <c r="G2306" i="1"/>
  <c r="F2306" i="1"/>
  <c r="E2306" i="1"/>
  <c r="A2306" i="1"/>
  <c r="I2305" i="1"/>
  <c r="A2305" i="1" s="1"/>
  <c r="G2305" i="1"/>
  <c r="F2305" i="1"/>
  <c r="E2305" i="1"/>
  <c r="I2304" i="1"/>
  <c r="A2304" i="1" s="1"/>
  <c r="G2304" i="1"/>
  <c r="F2304" i="1"/>
  <c r="E2304" i="1"/>
  <c r="I2303" i="1"/>
  <c r="A2303" i="1" s="1"/>
  <c r="G2303" i="1"/>
  <c r="F2303" i="1"/>
  <c r="E2303" i="1"/>
  <c r="I2302" i="1"/>
  <c r="G2302" i="1"/>
  <c r="F2302" i="1"/>
  <c r="E2302" i="1"/>
  <c r="A2302" i="1"/>
  <c r="I2301" i="1"/>
  <c r="A2301" i="1" s="1"/>
  <c r="G2301" i="1"/>
  <c r="F2301" i="1"/>
  <c r="E2301" i="1"/>
  <c r="I2300" i="1"/>
  <c r="A2300" i="1" s="1"/>
  <c r="G2300" i="1"/>
  <c r="F2300" i="1"/>
  <c r="E2300" i="1"/>
  <c r="I2299" i="1"/>
  <c r="A2299" i="1" s="1"/>
  <c r="G2299" i="1"/>
  <c r="F2299" i="1"/>
  <c r="E2299" i="1"/>
  <c r="I2298" i="1"/>
  <c r="G2298" i="1"/>
  <c r="F2298" i="1"/>
  <c r="E2298" i="1"/>
  <c r="A2298" i="1"/>
  <c r="I2297" i="1"/>
  <c r="A2297" i="1" s="1"/>
  <c r="G2297" i="1"/>
  <c r="F2297" i="1"/>
  <c r="E2297" i="1"/>
  <c r="I2296" i="1"/>
  <c r="A2296" i="1" s="1"/>
  <c r="G2296" i="1"/>
  <c r="F2296" i="1"/>
  <c r="E2296" i="1"/>
  <c r="I2295" i="1"/>
  <c r="A2295" i="1" s="1"/>
  <c r="G2295" i="1"/>
  <c r="F2295" i="1"/>
  <c r="E2295" i="1"/>
  <c r="I2294" i="1"/>
  <c r="I2293" i="1"/>
  <c r="A2293" i="1" s="1"/>
  <c r="A2294" i="1" s="1"/>
  <c r="I2292" i="1"/>
  <c r="A2292" i="1" s="1"/>
  <c r="G2292" i="1"/>
  <c r="F2292" i="1"/>
  <c r="E2292" i="1"/>
  <c r="I2291" i="1"/>
  <c r="A2291" i="1" s="1"/>
  <c r="G2291" i="1"/>
  <c r="F2291" i="1"/>
  <c r="E2291" i="1"/>
  <c r="I2290" i="1"/>
  <c r="A2290" i="1" s="1"/>
  <c r="G2290" i="1"/>
  <c r="F2290" i="1"/>
  <c r="E2290" i="1"/>
  <c r="I2289" i="1"/>
  <c r="G2289" i="1"/>
  <c r="F2289" i="1"/>
  <c r="E2289" i="1"/>
  <c r="A2289" i="1"/>
  <c r="I2288" i="1"/>
  <c r="A2288" i="1" s="1"/>
  <c r="G2288" i="1"/>
  <c r="F2288" i="1"/>
  <c r="E2288" i="1"/>
  <c r="I2287" i="1"/>
  <c r="A2287" i="1" s="1"/>
  <c r="G2287" i="1"/>
  <c r="F2287" i="1"/>
  <c r="E2287" i="1"/>
  <c r="I2286" i="1"/>
  <c r="A2286" i="1" s="1"/>
  <c r="G2286" i="1"/>
  <c r="F2286" i="1"/>
  <c r="E2286" i="1"/>
  <c r="I2285" i="1"/>
  <c r="G2285" i="1"/>
  <c r="F2285" i="1"/>
  <c r="E2285" i="1"/>
  <c r="A2285" i="1"/>
  <c r="I2284" i="1"/>
  <c r="A2284" i="1" s="1"/>
  <c r="G2284" i="1"/>
  <c r="F2284" i="1"/>
  <c r="E2284" i="1"/>
  <c r="I2283" i="1"/>
  <c r="A2283" i="1" s="1"/>
  <c r="G2283" i="1"/>
  <c r="F2283" i="1"/>
  <c r="E2283" i="1"/>
  <c r="I2282" i="1"/>
  <c r="A2282" i="1" s="1"/>
  <c r="G2282" i="1"/>
  <c r="F2282" i="1"/>
  <c r="E2282" i="1"/>
  <c r="I2281" i="1"/>
  <c r="G2281" i="1"/>
  <c r="F2281" i="1"/>
  <c r="E2281" i="1"/>
  <c r="A2281" i="1"/>
  <c r="I2280" i="1"/>
  <c r="I2279" i="1"/>
  <c r="A2279" i="1" s="1"/>
  <c r="A2280" i="1" s="1"/>
  <c r="I2278" i="1"/>
  <c r="A2278" i="1" s="1"/>
  <c r="G2278" i="1"/>
  <c r="F2278" i="1"/>
  <c r="E2278" i="1"/>
  <c r="I2277" i="1"/>
  <c r="A2277" i="1" s="1"/>
  <c r="G2277" i="1"/>
  <c r="F2277" i="1"/>
  <c r="E2277" i="1"/>
  <c r="I2276" i="1"/>
  <c r="G2276" i="1"/>
  <c r="F2276" i="1"/>
  <c r="E2276" i="1"/>
  <c r="A2276" i="1"/>
  <c r="I2275" i="1"/>
  <c r="A2275" i="1" s="1"/>
  <c r="G2275" i="1"/>
  <c r="F2275" i="1"/>
  <c r="E2275" i="1"/>
  <c r="I2274" i="1"/>
  <c r="A2274" i="1" s="1"/>
  <c r="G2274" i="1"/>
  <c r="F2274" i="1"/>
  <c r="E2274" i="1"/>
  <c r="I2273" i="1"/>
  <c r="A2273" i="1" s="1"/>
  <c r="G2273" i="1"/>
  <c r="F2273" i="1"/>
  <c r="E2273" i="1"/>
  <c r="I2272" i="1"/>
  <c r="G2272" i="1"/>
  <c r="F2272" i="1"/>
  <c r="E2272" i="1"/>
  <c r="A2272" i="1"/>
  <c r="I2271" i="1"/>
  <c r="I2270" i="1"/>
  <c r="A2270" i="1" s="1"/>
  <c r="A2271" i="1" s="1"/>
  <c r="I2269" i="1"/>
  <c r="A2269" i="1" s="1"/>
  <c r="G2269" i="1"/>
  <c r="F2269" i="1"/>
  <c r="E2269" i="1"/>
  <c r="I2268" i="1"/>
  <c r="A2268" i="1" s="1"/>
  <c r="G2268" i="1"/>
  <c r="F2268" i="1"/>
  <c r="E2268" i="1"/>
  <c r="I2267" i="1"/>
  <c r="G2267" i="1"/>
  <c r="F2267" i="1"/>
  <c r="E2267" i="1"/>
  <c r="A2267" i="1"/>
  <c r="I2266" i="1"/>
  <c r="A2266" i="1" s="1"/>
  <c r="G2266" i="1"/>
  <c r="F2266" i="1"/>
  <c r="E2266" i="1"/>
  <c r="I2265" i="1"/>
  <c r="A2265" i="1" s="1"/>
  <c r="G2265" i="1"/>
  <c r="F2265" i="1"/>
  <c r="E2265" i="1"/>
  <c r="I2264" i="1"/>
  <c r="A2264" i="1" s="1"/>
  <c r="G2264" i="1"/>
  <c r="F2264" i="1"/>
  <c r="E2264" i="1"/>
  <c r="I2263" i="1"/>
  <c r="G2263" i="1"/>
  <c r="F2263" i="1"/>
  <c r="E2263" i="1"/>
  <c r="A2263" i="1"/>
  <c r="I2262" i="1"/>
  <c r="A2262" i="1" s="1"/>
  <c r="G2262" i="1"/>
  <c r="F2262" i="1"/>
  <c r="E2262" i="1"/>
  <c r="I2261" i="1"/>
  <c r="I2260" i="1"/>
  <c r="A2260" i="1" s="1"/>
  <c r="A2261" i="1" s="1"/>
  <c r="I2259" i="1"/>
  <c r="A2259" i="1" s="1"/>
  <c r="G2259" i="1"/>
  <c r="F2259" i="1"/>
  <c r="E2259" i="1"/>
  <c r="I2258" i="1"/>
  <c r="G2258" i="1"/>
  <c r="F2258" i="1"/>
  <c r="E2258" i="1"/>
  <c r="A2258" i="1"/>
  <c r="I2257" i="1"/>
  <c r="A2257" i="1" s="1"/>
  <c r="G2257" i="1"/>
  <c r="F2257" i="1"/>
  <c r="E2257" i="1"/>
  <c r="I2256" i="1"/>
  <c r="A2256" i="1" s="1"/>
  <c r="G2256" i="1"/>
  <c r="F2256" i="1"/>
  <c r="E2256" i="1"/>
  <c r="I2255" i="1"/>
  <c r="G2255" i="1"/>
  <c r="F2255" i="1"/>
  <c r="E2255" i="1"/>
  <c r="A2255" i="1"/>
  <c r="I2254" i="1"/>
  <c r="I2253" i="1"/>
  <c r="A2253" i="1"/>
  <c r="A2254" i="1" s="1"/>
  <c r="O2252" i="1"/>
  <c r="N2252" i="1"/>
  <c r="H2250" i="1" s="1"/>
  <c r="I2252" i="1"/>
  <c r="H2252" i="1"/>
  <c r="G2252" i="1"/>
  <c r="F2252" i="1"/>
  <c r="E2252" i="1"/>
  <c r="A2252" i="1"/>
  <c r="I2251" i="1"/>
  <c r="H2251" i="1"/>
  <c r="G2251" i="1"/>
  <c r="F2251" i="1"/>
  <c r="E2251" i="1"/>
  <c r="A2251" i="1"/>
  <c r="I2250" i="1"/>
  <c r="G2250" i="1"/>
  <c r="F2250" i="1"/>
  <c r="E2250" i="1"/>
  <c r="A2250" i="1"/>
  <c r="I2249" i="1"/>
  <c r="H2249" i="1"/>
  <c r="G2249" i="1"/>
  <c r="F2249" i="1"/>
  <c r="E2249" i="1"/>
  <c r="A2249" i="1"/>
  <c r="I2248" i="1"/>
  <c r="A2248" i="1"/>
  <c r="I2247" i="1"/>
  <c r="A2247" i="1"/>
  <c r="O2246" i="1"/>
  <c r="N2246" i="1"/>
  <c r="I2246" i="1"/>
  <c r="A2246" i="1" s="1"/>
  <c r="G2246" i="1"/>
  <c r="F2246" i="1"/>
  <c r="E2246" i="1"/>
  <c r="I2245" i="1"/>
  <c r="A2245" i="1" s="1"/>
  <c r="G2245" i="1"/>
  <c r="F2245" i="1"/>
  <c r="E2245" i="1"/>
  <c r="I2244" i="1"/>
  <c r="A2244" i="1" s="1"/>
  <c r="G2244" i="1"/>
  <c r="F2244" i="1"/>
  <c r="E2244" i="1"/>
  <c r="I2243" i="1"/>
  <c r="G2243" i="1"/>
  <c r="F2243" i="1"/>
  <c r="E2243" i="1"/>
  <c r="A2243" i="1"/>
  <c r="I2242" i="1"/>
  <c r="I2241" i="1"/>
  <c r="A2241" i="1" s="1"/>
  <c r="A2242" i="1" s="1"/>
  <c r="I2240" i="1"/>
  <c r="A2240" i="1" s="1"/>
  <c r="G2240" i="1"/>
  <c r="F2240" i="1"/>
  <c r="E2240" i="1"/>
  <c r="I2239" i="1"/>
  <c r="A2239" i="1" s="1"/>
  <c r="G2239" i="1"/>
  <c r="F2239" i="1"/>
  <c r="E2239" i="1"/>
  <c r="I2238" i="1"/>
  <c r="G2238" i="1"/>
  <c r="E2238" i="1"/>
  <c r="B2238" i="1"/>
  <c r="F2238" i="1" s="1"/>
  <c r="A2238" i="1"/>
  <c r="I2237" i="1"/>
  <c r="B2237" i="1"/>
  <c r="A2237" i="1"/>
  <c r="I2236" i="1"/>
  <c r="A2236" i="1" s="1"/>
  <c r="G2236" i="1"/>
  <c r="F2236" i="1"/>
  <c r="E2236" i="1"/>
  <c r="I2235" i="1"/>
  <c r="A2235" i="1" s="1"/>
  <c r="G2235" i="1"/>
  <c r="F2235" i="1"/>
  <c r="E2235" i="1"/>
  <c r="I2234" i="1"/>
  <c r="A2234" i="1" s="1"/>
  <c r="H2234" i="1"/>
  <c r="G2234" i="1"/>
  <c r="F2234" i="1"/>
  <c r="E2234" i="1"/>
  <c r="I2233" i="1"/>
  <c r="G2233" i="1"/>
  <c r="F2233" i="1"/>
  <c r="E2233" i="1"/>
  <c r="A2233" i="1"/>
  <c r="I2232" i="1"/>
  <c r="A2232" i="1" s="1"/>
  <c r="G2232" i="1"/>
  <c r="F2232" i="1"/>
  <c r="E2232" i="1"/>
  <c r="I2231" i="1"/>
  <c r="A2231" i="1" s="1"/>
  <c r="G2231" i="1"/>
  <c r="F2231" i="1"/>
  <c r="E2231" i="1"/>
  <c r="I2230" i="1"/>
  <c r="A2230" i="1" s="1"/>
  <c r="G2230" i="1"/>
  <c r="F2230" i="1"/>
  <c r="E2230" i="1"/>
  <c r="I2229" i="1"/>
  <c r="G2229" i="1"/>
  <c r="F2229" i="1"/>
  <c r="E2229" i="1"/>
  <c r="A2229" i="1"/>
  <c r="I2228" i="1"/>
  <c r="A2228" i="1" s="1"/>
  <c r="G2228" i="1"/>
  <c r="F2228" i="1"/>
  <c r="E2228" i="1"/>
  <c r="I2227" i="1"/>
  <c r="A2227" i="1" s="1"/>
  <c r="G2227" i="1"/>
  <c r="F2227" i="1"/>
  <c r="E2227" i="1"/>
  <c r="I2226" i="1"/>
  <c r="A2226" i="1" s="1"/>
  <c r="G2226" i="1"/>
  <c r="F2226" i="1"/>
  <c r="E2226" i="1"/>
  <c r="I2225" i="1"/>
  <c r="G2225" i="1"/>
  <c r="F2225" i="1"/>
  <c r="E2225" i="1"/>
  <c r="A2225" i="1"/>
  <c r="I2224" i="1"/>
  <c r="A2224" i="1" s="1"/>
  <c r="G2224" i="1"/>
  <c r="F2224" i="1"/>
  <c r="E2224" i="1"/>
  <c r="I2223" i="1"/>
  <c r="A2223" i="1" s="1"/>
  <c r="G2223" i="1"/>
  <c r="F2223" i="1"/>
  <c r="E2223" i="1"/>
  <c r="I2222" i="1"/>
  <c r="I2221" i="1"/>
  <c r="A2221" i="1" s="1"/>
  <c r="A2222" i="1" s="1"/>
  <c r="I2220" i="1"/>
  <c r="F2220" i="1"/>
  <c r="E2220" i="1"/>
  <c r="A2220" i="1"/>
  <c r="I2219" i="1"/>
  <c r="A2219" i="1" s="1"/>
  <c r="F2219" i="1"/>
  <c r="E2219" i="1"/>
  <c r="I2218" i="1"/>
  <c r="F2218" i="1"/>
  <c r="E2218" i="1"/>
  <c r="A2218" i="1"/>
  <c r="I2217" i="1"/>
  <c r="A2217" i="1" s="1"/>
  <c r="F2217" i="1"/>
  <c r="E2217" i="1"/>
  <c r="I2216" i="1"/>
  <c r="A2216" i="1" s="1"/>
  <c r="F2216" i="1"/>
  <c r="E2216" i="1"/>
  <c r="I2215" i="1"/>
  <c r="F2215" i="1"/>
  <c r="E2215" i="1"/>
  <c r="A2215" i="1"/>
  <c r="I2214" i="1"/>
  <c r="A2214" i="1" s="1"/>
  <c r="F2214" i="1"/>
  <c r="E2214" i="1"/>
  <c r="I2213" i="1"/>
  <c r="A2213" i="1"/>
  <c r="I2212" i="1"/>
  <c r="A2212" i="1" s="1"/>
  <c r="I2211" i="1"/>
  <c r="F2211" i="1"/>
  <c r="E2211" i="1"/>
  <c r="A2211" i="1"/>
  <c r="I2210" i="1"/>
  <c r="F2210" i="1"/>
  <c r="E2210" i="1"/>
  <c r="A2210" i="1"/>
  <c r="I2209" i="1"/>
  <c r="F2209" i="1"/>
  <c r="E2209" i="1"/>
  <c r="A2209" i="1"/>
  <c r="I2208" i="1"/>
  <c r="F2208" i="1"/>
  <c r="E2208" i="1"/>
  <c r="A2208" i="1"/>
  <c r="I2207" i="1"/>
  <c r="A2207" i="1" s="1"/>
  <c r="F2207" i="1"/>
  <c r="E2207" i="1"/>
  <c r="I2206" i="1"/>
  <c r="A2206" i="1" s="1"/>
  <c r="F2206" i="1"/>
  <c r="E2206" i="1"/>
  <c r="I2205" i="1"/>
  <c r="I2204" i="1"/>
  <c r="H2204" i="1"/>
  <c r="H2211" i="1" s="1"/>
  <c r="A2204" i="1"/>
  <c r="A2205" i="1" s="1"/>
  <c r="I2203" i="1"/>
  <c r="A2203" i="1" s="1"/>
  <c r="F2203" i="1"/>
  <c r="E2203" i="1"/>
  <c r="I2202" i="1"/>
  <c r="A2202" i="1" s="1"/>
  <c r="F2202" i="1"/>
  <c r="E2202" i="1"/>
  <c r="I2201" i="1"/>
  <c r="H2201" i="1"/>
  <c r="G2201" i="1"/>
  <c r="F2201" i="1"/>
  <c r="E2201" i="1"/>
  <c r="A2201" i="1"/>
  <c r="I2200" i="1"/>
  <c r="G2200" i="1"/>
  <c r="F2200" i="1"/>
  <c r="E2200" i="1"/>
  <c r="A2200" i="1"/>
  <c r="I2199" i="1"/>
  <c r="G2199" i="1"/>
  <c r="F2199" i="1"/>
  <c r="E2199" i="1"/>
  <c r="A2199" i="1"/>
  <c r="I2198" i="1"/>
  <c r="G2198" i="1"/>
  <c r="F2198" i="1"/>
  <c r="E2198" i="1"/>
  <c r="A2198" i="1"/>
  <c r="I2197" i="1"/>
  <c r="G2197" i="1"/>
  <c r="F2197" i="1"/>
  <c r="E2197" i="1"/>
  <c r="A2197" i="1"/>
  <c r="I2196" i="1"/>
  <c r="A2196" i="1"/>
  <c r="I2195" i="1"/>
  <c r="A2195" i="1"/>
  <c r="I2194" i="1"/>
  <c r="H2194" i="1"/>
  <c r="G2194" i="1"/>
  <c r="F2194" i="1"/>
  <c r="E2194" i="1"/>
  <c r="A2194" i="1"/>
  <c r="I2193" i="1"/>
  <c r="G2193" i="1"/>
  <c r="F2193" i="1"/>
  <c r="E2193" i="1"/>
  <c r="A2193" i="1"/>
  <c r="I2192" i="1"/>
  <c r="G2192" i="1"/>
  <c r="F2192" i="1"/>
  <c r="E2192" i="1"/>
  <c r="A2192" i="1"/>
  <c r="I2191" i="1"/>
  <c r="G2191" i="1"/>
  <c r="F2191" i="1"/>
  <c r="E2191" i="1"/>
  <c r="A2191" i="1"/>
  <c r="I2190" i="1"/>
  <c r="G2190" i="1"/>
  <c r="F2190" i="1"/>
  <c r="E2190" i="1"/>
  <c r="A2190" i="1"/>
  <c r="I2189" i="1"/>
  <c r="I2188" i="1"/>
  <c r="A2188" i="1"/>
  <c r="A2189" i="1" s="1"/>
  <c r="I2187" i="1"/>
  <c r="G2187" i="1"/>
  <c r="F2187" i="1"/>
  <c r="E2187" i="1"/>
  <c r="A2187" i="1"/>
  <c r="I2186" i="1"/>
  <c r="G2186" i="1"/>
  <c r="F2186" i="1"/>
  <c r="E2186" i="1"/>
  <c r="A2186" i="1"/>
  <c r="I2185" i="1"/>
  <c r="G2185" i="1"/>
  <c r="F2185" i="1"/>
  <c r="E2185" i="1"/>
  <c r="A2185" i="1"/>
  <c r="I2184" i="1"/>
  <c r="G2184" i="1"/>
  <c r="F2184" i="1"/>
  <c r="E2184" i="1"/>
  <c r="A2184" i="1"/>
  <c r="I2183" i="1"/>
  <c r="G2183" i="1"/>
  <c r="F2183" i="1"/>
  <c r="E2183" i="1"/>
  <c r="A2183" i="1"/>
  <c r="I2182" i="1"/>
  <c r="I2181" i="1"/>
  <c r="A2181" i="1"/>
  <c r="A2182" i="1" s="1"/>
  <c r="I2180" i="1"/>
  <c r="G2180" i="1"/>
  <c r="F2180" i="1"/>
  <c r="E2180" i="1"/>
  <c r="A2180" i="1"/>
  <c r="I2179" i="1"/>
  <c r="G2179" i="1"/>
  <c r="F2179" i="1"/>
  <c r="E2179" i="1"/>
  <c r="A2179" i="1"/>
  <c r="I2178" i="1"/>
  <c r="G2178" i="1"/>
  <c r="F2178" i="1"/>
  <c r="E2178" i="1"/>
  <c r="A2178" i="1"/>
  <c r="I2177" i="1"/>
  <c r="G2177" i="1"/>
  <c r="F2177" i="1"/>
  <c r="E2177" i="1"/>
  <c r="A2177" i="1"/>
  <c r="I2176" i="1"/>
  <c r="G2176" i="1"/>
  <c r="F2176" i="1"/>
  <c r="E2176" i="1"/>
  <c r="A2176" i="1"/>
  <c r="I2175" i="1"/>
  <c r="G2175" i="1"/>
  <c r="F2175" i="1"/>
  <c r="E2175" i="1"/>
  <c r="A2175" i="1"/>
  <c r="I2174" i="1"/>
  <c r="I2173" i="1"/>
  <c r="A2173" i="1"/>
  <c r="A2174" i="1" s="1"/>
  <c r="I2172" i="1"/>
  <c r="A2172" i="1" s="1"/>
  <c r="B2172" i="1"/>
  <c r="I2171" i="1"/>
  <c r="G2171" i="1"/>
  <c r="F2171" i="1"/>
  <c r="E2171" i="1"/>
  <c r="B2171" i="1"/>
  <c r="A2171" i="1"/>
  <c r="I2170" i="1"/>
  <c r="G2170" i="1"/>
  <c r="F2170" i="1"/>
  <c r="A2170" i="1"/>
  <c r="I2169" i="1"/>
  <c r="G2169" i="1"/>
  <c r="F2169" i="1"/>
  <c r="E2169" i="1"/>
  <c r="A2169" i="1"/>
  <c r="I2168" i="1"/>
  <c r="A2168" i="1" s="1"/>
  <c r="I2167" i="1"/>
  <c r="A2167" i="1" s="1"/>
  <c r="G2167" i="1"/>
  <c r="F2167" i="1"/>
  <c r="E2167" i="1"/>
  <c r="B2167" i="1"/>
  <c r="I2166" i="1"/>
  <c r="B2166" i="1"/>
  <c r="A2166" i="1"/>
  <c r="I2165" i="1"/>
  <c r="G2165" i="1"/>
  <c r="F2165" i="1"/>
  <c r="A2165" i="1"/>
  <c r="I2164" i="1"/>
  <c r="G2164" i="1"/>
  <c r="F2164" i="1"/>
  <c r="E2164" i="1"/>
  <c r="A2164" i="1"/>
  <c r="I2163" i="1"/>
  <c r="A2163" i="1"/>
  <c r="I2162" i="1"/>
  <c r="G2162" i="1"/>
  <c r="F2162" i="1"/>
  <c r="E2162" i="1"/>
  <c r="A2162" i="1"/>
  <c r="I2161" i="1"/>
  <c r="A2161" i="1" s="1"/>
  <c r="G2161" i="1"/>
  <c r="F2161" i="1"/>
  <c r="I2160" i="1"/>
  <c r="A2160" i="1" s="1"/>
  <c r="G2160" i="1"/>
  <c r="F2160" i="1"/>
  <c r="I2159" i="1"/>
  <c r="A2159" i="1"/>
  <c r="I2158" i="1"/>
  <c r="G2158" i="1"/>
  <c r="F2158" i="1"/>
  <c r="E2158" i="1"/>
  <c r="A2158" i="1"/>
  <c r="I2157" i="1"/>
  <c r="G2157" i="1"/>
  <c r="F2157" i="1"/>
  <c r="A2157" i="1"/>
  <c r="I2156" i="1"/>
  <c r="G2156" i="1"/>
  <c r="F2156" i="1"/>
  <c r="A2156" i="1"/>
  <c r="I2155" i="1"/>
  <c r="H2155" i="1"/>
  <c r="H2156" i="1" s="1"/>
  <c r="H2158" i="1" s="1"/>
  <c r="A2155" i="1"/>
  <c r="I2154" i="1"/>
  <c r="A2154" i="1" s="1"/>
  <c r="I2153" i="1"/>
  <c r="A2153" i="1"/>
  <c r="I2152" i="1"/>
  <c r="A2152" i="1" s="1"/>
  <c r="G2152" i="1"/>
  <c r="F2152" i="1"/>
  <c r="E2152" i="1"/>
  <c r="I2151" i="1"/>
  <c r="A2151" i="1" s="1"/>
  <c r="G2151" i="1"/>
  <c r="F2151" i="1"/>
  <c r="E2151" i="1"/>
  <c r="I2150" i="1"/>
  <c r="H2150" i="1"/>
  <c r="H2151" i="1" s="1"/>
  <c r="G2150" i="1"/>
  <c r="F2150" i="1"/>
  <c r="E2150" i="1"/>
  <c r="A2150" i="1"/>
  <c r="I2149" i="1"/>
  <c r="G2149" i="1"/>
  <c r="F2149" i="1"/>
  <c r="E2149" i="1"/>
  <c r="A2149" i="1"/>
  <c r="I2148" i="1"/>
  <c r="G2148" i="1"/>
  <c r="F2148" i="1"/>
  <c r="E2148" i="1"/>
  <c r="A2148" i="1"/>
  <c r="I2147" i="1"/>
  <c r="G2147" i="1"/>
  <c r="F2147" i="1"/>
  <c r="E2147" i="1"/>
  <c r="A2147" i="1"/>
  <c r="I2146" i="1"/>
  <c r="A2146" i="1" s="1"/>
  <c r="G2146" i="1"/>
  <c r="F2146" i="1"/>
  <c r="E2146" i="1"/>
  <c r="I2145" i="1"/>
  <c r="H2145" i="1"/>
  <c r="G2145" i="1"/>
  <c r="F2145" i="1"/>
  <c r="E2145" i="1"/>
  <c r="A2145" i="1"/>
  <c r="I2144" i="1"/>
  <c r="A2144" i="1" s="1"/>
  <c r="H2144" i="1"/>
  <c r="H2212" i="1" s="1"/>
  <c r="G2144" i="1"/>
  <c r="F2144" i="1"/>
  <c r="E2144" i="1"/>
  <c r="I2143" i="1"/>
  <c r="A2143" i="1" s="1"/>
  <c r="I2142" i="1"/>
  <c r="D2142" i="1"/>
  <c r="A2142" i="1"/>
  <c r="I2141" i="1"/>
  <c r="A2141" i="1" s="1"/>
  <c r="I2140" i="1"/>
  <c r="A2140" i="1"/>
  <c r="I2139" i="1"/>
  <c r="G2139" i="1"/>
  <c r="E2139" i="1"/>
  <c r="A2139" i="1"/>
  <c r="I2138" i="1"/>
  <c r="G2138" i="1"/>
  <c r="E2138" i="1"/>
  <c r="A2138" i="1"/>
  <c r="I2137" i="1"/>
  <c r="A2137" i="1"/>
  <c r="I2136" i="1"/>
  <c r="G2136" i="1"/>
  <c r="F2136" i="1"/>
  <c r="E2136" i="1"/>
  <c r="A2136" i="1"/>
  <c r="I2135" i="1"/>
  <c r="G2135" i="1"/>
  <c r="F2135" i="1"/>
  <c r="E2135" i="1"/>
  <c r="A2135" i="1"/>
  <c r="I2134" i="1"/>
  <c r="G2134" i="1"/>
  <c r="F2134" i="1"/>
  <c r="E2134" i="1"/>
  <c r="A2134" i="1"/>
  <c r="I2133" i="1"/>
  <c r="G2133" i="1"/>
  <c r="F2133" i="1"/>
  <c r="E2133" i="1"/>
  <c r="A2133" i="1"/>
  <c r="I2132" i="1"/>
  <c r="A2132" i="1" s="1"/>
  <c r="G2132" i="1"/>
  <c r="F2132" i="1"/>
  <c r="E2132" i="1"/>
  <c r="I2131" i="1"/>
  <c r="G2131" i="1"/>
  <c r="F2131" i="1"/>
  <c r="E2131" i="1"/>
  <c r="A2131" i="1"/>
  <c r="I2130" i="1"/>
  <c r="G2130" i="1"/>
  <c r="F2130" i="1"/>
  <c r="E2130" i="1"/>
  <c r="A2130" i="1"/>
  <c r="I2129" i="1"/>
  <c r="G2129" i="1"/>
  <c r="F2129" i="1"/>
  <c r="E2129" i="1"/>
  <c r="A2129" i="1"/>
  <c r="I2128" i="1"/>
  <c r="A2128" i="1" s="1"/>
  <c r="G2128" i="1"/>
  <c r="F2128" i="1"/>
  <c r="E2128" i="1"/>
  <c r="I2127" i="1"/>
  <c r="G2127" i="1"/>
  <c r="F2127" i="1"/>
  <c r="E2127" i="1"/>
  <c r="A2127" i="1"/>
  <c r="I2126" i="1"/>
  <c r="G2126" i="1"/>
  <c r="F2126" i="1"/>
  <c r="E2126" i="1"/>
  <c r="A2126" i="1"/>
  <c r="I2125" i="1"/>
  <c r="G2125" i="1"/>
  <c r="F2125" i="1"/>
  <c r="E2125" i="1"/>
  <c r="A2125" i="1"/>
  <c r="I2124" i="1"/>
  <c r="A2124" i="1" s="1"/>
  <c r="G2124" i="1"/>
  <c r="F2124" i="1"/>
  <c r="E2124" i="1"/>
  <c r="I2123" i="1"/>
  <c r="G2123" i="1"/>
  <c r="F2123" i="1"/>
  <c r="E2123" i="1"/>
  <c r="A2123" i="1"/>
  <c r="I2122" i="1"/>
  <c r="G2122" i="1"/>
  <c r="F2122" i="1"/>
  <c r="E2122" i="1"/>
  <c r="A2122" i="1"/>
  <c r="I2121" i="1"/>
  <c r="G2121" i="1"/>
  <c r="F2121" i="1"/>
  <c r="E2121" i="1"/>
  <c r="A2121" i="1"/>
  <c r="I2120" i="1"/>
  <c r="G2120" i="1"/>
  <c r="F2120" i="1"/>
  <c r="E2120" i="1"/>
  <c r="A2120" i="1"/>
  <c r="I2119" i="1"/>
  <c r="G2119" i="1"/>
  <c r="F2119" i="1"/>
  <c r="E2119" i="1"/>
  <c r="A2119" i="1"/>
  <c r="I2118" i="1"/>
  <c r="G2118" i="1"/>
  <c r="F2118" i="1"/>
  <c r="E2118" i="1"/>
  <c r="A2118" i="1"/>
  <c r="I2117" i="1"/>
  <c r="G2117" i="1"/>
  <c r="F2117" i="1"/>
  <c r="E2117" i="1"/>
  <c r="A2117" i="1"/>
  <c r="I2116" i="1"/>
  <c r="G2116" i="1"/>
  <c r="F2116" i="1"/>
  <c r="E2116" i="1"/>
  <c r="A2116" i="1"/>
  <c r="I2115" i="1"/>
  <c r="G2115" i="1"/>
  <c r="F2115" i="1"/>
  <c r="E2115" i="1"/>
  <c r="A2115" i="1"/>
  <c r="I2114" i="1"/>
  <c r="A2114" i="1" s="1"/>
  <c r="G2114" i="1"/>
  <c r="F2114" i="1"/>
  <c r="E2114" i="1"/>
  <c r="I2113" i="1"/>
  <c r="G2113" i="1"/>
  <c r="F2113" i="1"/>
  <c r="E2113" i="1"/>
  <c r="A2113" i="1"/>
  <c r="I2112" i="1"/>
  <c r="G2112" i="1"/>
  <c r="F2112" i="1"/>
  <c r="E2112" i="1"/>
  <c r="A2112" i="1"/>
  <c r="I2111" i="1"/>
  <c r="A2111" i="1"/>
  <c r="I2110" i="1"/>
  <c r="A2110" i="1" s="1"/>
  <c r="I2109" i="1"/>
  <c r="G2109" i="1"/>
  <c r="F2109" i="1"/>
  <c r="E2109" i="1"/>
  <c r="A2109" i="1"/>
  <c r="I2108" i="1"/>
  <c r="G2108" i="1"/>
  <c r="F2108" i="1"/>
  <c r="E2108" i="1"/>
  <c r="A2108" i="1"/>
  <c r="I2107" i="1"/>
  <c r="A2107" i="1" s="1"/>
  <c r="G2107" i="1"/>
  <c r="F2107" i="1"/>
  <c r="E2107" i="1"/>
  <c r="I2106" i="1"/>
  <c r="A2106" i="1" s="1"/>
  <c r="G2106" i="1"/>
  <c r="F2106" i="1"/>
  <c r="E2106" i="1"/>
  <c r="I2105" i="1"/>
  <c r="A2105" i="1" s="1"/>
  <c r="G2105" i="1"/>
  <c r="F2105" i="1"/>
  <c r="I2104" i="1"/>
  <c r="A2104" i="1" s="1"/>
  <c r="G2104" i="1"/>
  <c r="F2104" i="1"/>
  <c r="E2104" i="1"/>
  <c r="I2103" i="1"/>
  <c r="G2103" i="1"/>
  <c r="F2103" i="1"/>
  <c r="E2103" i="1"/>
  <c r="A2103" i="1"/>
  <c r="I2102" i="1"/>
  <c r="G2102" i="1"/>
  <c r="F2102" i="1"/>
  <c r="E2102" i="1"/>
  <c r="A2102" i="1"/>
  <c r="I2101" i="1"/>
  <c r="G2101" i="1"/>
  <c r="F2101" i="1"/>
  <c r="E2101" i="1"/>
  <c r="A2101" i="1"/>
  <c r="I2100" i="1"/>
  <c r="A2100" i="1" s="1"/>
  <c r="G2100" i="1"/>
  <c r="F2100" i="1"/>
  <c r="E2100" i="1"/>
  <c r="I2099" i="1"/>
  <c r="A2099" i="1" s="1"/>
  <c r="G2099" i="1"/>
  <c r="F2099" i="1"/>
  <c r="E2099" i="1"/>
  <c r="I2098" i="1"/>
  <c r="A2098" i="1" s="1"/>
  <c r="G2098" i="1"/>
  <c r="F2098" i="1"/>
  <c r="E2098" i="1"/>
  <c r="I2097" i="1"/>
  <c r="G2097" i="1"/>
  <c r="F2097" i="1"/>
  <c r="E2097" i="1"/>
  <c r="A2097" i="1"/>
  <c r="I2096" i="1"/>
  <c r="A2096" i="1" s="1"/>
  <c r="G2096" i="1"/>
  <c r="F2096" i="1"/>
  <c r="E2096" i="1"/>
  <c r="I2095" i="1"/>
  <c r="A2095" i="1" s="1"/>
  <c r="G2095" i="1"/>
  <c r="F2095" i="1"/>
  <c r="E2095" i="1"/>
  <c r="I2094" i="1"/>
  <c r="A2094" i="1" s="1"/>
  <c r="G2094" i="1"/>
  <c r="F2094" i="1"/>
  <c r="E2094" i="1"/>
  <c r="I2093" i="1"/>
  <c r="A2093" i="1" s="1"/>
  <c r="G2093" i="1"/>
  <c r="F2093" i="1"/>
  <c r="E2093" i="1"/>
  <c r="I2092" i="1"/>
  <c r="A2092" i="1" s="1"/>
  <c r="G2092" i="1"/>
  <c r="F2092" i="1"/>
  <c r="E2092" i="1"/>
  <c r="I2091" i="1"/>
  <c r="G2091" i="1"/>
  <c r="F2091" i="1"/>
  <c r="E2091" i="1"/>
  <c r="A2091" i="1"/>
  <c r="I2090" i="1"/>
  <c r="G2090" i="1"/>
  <c r="F2090" i="1"/>
  <c r="E2090" i="1"/>
  <c r="A2090" i="1"/>
  <c r="I2089" i="1"/>
  <c r="G2089" i="1"/>
  <c r="F2089" i="1"/>
  <c r="E2089" i="1"/>
  <c r="A2089" i="1"/>
  <c r="I2088" i="1"/>
  <c r="G2088" i="1"/>
  <c r="F2088" i="1"/>
  <c r="E2088" i="1"/>
  <c r="A2088" i="1"/>
  <c r="I2087" i="1"/>
  <c r="A2087" i="1" s="1"/>
  <c r="G2087" i="1"/>
  <c r="F2087" i="1"/>
  <c r="E2087" i="1"/>
  <c r="I2086" i="1"/>
  <c r="A2086" i="1" s="1"/>
  <c r="G2086" i="1"/>
  <c r="F2086" i="1"/>
  <c r="E2086" i="1"/>
  <c r="I2085" i="1"/>
  <c r="A2085" i="1" s="1"/>
  <c r="G2085" i="1"/>
  <c r="F2085" i="1"/>
  <c r="E2085" i="1"/>
  <c r="I2084" i="1"/>
  <c r="G2084" i="1"/>
  <c r="F2084" i="1"/>
  <c r="E2084" i="1"/>
  <c r="A2084" i="1"/>
  <c r="I2083" i="1"/>
  <c r="I2082" i="1"/>
  <c r="A2082" i="1" s="1"/>
  <c r="A2083" i="1" s="1"/>
  <c r="I2081" i="1"/>
  <c r="A2081" i="1" s="1"/>
  <c r="G2081" i="1"/>
  <c r="F2081" i="1"/>
  <c r="E2081" i="1"/>
  <c r="I2080" i="1"/>
  <c r="A2080" i="1" s="1"/>
  <c r="G2080" i="1"/>
  <c r="F2080" i="1"/>
  <c r="E2080" i="1"/>
  <c r="I2079" i="1"/>
  <c r="G2079" i="1"/>
  <c r="F2079" i="1"/>
  <c r="E2079" i="1"/>
  <c r="A2079" i="1"/>
  <c r="I2078" i="1"/>
  <c r="A2078" i="1" s="1"/>
  <c r="G2078" i="1"/>
  <c r="F2078" i="1"/>
  <c r="E2078" i="1"/>
  <c r="I2077" i="1"/>
  <c r="I2076" i="1"/>
  <c r="A2076" i="1"/>
  <c r="A2077" i="1" s="1"/>
  <c r="I2075" i="1"/>
  <c r="G2075" i="1"/>
  <c r="F2075" i="1"/>
  <c r="E2075" i="1"/>
  <c r="A2075" i="1"/>
  <c r="I2074" i="1"/>
  <c r="G2074" i="1"/>
  <c r="F2074" i="1"/>
  <c r="E2074" i="1"/>
  <c r="A2074" i="1"/>
  <c r="I2073" i="1"/>
  <c r="G2073" i="1"/>
  <c r="F2073" i="1"/>
  <c r="E2073" i="1"/>
  <c r="A2073" i="1"/>
  <c r="I2072" i="1"/>
  <c r="G2072" i="1"/>
  <c r="F2072" i="1"/>
  <c r="E2072" i="1"/>
  <c r="A2072" i="1"/>
  <c r="I2071" i="1"/>
  <c r="A2071" i="1" s="1"/>
  <c r="G2071" i="1"/>
  <c r="F2071" i="1"/>
  <c r="E2071" i="1"/>
  <c r="I2070" i="1"/>
  <c r="A2070" i="1" s="1"/>
  <c r="G2070" i="1"/>
  <c r="F2070" i="1"/>
  <c r="E2070" i="1"/>
  <c r="I2069" i="1"/>
  <c r="G2069" i="1"/>
  <c r="F2069" i="1"/>
  <c r="E2069" i="1"/>
  <c r="A2069" i="1"/>
  <c r="I2068" i="1"/>
  <c r="G2068" i="1"/>
  <c r="F2068" i="1"/>
  <c r="E2068" i="1"/>
  <c r="A2068" i="1"/>
  <c r="I2067" i="1"/>
  <c r="A2067" i="1" s="1"/>
  <c r="G2067" i="1"/>
  <c r="F2067" i="1"/>
  <c r="E2067" i="1"/>
  <c r="I2066" i="1"/>
  <c r="G2066" i="1"/>
  <c r="F2066" i="1"/>
  <c r="E2066" i="1"/>
  <c r="A2066" i="1"/>
  <c r="I2065" i="1"/>
  <c r="A2065" i="1" s="1"/>
  <c r="G2065" i="1"/>
  <c r="F2065" i="1"/>
  <c r="E2065" i="1"/>
  <c r="I2064" i="1"/>
  <c r="G2064" i="1"/>
  <c r="F2064" i="1"/>
  <c r="E2064" i="1"/>
  <c r="A2064" i="1"/>
  <c r="I2063" i="1"/>
  <c r="A2063" i="1" s="1"/>
  <c r="G2063" i="1"/>
  <c r="F2063" i="1"/>
  <c r="E2063" i="1"/>
  <c r="I2062" i="1"/>
  <c r="I2061" i="1"/>
  <c r="A2061" i="1"/>
  <c r="A2062" i="1" s="1"/>
  <c r="I2060" i="1"/>
  <c r="A2060" i="1" s="1"/>
  <c r="G2060" i="1"/>
  <c r="F2060" i="1"/>
  <c r="E2060" i="1"/>
  <c r="I2059" i="1"/>
  <c r="A2059" i="1" s="1"/>
  <c r="G2059" i="1"/>
  <c r="F2059" i="1"/>
  <c r="E2059" i="1"/>
  <c r="I2058" i="1"/>
  <c r="A2058" i="1" s="1"/>
  <c r="G2058" i="1"/>
  <c r="F2058" i="1"/>
  <c r="E2058" i="1"/>
  <c r="I2057" i="1"/>
  <c r="G2057" i="1"/>
  <c r="F2057" i="1"/>
  <c r="E2057" i="1"/>
  <c r="A2057" i="1"/>
  <c r="I2056" i="1"/>
  <c r="G2056" i="1"/>
  <c r="F2056" i="1"/>
  <c r="E2056" i="1"/>
  <c r="A2056" i="1"/>
  <c r="I2055" i="1"/>
  <c r="G2055" i="1"/>
  <c r="F2055" i="1"/>
  <c r="E2055" i="1"/>
  <c r="A2055" i="1"/>
  <c r="I2054" i="1"/>
  <c r="A2054" i="1" s="1"/>
  <c r="G2054" i="1"/>
  <c r="F2054" i="1"/>
  <c r="E2054" i="1"/>
  <c r="I2053" i="1"/>
  <c r="A2053" i="1" s="1"/>
  <c r="G2053" i="1"/>
  <c r="F2053" i="1"/>
  <c r="E2053" i="1"/>
  <c r="I2052" i="1"/>
  <c r="A2052" i="1" s="1"/>
  <c r="G2052" i="1"/>
  <c r="F2052" i="1"/>
  <c r="E2052" i="1"/>
  <c r="I2051" i="1"/>
  <c r="G2051" i="1"/>
  <c r="F2051" i="1"/>
  <c r="E2051" i="1"/>
  <c r="A2051" i="1"/>
  <c r="I2050" i="1"/>
  <c r="A2050" i="1" s="1"/>
  <c r="G2050" i="1"/>
  <c r="F2050" i="1"/>
  <c r="E2050" i="1"/>
  <c r="I2049" i="1"/>
  <c r="A2049" i="1" s="1"/>
  <c r="G2049" i="1"/>
  <c r="F2049" i="1"/>
  <c r="E2049" i="1"/>
  <c r="I2048" i="1"/>
  <c r="I2047" i="1"/>
  <c r="A2047" i="1" s="1"/>
  <c r="A2048" i="1" s="1"/>
  <c r="I2046" i="1"/>
  <c r="G2046" i="1"/>
  <c r="F2046" i="1"/>
  <c r="E2046" i="1"/>
  <c r="A2046" i="1"/>
  <c r="I2045" i="1"/>
  <c r="A2045" i="1" s="1"/>
  <c r="G2045" i="1"/>
  <c r="F2045" i="1"/>
  <c r="E2045" i="1"/>
  <c r="I2044" i="1"/>
  <c r="A2044" i="1" s="1"/>
  <c r="G2044" i="1"/>
  <c r="F2044" i="1"/>
  <c r="E2044" i="1"/>
  <c r="I2043" i="1"/>
  <c r="A2043" i="1" s="1"/>
  <c r="G2043" i="1"/>
  <c r="F2043" i="1"/>
  <c r="E2043" i="1"/>
  <c r="I2042" i="1"/>
  <c r="A2042" i="1" s="1"/>
  <c r="G2042" i="1"/>
  <c r="F2042" i="1"/>
  <c r="E2042" i="1"/>
  <c r="I2041" i="1"/>
  <c r="A2041" i="1" s="1"/>
  <c r="G2041" i="1"/>
  <c r="F2041" i="1"/>
  <c r="E2041" i="1"/>
  <c r="I2040" i="1"/>
  <c r="A2040" i="1" s="1"/>
  <c r="G2040" i="1"/>
  <c r="F2040" i="1"/>
  <c r="E2040" i="1"/>
  <c r="I2039" i="1"/>
  <c r="I2038" i="1"/>
  <c r="A2038" i="1" s="1"/>
  <c r="A2039" i="1" s="1"/>
  <c r="I2037" i="1"/>
  <c r="A2037" i="1" s="1"/>
  <c r="G2037" i="1"/>
  <c r="F2037" i="1"/>
  <c r="E2037" i="1"/>
  <c r="I2036" i="1"/>
  <c r="A2036" i="1" s="1"/>
  <c r="G2036" i="1"/>
  <c r="F2036" i="1"/>
  <c r="E2036" i="1"/>
  <c r="I2035" i="1"/>
  <c r="A2035" i="1" s="1"/>
  <c r="G2035" i="1"/>
  <c r="F2035" i="1"/>
  <c r="E2035" i="1"/>
  <c r="I2034" i="1"/>
  <c r="A2034" i="1" s="1"/>
  <c r="G2034" i="1"/>
  <c r="F2034" i="1"/>
  <c r="E2034" i="1"/>
  <c r="I2033" i="1"/>
  <c r="A2033" i="1" s="1"/>
  <c r="G2033" i="1"/>
  <c r="F2033" i="1"/>
  <c r="E2033" i="1"/>
  <c r="I2032" i="1"/>
  <c r="A2032" i="1" s="1"/>
  <c r="G2032" i="1"/>
  <c r="F2032" i="1"/>
  <c r="E2032" i="1"/>
  <c r="I2031" i="1"/>
  <c r="A2031" i="1" s="1"/>
  <c r="G2031" i="1"/>
  <c r="F2031" i="1"/>
  <c r="E2031" i="1"/>
  <c r="I2030" i="1"/>
  <c r="A2030" i="1" s="1"/>
  <c r="G2030" i="1"/>
  <c r="F2030" i="1"/>
  <c r="E2030" i="1"/>
  <c r="I2029" i="1"/>
  <c r="I2028" i="1"/>
  <c r="A2028" i="1" s="1"/>
  <c r="A2029" i="1" s="1"/>
  <c r="I2027" i="1"/>
  <c r="A2027" i="1" s="1"/>
  <c r="G2027" i="1"/>
  <c r="F2027" i="1"/>
  <c r="E2027" i="1"/>
  <c r="I2026" i="1"/>
  <c r="A2026" i="1" s="1"/>
  <c r="G2026" i="1"/>
  <c r="F2026" i="1"/>
  <c r="E2026" i="1"/>
  <c r="I2025" i="1"/>
  <c r="A2025" i="1" s="1"/>
  <c r="G2025" i="1"/>
  <c r="E2025" i="1"/>
  <c r="I2024" i="1"/>
  <c r="A2024" i="1" s="1"/>
  <c r="G2024" i="1"/>
  <c r="F2024" i="1"/>
  <c r="E2024" i="1"/>
  <c r="I2023" i="1"/>
  <c r="A2023" i="1" s="1"/>
  <c r="G2023" i="1"/>
  <c r="F2023" i="1"/>
  <c r="E2023" i="1"/>
  <c r="I2022" i="1"/>
  <c r="I2021" i="1"/>
  <c r="A2021" i="1" s="1"/>
  <c r="A2022" i="1" s="1"/>
  <c r="O2020" i="1"/>
  <c r="H2019" i="1" s="1"/>
  <c r="N2020" i="1"/>
  <c r="I2020" i="1"/>
  <c r="A2020" i="1" s="1"/>
  <c r="H2020" i="1"/>
  <c r="G2020" i="1"/>
  <c r="F2020" i="1"/>
  <c r="E2020" i="1"/>
  <c r="I2019" i="1"/>
  <c r="A2019" i="1" s="1"/>
  <c r="G2019" i="1"/>
  <c r="F2019" i="1"/>
  <c r="E2019" i="1"/>
  <c r="I2018" i="1"/>
  <c r="A2018" i="1" s="1"/>
  <c r="H2018" i="1"/>
  <c r="G2018" i="1"/>
  <c r="F2018" i="1"/>
  <c r="E2018" i="1"/>
  <c r="I2017" i="1"/>
  <c r="A2017" i="1" s="1"/>
  <c r="H2017" i="1"/>
  <c r="G2017" i="1"/>
  <c r="F2017" i="1"/>
  <c r="E2017" i="1"/>
  <c r="I2016" i="1"/>
  <c r="I2015" i="1"/>
  <c r="A2015" i="1"/>
  <c r="A2016" i="1" s="1"/>
  <c r="O2014" i="1"/>
  <c r="N2014" i="1"/>
  <c r="I2014" i="1"/>
  <c r="G2014" i="1"/>
  <c r="F2014" i="1"/>
  <c r="E2014" i="1"/>
  <c r="A2014" i="1"/>
  <c r="I2013" i="1"/>
  <c r="G2013" i="1"/>
  <c r="F2013" i="1"/>
  <c r="E2013" i="1"/>
  <c r="A2013" i="1"/>
  <c r="I2012" i="1"/>
  <c r="G2012" i="1"/>
  <c r="F2012" i="1"/>
  <c r="E2012" i="1"/>
  <c r="A2012" i="1"/>
  <c r="I2011" i="1"/>
  <c r="G2011" i="1"/>
  <c r="F2011" i="1"/>
  <c r="E2011" i="1"/>
  <c r="A2011" i="1"/>
  <c r="I2010" i="1"/>
  <c r="A2010" i="1"/>
  <c r="I2009" i="1"/>
  <c r="A2009" i="1"/>
  <c r="I2008" i="1"/>
  <c r="G2008" i="1"/>
  <c r="F2008" i="1"/>
  <c r="E2008" i="1"/>
  <c r="A2008" i="1"/>
  <c r="I2007" i="1"/>
  <c r="G2007" i="1"/>
  <c r="F2007" i="1"/>
  <c r="E2007" i="1"/>
  <c r="A2007" i="1"/>
  <c r="I2006" i="1"/>
  <c r="F2006" i="1"/>
  <c r="E2006" i="1"/>
  <c r="B2006" i="1"/>
  <c r="G2006" i="1" s="1"/>
  <c r="A2006" i="1"/>
  <c r="I2005" i="1"/>
  <c r="A2005" i="1" s="1"/>
  <c r="E2005" i="1"/>
  <c r="B2005" i="1"/>
  <c r="G2005" i="1" s="1"/>
  <c r="I2004" i="1"/>
  <c r="G2004" i="1"/>
  <c r="F2004" i="1"/>
  <c r="E2004" i="1"/>
  <c r="A2004" i="1"/>
  <c r="I2003" i="1"/>
  <c r="A2003" i="1" s="1"/>
  <c r="G2003" i="1"/>
  <c r="F2003" i="1"/>
  <c r="E2003" i="1"/>
  <c r="I2002" i="1"/>
  <c r="G2002" i="1"/>
  <c r="F2002" i="1"/>
  <c r="E2002" i="1"/>
  <c r="A2002" i="1"/>
  <c r="I2001" i="1"/>
  <c r="G2001" i="1"/>
  <c r="F2001" i="1"/>
  <c r="E2001" i="1"/>
  <c r="A2001" i="1"/>
  <c r="I2000" i="1"/>
  <c r="G2000" i="1"/>
  <c r="F2000" i="1"/>
  <c r="E2000" i="1"/>
  <c r="A2000" i="1"/>
  <c r="I1999" i="1"/>
  <c r="A1999" i="1" s="1"/>
  <c r="G1999" i="1"/>
  <c r="F1999" i="1"/>
  <c r="E1999" i="1"/>
  <c r="I1998" i="1"/>
  <c r="G1998" i="1"/>
  <c r="F1998" i="1"/>
  <c r="E1998" i="1"/>
  <c r="A1998" i="1"/>
  <c r="I1997" i="1"/>
  <c r="G1997" i="1"/>
  <c r="F1997" i="1"/>
  <c r="E1997" i="1"/>
  <c r="A1997" i="1"/>
  <c r="I1996" i="1"/>
  <c r="G1996" i="1"/>
  <c r="F1996" i="1"/>
  <c r="E1996" i="1"/>
  <c r="A1996" i="1"/>
  <c r="I1995" i="1"/>
  <c r="A1995" i="1" s="1"/>
  <c r="G1995" i="1"/>
  <c r="F1995" i="1"/>
  <c r="E1995" i="1"/>
  <c r="I1994" i="1"/>
  <c r="G1994" i="1"/>
  <c r="F1994" i="1"/>
  <c r="E1994" i="1"/>
  <c r="A1994" i="1"/>
  <c r="I1993" i="1"/>
  <c r="G1993" i="1"/>
  <c r="F1993" i="1"/>
  <c r="E1993" i="1"/>
  <c r="A1993" i="1"/>
  <c r="I1992" i="1"/>
  <c r="G1992" i="1"/>
  <c r="F1992" i="1"/>
  <c r="E1992" i="1"/>
  <c r="A1992" i="1"/>
  <c r="I1991" i="1"/>
  <c r="A1991" i="1" s="1"/>
  <c r="G1991" i="1"/>
  <c r="F1991" i="1"/>
  <c r="E1991" i="1"/>
  <c r="I1990" i="1"/>
  <c r="G1990" i="1"/>
  <c r="F1990" i="1"/>
  <c r="E1990" i="1"/>
  <c r="A1990" i="1"/>
  <c r="I1989" i="1"/>
  <c r="A1989" i="1"/>
  <c r="I1988" i="1"/>
  <c r="A1988" i="1"/>
  <c r="I1987" i="1"/>
  <c r="A1987" i="1" s="1"/>
  <c r="F1987" i="1"/>
  <c r="E1987" i="1"/>
  <c r="I1986" i="1"/>
  <c r="F1986" i="1"/>
  <c r="E1986" i="1"/>
  <c r="A1986" i="1"/>
  <c r="I1985" i="1"/>
  <c r="F1985" i="1"/>
  <c r="E1985" i="1"/>
  <c r="A1985" i="1"/>
  <c r="I1984" i="1"/>
  <c r="F1984" i="1"/>
  <c r="E1984" i="1"/>
  <c r="A1984" i="1"/>
  <c r="I1983" i="1"/>
  <c r="F1983" i="1"/>
  <c r="E1983" i="1"/>
  <c r="A1983" i="1"/>
  <c r="I1982" i="1"/>
  <c r="A1982" i="1" s="1"/>
  <c r="F1982" i="1"/>
  <c r="E1982" i="1"/>
  <c r="I1981" i="1"/>
  <c r="A1981" i="1" s="1"/>
  <c r="F1981" i="1"/>
  <c r="E1981" i="1"/>
  <c r="I1980" i="1"/>
  <c r="I1979" i="1"/>
  <c r="A1979" i="1" s="1"/>
  <c r="A1980" i="1" s="1"/>
  <c r="I1978" i="1"/>
  <c r="A1978" i="1" s="1"/>
  <c r="F1978" i="1"/>
  <c r="E1978" i="1"/>
  <c r="I1977" i="1"/>
  <c r="A1977" i="1" s="1"/>
  <c r="F1977" i="1"/>
  <c r="E1977" i="1"/>
  <c r="I1976" i="1"/>
  <c r="A1976" i="1" s="1"/>
  <c r="F1976" i="1"/>
  <c r="E1976" i="1"/>
  <c r="I1975" i="1"/>
  <c r="A1975" i="1" s="1"/>
  <c r="F1975" i="1"/>
  <c r="E1975" i="1"/>
  <c r="I1974" i="1"/>
  <c r="F1974" i="1"/>
  <c r="E1974" i="1"/>
  <c r="A1974" i="1"/>
  <c r="I1973" i="1"/>
  <c r="F1973" i="1"/>
  <c r="E1973" i="1"/>
  <c r="A1973" i="1"/>
  <c r="I1972" i="1"/>
  <c r="I1971" i="1"/>
  <c r="A1971" i="1" s="1"/>
  <c r="A1972" i="1" s="1"/>
  <c r="I1970" i="1"/>
  <c r="F1970" i="1"/>
  <c r="E1970" i="1"/>
  <c r="A1970" i="1"/>
  <c r="I1969" i="1"/>
  <c r="F1969" i="1"/>
  <c r="E1969" i="1"/>
  <c r="A1969" i="1"/>
  <c r="I1968" i="1"/>
  <c r="A1968" i="1" s="1"/>
  <c r="H1968" i="1"/>
  <c r="G1968" i="1"/>
  <c r="F1968" i="1"/>
  <c r="E1968" i="1"/>
  <c r="I1967" i="1"/>
  <c r="A1967" i="1" s="1"/>
  <c r="G1967" i="1"/>
  <c r="F1967" i="1"/>
  <c r="E1967" i="1"/>
  <c r="I1966" i="1"/>
  <c r="A1966" i="1" s="1"/>
  <c r="G1966" i="1"/>
  <c r="F1966" i="1"/>
  <c r="E1966" i="1"/>
  <c r="I1965" i="1"/>
  <c r="A1965" i="1" s="1"/>
  <c r="G1965" i="1"/>
  <c r="F1965" i="1"/>
  <c r="E1965" i="1"/>
  <c r="I1964" i="1"/>
  <c r="A1964" i="1" s="1"/>
  <c r="G1964" i="1"/>
  <c r="F1964" i="1"/>
  <c r="E1964" i="1"/>
  <c r="I1963" i="1"/>
  <c r="I1962" i="1"/>
  <c r="A1962" i="1" s="1"/>
  <c r="A1963" i="1" s="1"/>
  <c r="I1961" i="1"/>
  <c r="A1961" i="1" s="1"/>
  <c r="G1961" i="1"/>
  <c r="F1961" i="1"/>
  <c r="E1961" i="1"/>
  <c r="I1960" i="1"/>
  <c r="G1960" i="1"/>
  <c r="F1960" i="1"/>
  <c r="E1960" i="1"/>
  <c r="A1960" i="1"/>
  <c r="I1959" i="1"/>
  <c r="A1959" i="1" s="1"/>
  <c r="G1959" i="1"/>
  <c r="F1959" i="1"/>
  <c r="E1959" i="1"/>
  <c r="I1958" i="1"/>
  <c r="A1958" i="1" s="1"/>
  <c r="G1958" i="1"/>
  <c r="F1958" i="1"/>
  <c r="E1958" i="1"/>
  <c r="I1957" i="1"/>
  <c r="A1957" i="1" s="1"/>
  <c r="G1957" i="1"/>
  <c r="F1957" i="1"/>
  <c r="E1957" i="1"/>
  <c r="I1956" i="1"/>
  <c r="I1955" i="1"/>
  <c r="A1955" i="1"/>
  <c r="A1956" i="1" s="1"/>
  <c r="I1954" i="1"/>
  <c r="A1954" i="1" s="1"/>
  <c r="G1954" i="1"/>
  <c r="F1954" i="1"/>
  <c r="E1954" i="1"/>
  <c r="I1953" i="1"/>
  <c r="A1953" i="1" s="1"/>
  <c r="G1953" i="1"/>
  <c r="F1953" i="1"/>
  <c r="E1953" i="1"/>
  <c r="I1952" i="1"/>
  <c r="A1952" i="1" s="1"/>
  <c r="G1952" i="1"/>
  <c r="F1952" i="1"/>
  <c r="E1952" i="1"/>
  <c r="I1951" i="1"/>
  <c r="G1951" i="1"/>
  <c r="F1951" i="1"/>
  <c r="E1951" i="1"/>
  <c r="A1951" i="1"/>
  <c r="I1950" i="1"/>
  <c r="A1950" i="1" s="1"/>
  <c r="G1950" i="1"/>
  <c r="F1950" i="1"/>
  <c r="E1950" i="1"/>
  <c r="I1949" i="1"/>
  <c r="A1949" i="1"/>
  <c r="I1948" i="1"/>
  <c r="A1948" i="1" s="1"/>
  <c r="I1947" i="1"/>
  <c r="A1947" i="1" s="1"/>
  <c r="G1947" i="1"/>
  <c r="F1947" i="1"/>
  <c r="E1947" i="1"/>
  <c r="I1946" i="1"/>
  <c r="A1946" i="1" s="1"/>
  <c r="G1946" i="1"/>
  <c r="F1946" i="1"/>
  <c r="E1946" i="1"/>
  <c r="I1945" i="1"/>
  <c r="A1945" i="1" s="1"/>
  <c r="G1945" i="1"/>
  <c r="F1945" i="1"/>
  <c r="E1945" i="1"/>
  <c r="I1944" i="1"/>
  <c r="A1944" i="1" s="1"/>
  <c r="G1944" i="1"/>
  <c r="F1944" i="1"/>
  <c r="E1944" i="1"/>
  <c r="I1943" i="1"/>
  <c r="A1943" i="1" s="1"/>
  <c r="G1943" i="1"/>
  <c r="F1943" i="1"/>
  <c r="E1943" i="1"/>
  <c r="I1942" i="1"/>
  <c r="G1942" i="1"/>
  <c r="F1942" i="1"/>
  <c r="E1942" i="1"/>
  <c r="A1942" i="1"/>
  <c r="I1941" i="1"/>
  <c r="A1941" i="1" s="1"/>
  <c r="G1941" i="1"/>
  <c r="F1941" i="1"/>
  <c r="E1941" i="1"/>
  <c r="I1940" i="1"/>
  <c r="I1939" i="1"/>
  <c r="A1939" i="1" s="1"/>
  <c r="A1940" i="1" s="1"/>
  <c r="I1938" i="1"/>
  <c r="A1938" i="1" s="1"/>
  <c r="G1938" i="1"/>
  <c r="F1938" i="1"/>
  <c r="E1938" i="1"/>
  <c r="B1938" i="1"/>
  <c r="I1937" i="1"/>
  <c r="A1937" i="1" s="1"/>
  <c r="B1937" i="1"/>
  <c r="G1937" i="1" s="1"/>
  <c r="I1936" i="1"/>
  <c r="A1936" i="1" s="1"/>
  <c r="G1936" i="1"/>
  <c r="F1936" i="1"/>
  <c r="I1935" i="1"/>
  <c r="G1935" i="1"/>
  <c r="F1935" i="1"/>
  <c r="E1935" i="1"/>
  <c r="A1935" i="1"/>
  <c r="I1934" i="1"/>
  <c r="A1934" i="1"/>
  <c r="I1933" i="1"/>
  <c r="B1933" i="1"/>
  <c r="A1933" i="1"/>
  <c r="I1932" i="1"/>
  <c r="G1932" i="1"/>
  <c r="F1932" i="1"/>
  <c r="E1932" i="1"/>
  <c r="B1932" i="1"/>
  <c r="A1932" i="1"/>
  <c r="I1931" i="1"/>
  <c r="A1931" i="1" s="1"/>
  <c r="G1931" i="1"/>
  <c r="F1931" i="1"/>
  <c r="I1930" i="1"/>
  <c r="A1930" i="1" s="1"/>
  <c r="G1930" i="1"/>
  <c r="F1930" i="1"/>
  <c r="E1930" i="1"/>
  <c r="I1929" i="1"/>
  <c r="A1929" i="1" s="1"/>
  <c r="I1928" i="1"/>
  <c r="G1928" i="1"/>
  <c r="F1928" i="1"/>
  <c r="E1928" i="1"/>
  <c r="A1928" i="1"/>
  <c r="I1927" i="1"/>
  <c r="A1927" i="1" s="1"/>
  <c r="G1927" i="1"/>
  <c r="F1927" i="1"/>
  <c r="I1926" i="1"/>
  <c r="A1926" i="1" s="1"/>
  <c r="G1926" i="1"/>
  <c r="F1926" i="1"/>
  <c r="I1925" i="1"/>
  <c r="A1925" i="1" s="1"/>
  <c r="I1924" i="1"/>
  <c r="G1924" i="1"/>
  <c r="F1924" i="1"/>
  <c r="E1924" i="1"/>
  <c r="A1924" i="1"/>
  <c r="I1923" i="1"/>
  <c r="G1923" i="1"/>
  <c r="F1923" i="1"/>
  <c r="A1923" i="1"/>
  <c r="I1922" i="1"/>
  <c r="A1922" i="1" s="1"/>
  <c r="G1922" i="1"/>
  <c r="F1922" i="1"/>
  <c r="I1921" i="1"/>
  <c r="A1921" i="1" s="1"/>
  <c r="I1920" i="1"/>
  <c r="A1920" i="1"/>
  <c r="I1919" i="1"/>
  <c r="A1919" i="1" s="1"/>
  <c r="I1918" i="1"/>
  <c r="A1918" i="1" s="1"/>
  <c r="H1918" i="1"/>
  <c r="G1918" i="1"/>
  <c r="F1918" i="1"/>
  <c r="E1918" i="1"/>
  <c r="I1917" i="1"/>
  <c r="A1917" i="1" s="1"/>
  <c r="G1917" i="1"/>
  <c r="F1917" i="1"/>
  <c r="E1917" i="1"/>
  <c r="I1916" i="1"/>
  <c r="H1916" i="1"/>
  <c r="H1917" i="1" s="1"/>
  <c r="G1916" i="1"/>
  <c r="F1916" i="1"/>
  <c r="E1916" i="1"/>
  <c r="A1916" i="1"/>
  <c r="I1915" i="1"/>
  <c r="H1915" i="1"/>
  <c r="H2009" i="1" s="1"/>
  <c r="H2014" i="1" s="1"/>
  <c r="G1915" i="1"/>
  <c r="F1915" i="1"/>
  <c r="E1915" i="1"/>
  <c r="A1915" i="1"/>
  <c r="I1914" i="1"/>
  <c r="A1914" i="1" s="1"/>
  <c r="G1914" i="1"/>
  <c r="F1914" i="1"/>
  <c r="E1914" i="1"/>
  <c r="I1913" i="1"/>
  <c r="H1913" i="1"/>
  <c r="G1913" i="1"/>
  <c r="F1913" i="1"/>
  <c r="E1913" i="1"/>
  <c r="A1913" i="1"/>
  <c r="I1912" i="1"/>
  <c r="H1912" i="1"/>
  <c r="G1912" i="1"/>
  <c r="F1912" i="1"/>
  <c r="E1912" i="1"/>
  <c r="A1912" i="1"/>
  <c r="I1911" i="1"/>
  <c r="A1911" i="1" s="1"/>
  <c r="G1911" i="1"/>
  <c r="F1911" i="1"/>
  <c r="E1911" i="1"/>
  <c r="I1910" i="1"/>
  <c r="A1910" i="1" s="1"/>
  <c r="H1910" i="1"/>
  <c r="G1910" i="1"/>
  <c r="F1910" i="1"/>
  <c r="E1910" i="1"/>
  <c r="I1909" i="1"/>
  <c r="A1909" i="1" s="1"/>
  <c r="H1909" i="1"/>
  <c r="G1909" i="1"/>
  <c r="F1909" i="1"/>
  <c r="E1909" i="1"/>
  <c r="I1908" i="1"/>
  <c r="H1908" i="1"/>
  <c r="G1908" i="1"/>
  <c r="F1908" i="1"/>
  <c r="E1908" i="1"/>
  <c r="A1908" i="1"/>
  <c r="I1907" i="1"/>
  <c r="H1907" i="1"/>
  <c r="H1960" i="1" s="1"/>
  <c r="G1907" i="1"/>
  <c r="F1907" i="1"/>
  <c r="E1907" i="1"/>
  <c r="A1907" i="1"/>
  <c r="I1906" i="1"/>
  <c r="A1906" i="1" s="1"/>
  <c r="H1906" i="1"/>
  <c r="H2061" i="1" s="1"/>
  <c r="G1906" i="1"/>
  <c r="F1906" i="1"/>
  <c r="E1906" i="1"/>
  <c r="D1906" i="1"/>
  <c r="I1905" i="1"/>
  <c r="A1905" i="1" s="1"/>
  <c r="I1904" i="1"/>
  <c r="D1904" i="1"/>
  <c r="A1904" i="1"/>
  <c r="I1903" i="1"/>
  <c r="A1903" i="1"/>
  <c r="I1902" i="1"/>
  <c r="A1902" i="1"/>
  <c r="I1901" i="1"/>
  <c r="G1901" i="1"/>
  <c r="E1901" i="1"/>
  <c r="A1901" i="1"/>
  <c r="I1900" i="1"/>
  <c r="A1900" i="1" s="1"/>
  <c r="G1900" i="1"/>
  <c r="E1900" i="1"/>
  <c r="I1899" i="1"/>
  <c r="A1899" i="1" s="1"/>
  <c r="I1898" i="1"/>
  <c r="A1898" i="1" s="1"/>
  <c r="H1898" i="1"/>
  <c r="G1898" i="1"/>
  <c r="F1898" i="1"/>
  <c r="E1898" i="1"/>
  <c r="I1897" i="1"/>
  <c r="H1897" i="1"/>
  <c r="G1897" i="1"/>
  <c r="F1897" i="1"/>
  <c r="E1897" i="1"/>
  <c r="A1897" i="1"/>
  <c r="I1896" i="1"/>
  <c r="H1896" i="1"/>
  <c r="G1896" i="1"/>
  <c r="F1896" i="1"/>
  <c r="E1896" i="1"/>
  <c r="A1896" i="1"/>
  <c r="I1895" i="1"/>
  <c r="A1895" i="1" s="1"/>
  <c r="H1895" i="1"/>
  <c r="G1895" i="1"/>
  <c r="F1895" i="1"/>
  <c r="E1895" i="1"/>
  <c r="I1894" i="1"/>
  <c r="A1894" i="1" s="1"/>
  <c r="H1894" i="1"/>
  <c r="G1894" i="1"/>
  <c r="F1894" i="1"/>
  <c r="E1894" i="1"/>
  <c r="I1893" i="1"/>
  <c r="H1893" i="1"/>
  <c r="F1893" i="1"/>
  <c r="E1893" i="1"/>
  <c r="A1893" i="1"/>
  <c r="I1892" i="1"/>
  <c r="A1892" i="1" s="1"/>
  <c r="H1892" i="1"/>
  <c r="G1892" i="1"/>
  <c r="F1892" i="1"/>
  <c r="E1892" i="1"/>
  <c r="I1891" i="1"/>
  <c r="A1891" i="1" s="1"/>
  <c r="H1891" i="1"/>
  <c r="G1891" i="1"/>
  <c r="F1891" i="1"/>
  <c r="E1891" i="1"/>
  <c r="I1890" i="1"/>
  <c r="H1890" i="1"/>
  <c r="G1890" i="1"/>
  <c r="F1890" i="1"/>
  <c r="E1890" i="1"/>
  <c r="A1890" i="1"/>
  <c r="I1889" i="1"/>
  <c r="H1889" i="1"/>
  <c r="G1889" i="1"/>
  <c r="F1889" i="1"/>
  <c r="E1889" i="1"/>
  <c r="A1889" i="1"/>
  <c r="I1888" i="1"/>
  <c r="A1888" i="1" s="1"/>
  <c r="H1888" i="1"/>
  <c r="G1888" i="1"/>
  <c r="F1888" i="1"/>
  <c r="E1888" i="1"/>
  <c r="I1887" i="1"/>
  <c r="A1887" i="1" s="1"/>
  <c r="H1887" i="1"/>
  <c r="G1887" i="1"/>
  <c r="F1887" i="1"/>
  <c r="E1887" i="1"/>
  <c r="I1886" i="1"/>
  <c r="H1886" i="1"/>
  <c r="G1886" i="1"/>
  <c r="F1886" i="1"/>
  <c r="E1886" i="1"/>
  <c r="A1886" i="1"/>
  <c r="I1885" i="1"/>
  <c r="H1885" i="1"/>
  <c r="F1885" i="1"/>
  <c r="E1885" i="1"/>
  <c r="A1885" i="1"/>
  <c r="I1884" i="1"/>
  <c r="A1884" i="1" s="1"/>
  <c r="H1884" i="1"/>
  <c r="G1884" i="1"/>
  <c r="F1884" i="1"/>
  <c r="E1884" i="1"/>
  <c r="I1883" i="1"/>
  <c r="H1883" i="1"/>
  <c r="G1883" i="1"/>
  <c r="F1883" i="1"/>
  <c r="E1883" i="1"/>
  <c r="A1883" i="1"/>
  <c r="I1882" i="1"/>
  <c r="H1882" i="1"/>
  <c r="G1882" i="1"/>
  <c r="F1882" i="1"/>
  <c r="E1882" i="1"/>
  <c r="A1882" i="1"/>
  <c r="I1881" i="1"/>
  <c r="H1881" i="1"/>
  <c r="G1881" i="1"/>
  <c r="F1881" i="1"/>
  <c r="E1881" i="1"/>
  <c r="A1881" i="1"/>
  <c r="I1880" i="1"/>
  <c r="A1880" i="1" s="1"/>
  <c r="H1880" i="1"/>
  <c r="G1880" i="1"/>
  <c r="F1880" i="1"/>
  <c r="E1880" i="1"/>
  <c r="I1879" i="1"/>
  <c r="A1879" i="1" s="1"/>
  <c r="H1879" i="1"/>
  <c r="G1879" i="1"/>
  <c r="F1879" i="1"/>
  <c r="E1879" i="1"/>
  <c r="I1878" i="1"/>
  <c r="H1878" i="1"/>
  <c r="G1878" i="1"/>
  <c r="F1878" i="1"/>
  <c r="E1878" i="1"/>
  <c r="A1878" i="1"/>
  <c r="I1877" i="1"/>
  <c r="I1876" i="1"/>
  <c r="A1876" i="1"/>
  <c r="A1877" i="1" s="1"/>
  <c r="I1875" i="1"/>
  <c r="A1875" i="1" s="1"/>
  <c r="G1875" i="1"/>
  <c r="F1875" i="1"/>
  <c r="E1875" i="1"/>
  <c r="I1874" i="1"/>
  <c r="G1874" i="1"/>
  <c r="F1874" i="1"/>
  <c r="E1874" i="1"/>
  <c r="A1874" i="1"/>
  <c r="I1873" i="1"/>
  <c r="G1873" i="1"/>
  <c r="F1873" i="1"/>
  <c r="A1873" i="1"/>
  <c r="I1872" i="1"/>
  <c r="A1872" i="1" s="1"/>
  <c r="G1872" i="1"/>
  <c r="F1872" i="1"/>
  <c r="E1872" i="1"/>
  <c r="I1871" i="1"/>
  <c r="A1871" i="1" s="1"/>
  <c r="G1871" i="1"/>
  <c r="F1871" i="1"/>
  <c r="E1871" i="1"/>
  <c r="I1870" i="1"/>
  <c r="G1870" i="1"/>
  <c r="F1870" i="1"/>
  <c r="E1870" i="1"/>
  <c r="A1870" i="1"/>
  <c r="I1869" i="1"/>
  <c r="G1869" i="1"/>
  <c r="F1869" i="1"/>
  <c r="E1869" i="1"/>
  <c r="A1869" i="1"/>
  <c r="I1868" i="1"/>
  <c r="A1868" i="1" s="1"/>
  <c r="F1868" i="1"/>
  <c r="E1868" i="1"/>
  <c r="I1867" i="1"/>
  <c r="F1867" i="1"/>
  <c r="E1867" i="1"/>
  <c r="A1867" i="1"/>
  <c r="I1866" i="1"/>
  <c r="A1866" i="1" s="1"/>
  <c r="F1866" i="1"/>
  <c r="E1866" i="1"/>
  <c r="I1865" i="1"/>
  <c r="F1865" i="1"/>
  <c r="E1865" i="1"/>
  <c r="A1865" i="1"/>
  <c r="I1864" i="1"/>
  <c r="A1864" i="1" s="1"/>
  <c r="F1864" i="1"/>
  <c r="E1864" i="1"/>
  <c r="I1863" i="1"/>
  <c r="A1863" i="1" s="1"/>
  <c r="F1863" i="1"/>
  <c r="E1863" i="1"/>
  <c r="I1862" i="1"/>
  <c r="G1862" i="1"/>
  <c r="F1862" i="1"/>
  <c r="E1862" i="1"/>
  <c r="A1862" i="1"/>
  <c r="I1861" i="1"/>
  <c r="A1861" i="1" s="1"/>
  <c r="G1861" i="1"/>
  <c r="F1861" i="1"/>
  <c r="E1861" i="1"/>
  <c r="I1860" i="1"/>
  <c r="A1860" i="1" s="1"/>
  <c r="G1860" i="1"/>
  <c r="F1860" i="1"/>
  <c r="E1860" i="1"/>
  <c r="I1859" i="1"/>
  <c r="G1859" i="1"/>
  <c r="F1859" i="1"/>
  <c r="E1859" i="1"/>
  <c r="A1859" i="1"/>
  <c r="I1858" i="1"/>
  <c r="A1858" i="1" s="1"/>
  <c r="G1858" i="1"/>
  <c r="F1858" i="1"/>
  <c r="E1858" i="1"/>
  <c r="I1857" i="1"/>
  <c r="I1856" i="1"/>
  <c r="A1856" i="1" s="1"/>
  <c r="A1857" i="1" s="1"/>
  <c r="I1855" i="1"/>
  <c r="A1855" i="1" s="1"/>
  <c r="G1855" i="1"/>
  <c r="F1855" i="1"/>
  <c r="E1855" i="1"/>
  <c r="I1854" i="1"/>
  <c r="G1854" i="1"/>
  <c r="F1854" i="1"/>
  <c r="E1854" i="1"/>
  <c r="A1854" i="1"/>
  <c r="I1853" i="1"/>
  <c r="A1853" i="1" s="1"/>
  <c r="G1853" i="1"/>
  <c r="F1853" i="1"/>
  <c r="E1853" i="1"/>
  <c r="I1852" i="1"/>
  <c r="A1852" i="1" s="1"/>
  <c r="G1852" i="1"/>
  <c r="F1852" i="1"/>
  <c r="E1852" i="1"/>
  <c r="I1851" i="1"/>
  <c r="I1850" i="1"/>
  <c r="A1850" i="1" s="1"/>
  <c r="A1851" i="1" s="1"/>
  <c r="I1849" i="1"/>
  <c r="G1849" i="1"/>
  <c r="F1849" i="1"/>
  <c r="E1849" i="1"/>
  <c r="A1849" i="1"/>
  <c r="I1848" i="1"/>
  <c r="A1848" i="1" s="1"/>
  <c r="G1848" i="1"/>
  <c r="F1848" i="1"/>
  <c r="E1848" i="1"/>
  <c r="I1847" i="1"/>
  <c r="A1847" i="1" s="1"/>
  <c r="G1847" i="1"/>
  <c r="F1847" i="1"/>
  <c r="E1847" i="1"/>
  <c r="I1846" i="1"/>
  <c r="G1846" i="1"/>
  <c r="F1846" i="1"/>
  <c r="E1846" i="1"/>
  <c r="A1846" i="1"/>
  <c r="I1845" i="1"/>
  <c r="A1845" i="1" s="1"/>
  <c r="G1845" i="1"/>
  <c r="F1845" i="1"/>
  <c r="E1845" i="1"/>
  <c r="I1844" i="1"/>
  <c r="A1844" i="1" s="1"/>
  <c r="G1844" i="1"/>
  <c r="F1844" i="1"/>
  <c r="E1844" i="1"/>
  <c r="I1843" i="1"/>
  <c r="G1843" i="1"/>
  <c r="F1843" i="1"/>
  <c r="E1843" i="1"/>
  <c r="A1843" i="1"/>
  <c r="I1842" i="1"/>
  <c r="G1842" i="1"/>
  <c r="F1842" i="1"/>
  <c r="E1842" i="1"/>
  <c r="A1842" i="1"/>
  <c r="I1841" i="1"/>
  <c r="G1841" i="1"/>
  <c r="F1841" i="1"/>
  <c r="E1841" i="1"/>
  <c r="A1841" i="1"/>
  <c r="I1840" i="1"/>
  <c r="G1840" i="1"/>
  <c r="F1840" i="1"/>
  <c r="E1840" i="1"/>
  <c r="A1840" i="1"/>
  <c r="I1839" i="1"/>
  <c r="G1839" i="1"/>
  <c r="F1839" i="1"/>
  <c r="E1839" i="1"/>
  <c r="A1839" i="1"/>
  <c r="I1838" i="1"/>
  <c r="A1838" i="1" s="1"/>
  <c r="G1838" i="1"/>
  <c r="F1838" i="1"/>
  <c r="E1838" i="1"/>
  <c r="I1837" i="1"/>
  <c r="A1837" i="1" s="1"/>
  <c r="G1837" i="1"/>
  <c r="F1837" i="1"/>
  <c r="E1837" i="1"/>
  <c r="I1836" i="1"/>
  <c r="I1835" i="1"/>
  <c r="A1835" i="1" s="1"/>
  <c r="A1836" i="1" s="1"/>
  <c r="I1834" i="1"/>
  <c r="G1834" i="1"/>
  <c r="F1834" i="1"/>
  <c r="E1834" i="1"/>
  <c r="A1834" i="1"/>
  <c r="I1833" i="1"/>
  <c r="A1833" i="1" s="1"/>
  <c r="G1833" i="1"/>
  <c r="F1833" i="1"/>
  <c r="E1833" i="1"/>
  <c r="I1832" i="1"/>
  <c r="A1832" i="1" s="1"/>
  <c r="G1832" i="1"/>
  <c r="F1832" i="1"/>
  <c r="E1832" i="1"/>
  <c r="I1831" i="1"/>
  <c r="A1831" i="1" s="1"/>
  <c r="G1831" i="1"/>
  <c r="F1831" i="1"/>
  <c r="E1831" i="1"/>
  <c r="I1830" i="1"/>
  <c r="G1830" i="1"/>
  <c r="F1830" i="1"/>
  <c r="E1830" i="1"/>
  <c r="A1830" i="1"/>
  <c r="I1829" i="1"/>
  <c r="A1829" i="1" s="1"/>
  <c r="G1829" i="1"/>
  <c r="F1829" i="1"/>
  <c r="E1829" i="1"/>
  <c r="I1828" i="1"/>
  <c r="A1828" i="1" s="1"/>
  <c r="G1828" i="1"/>
  <c r="F1828" i="1"/>
  <c r="E1828" i="1"/>
  <c r="I1827" i="1"/>
  <c r="A1827" i="1" s="1"/>
  <c r="G1827" i="1"/>
  <c r="F1827" i="1"/>
  <c r="E1827" i="1"/>
  <c r="I1826" i="1"/>
  <c r="G1826" i="1"/>
  <c r="F1826" i="1"/>
  <c r="E1826" i="1"/>
  <c r="A1826" i="1"/>
  <c r="I1825" i="1"/>
  <c r="A1825" i="1" s="1"/>
  <c r="G1825" i="1"/>
  <c r="F1825" i="1"/>
  <c r="E1825" i="1"/>
  <c r="I1824" i="1"/>
  <c r="A1824" i="1" s="1"/>
  <c r="G1824" i="1"/>
  <c r="F1824" i="1"/>
  <c r="E1824" i="1"/>
  <c r="I1823" i="1"/>
  <c r="A1823" i="1" s="1"/>
  <c r="G1823" i="1"/>
  <c r="F1823" i="1"/>
  <c r="E1823" i="1"/>
  <c r="I1822" i="1"/>
  <c r="I1821" i="1"/>
  <c r="A1821" i="1"/>
  <c r="A1822" i="1" s="1"/>
  <c r="I1820" i="1"/>
  <c r="A1820" i="1" s="1"/>
  <c r="G1820" i="1"/>
  <c r="F1820" i="1"/>
  <c r="E1820" i="1"/>
  <c r="I1819" i="1"/>
  <c r="A1819" i="1" s="1"/>
  <c r="G1819" i="1"/>
  <c r="F1819" i="1"/>
  <c r="E1819" i="1"/>
  <c r="I1818" i="1"/>
  <c r="A1818" i="1" s="1"/>
  <c r="G1818" i="1"/>
  <c r="F1818" i="1"/>
  <c r="E1818" i="1"/>
  <c r="I1817" i="1"/>
  <c r="G1817" i="1"/>
  <c r="F1817" i="1"/>
  <c r="E1817" i="1"/>
  <c r="A1817" i="1"/>
  <c r="I1816" i="1"/>
  <c r="A1816" i="1" s="1"/>
  <c r="G1816" i="1"/>
  <c r="F1816" i="1"/>
  <c r="E1816" i="1"/>
  <c r="I1815" i="1"/>
  <c r="A1815" i="1" s="1"/>
  <c r="G1815" i="1"/>
  <c r="F1815" i="1"/>
  <c r="E1815" i="1"/>
  <c r="I1814" i="1"/>
  <c r="A1814" i="1" s="1"/>
  <c r="G1814" i="1"/>
  <c r="F1814" i="1"/>
  <c r="E1814" i="1"/>
  <c r="I1813" i="1"/>
  <c r="I1812" i="1"/>
  <c r="A1812" i="1"/>
  <c r="A1813" i="1" s="1"/>
  <c r="I1811" i="1"/>
  <c r="A1811" i="1" s="1"/>
  <c r="G1811" i="1"/>
  <c r="F1811" i="1"/>
  <c r="E1811" i="1"/>
  <c r="I1810" i="1"/>
  <c r="A1810" i="1" s="1"/>
  <c r="G1810" i="1"/>
  <c r="F1810" i="1"/>
  <c r="E1810" i="1"/>
  <c r="I1809" i="1"/>
  <c r="A1809" i="1" s="1"/>
  <c r="G1809" i="1"/>
  <c r="F1809" i="1"/>
  <c r="E1809" i="1"/>
  <c r="I1808" i="1"/>
  <c r="G1808" i="1"/>
  <c r="F1808" i="1"/>
  <c r="E1808" i="1"/>
  <c r="A1808" i="1"/>
  <c r="I1807" i="1"/>
  <c r="A1807" i="1" s="1"/>
  <c r="G1807" i="1"/>
  <c r="F1807" i="1"/>
  <c r="E1807" i="1"/>
  <c r="I1806" i="1"/>
  <c r="A1806" i="1" s="1"/>
  <c r="G1806" i="1"/>
  <c r="F1806" i="1"/>
  <c r="E1806" i="1"/>
  <c r="I1805" i="1"/>
  <c r="A1805" i="1" s="1"/>
  <c r="G1805" i="1"/>
  <c r="F1805" i="1"/>
  <c r="E1805" i="1"/>
  <c r="I1804" i="1"/>
  <c r="A1804" i="1" s="1"/>
  <c r="G1804" i="1"/>
  <c r="F1804" i="1"/>
  <c r="E1804" i="1"/>
  <c r="I1803" i="1"/>
  <c r="I1802" i="1"/>
  <c r="A1802" i="1" s="1"/>
  <c r="A1803" i="1" s="1"/>
  <c r="I1801" i="1"/>
  <c r="A1801" i="1" s="1"/>
  <c r="G1801" i="1"/>
  <c r="F1801" i="1"/>
  <c r="E1801" i="1"/>
  <c r="I1800" i="1"/>
  <c r="G1800" i="1"/>
  <c r="F1800" i="1"/>
  <c r="E1800" i="1"/>
  <c r="A1800" i="1"/>
  <c r="I1799" i="1"/>
  <c r="G1799" i="1"/>
  <c r="F1799" i="1"/>
  <c r="E1799" i="1"/>
  <c r="A1799" i="1"/>
  <c r="I1798" i="1"/>
  <c r="A1798" i="1"/>
  <c r="I1797" i="1"/>
  <c r="A1797" i="1"/>
  <c r="O1796" i="1"/>
  <c r="N1796" i="1"/>
  <c r="I1796" i="1"/>
  <c r="H1796" i="1"/>
  <c r="H1794" i="1" s="1"/>
  <c r="G1796" i="1"/>
  <c r="F1796" i="1"/>
  <c r="E1796" i="1"/>
  <c r="A1796" i="1"/>
  <c r="I1795" i="1"/>
  <c r="G1795" i="1"/>
  <c r="F1795" i="1"/>
  <c r="E1795" i="1"/>
  <c r="A1795" i="1"/>
  <c r="I1794" i="1"/>
  <c r="G1794" i="1"/>
  <c r="F1794" i="1"/>
  <c r="E1794" i="1"/>
  <c r="A1794" i="1"/>
  <c r="I1793" i="1"/>
  <c r="G1793" i="1"/>
  <c r="F1793" i="1"/>
  <c r="E1793" i="1"/>
  <c r="A1793" i="1"/>
  <c r="I1792" i="1"/>
  <c r="A1792" i="1"/>
  <c r="I1791" i="1"/>
  <c r="A1791" i="1"/>
  <c r="O1790" i="1"/>
  <c r="N1790" i="1"/>
  <c r="I1790" i="1"/>
  <c r="A1790" i="1" s="1"/>
  <c r="G1790" i="1"/>
  <c r="F1790" i="1"/>
  <c r="E1790" i="1"/>
  <c r="I1789" i="1"/>
  <c r="A1789" i="1" s="1"/>
  <c r="G1789" i="1"/>
  <c r="F1789" i="1"/>
  <c r="E1789" i="1"/>
  <c r="I1788" i="1"/>
  <c r="A1788" i="1" s="1"/>
  <c r="G1788" i="1"/>
  <c r="F1788" i="1"/>
  <c r="E1788" i="1"/>
  <c r="I1787" i="1"/>
  <c r="A1787" i="1" s="1"/>
  <c r="G1787" i="1"/>
  <c r="F1787" i="1"/>
  <c r="E1787" i="1"/>
  <c r="I1786" i="1"/>
  <c r="I1785" i="1"/>
  <c r="A1785" i="1" s="1"/>
  <c r="A1786" i="1" s="1"/>
  <c r="I1784" i="1"/>
  <c r="A1784" i="1" s="1"/>
  <c r="G1784" i="1"/>
  <c r="F1784" i="1"/>
  <c r="E1784" i="1"/>
  <c r="I1783" i="1"/>
  <c r="A1783" i="1" s="1"/>
  <c r="G1783" i="1"/>
  <c r="F1783" i="1"/>
  <c r="E1783" i="1"/>
  <c r="I1782" i="1"/>
  <c r="A1782" i="1" s="1"/>
  <c r="B1782" i="1"/>
  <c r="E1782" i="1" s="1"/>
  <c r="I1781" i="1"/>
  <c r="G1781" i="1"/>
  <c r="E1781" i="1"/>
  <c r="B1781" i="1"/>
  <c r="F1781" i="1" s="1"/>
  <c r="A1781" i="1"/>
  <c r="I1780" i="1"/>
  <c r="G1780" i="1"/>
  <c r="F1780" i="1"/>
  <c r="E1780" i="1"/>
  <c r="A1780" i="1"/>
  <c r="I1779" i="1"/>
  <c r="G1779" i="1"/>
  <c r="F1779" i="1"/>
  <c r="E1779" i="1"/>
  <c r="A1779" i="1"/>
  <c r="I1778" i="1"/>
  <c r="G1778" i="1"/>
  <c r="F1778" i="1"/>
  <c r="E1778" i="1"/>
  <c r="A1778" i="1"/>
  <c r="I1777" i="1"/>
  <c r="A1777" i="1" s="1"/>
  <c r="F1777" i="1"/>
  <c r="E1777" i="1"/>
  <c r="I1776" i="1"/>
  <c r="F1776" i="1"/>
  <c r="E1776" i="1"/>
  <c r="A1776" i="1"/>
  <c r="I1775" i="1"/>
  <c r="F1775" i="1"/>
  <c r="E1775" i="1"/>
  <c r="A1775" i="1"/>
  <c r="I1774" i="1"/>
  <c r="A1774" i="1" s="1"/>
  <c r="G1774" i="1"/>
  <c r="F1774" i="1"/>
  <c r="E1774" i="1"/>
  <c r="I1773" i="1"/>
  <c r="A1773" i="1" s="1"/>
  <c r="G1773" i="1"/>
  <c r="F1773" i="1"/>
  <c r="E1773" i="1"/>
  <c r="I1772" i="1"/>
  <c r="A1772" i="1" s="1"/>
  <c r="G1772" i="1"/>
  <c r="F1772" i="1"/>
  <c r="E1772" i="1"/>
  <c r="I1771" i="1"/>
  <c r="A1771" i="1" s="1"/>
  <c r="G1771" i="1"/>
  <c r="F1771" i="1"/>
  <c r="E1771" i="1"/>
  <c r="I1770" i="1"/>
  <c r="A1770" i="1" s="1"/>
  <c r="G1770" i="1"/>
  <c r="F1770" i="1"/>
  <c r="E1770" i="1"/>
  <c r="I1769" i="1"/>
  <c r="G1769" i="1"/>
  <c r="F1769" i="1"/>
  <c r="E1769" i="1"/>
  <c r="A1769" i="1"/>
  <c r="I1768" i="1"/>
  <c r="G1768" i="1"/>
  <c r="F1768" i="1"/>
  <c r="E1768" i="1"/>
  <c r="A1768" i="1"/>
  <c r="I1767" i="1"/>
  <c r="G1767" i="1"/>
  <c r="F1767" i="1"/>
  <c r="E1767" i="1"/>
  <c r="A1767" i="1"/>
  <c r="I1766" i="1"/>
  <c r="I1765" i="1"/>
  <c r="A1765" i="1"/>
  <c r="A1766" i="1" s="1"/>
  <c r="I1764" i="1"/>
  <c r="A1764" i="1" s="1"/>
  <c r="F1764" i="1"/>
  <c r="E1764" i="1"/>
  <c r="I1763" i="1"/>
  <c r="A1763" i="1" s="1"/>
  <c r="F1763" i="1"/>
  <c r="E1763" i="1"/>
  <c r="I1762" i="1"/>
  <c r="A1762" i="1" s="1"/>
  <c r="F1762" i="1"/>
  <c r="E1762" i="1"/>
  <c r="I1761" i="1"/>
  <c r="A1761" i="1" s="1"/>
  <c r="F1761" i="1"/>
  <c r="E1761" i="1"/>
  <c r="I1760" i="1"/>
  <c r="F1760" i="1"/>
  <c r="E1760" i="1"/>
  <c r="A1760" i="1"/>
  <c r="I1759" i="1"/>
  <c r="A1759" i="1" s="1"/>
  <c r="F1759" i="1"/>
  <c r="E1759" i="1"/>
  <c r="I1758" i="1"/>
  <c r="F1758" i="1"/>
  <c r="E1758" i="1"/>
  <c r="A1758" i="1"/>
  <c r="I1757" i="1"/>
  <c r="I1756" i="1"/>
  <c r="A1756" i="1" s="1"/>
  <c r="A1757" i="1" s="1"/>
  <c r="I1755" i="1"/>
  <c r="A1755" i="1" s="1"/>
  <c r="F1755" i="1"/>
  <c r="E1755" i="1"/>
  <c r="I1754" i="1"/>
  <c r="F1754" i="1"/>
  <c r="E1754" i="1"/>
  <c r="A1754" i="1"/>
  <c r="I1753" i="1"/>
  <c r="F1753" i="1"/>
  <c r="E1753" i="1"/>
  <c r="A1753" i="1"/>
  <c r="I1752" i="1"/>
  <c r="A1752" i="1" s="1"/>
  <c r="F1752" i="1"/>
  <c r="E1752" i="1"/>
  <c r="I1751" i="1"/>
  <c r="F1751" i="1"/>
  <c r="E1751" i="1"/>
  <c r="A1751" i="1"/>
  <c r="I1750" i="1"/>
  <c r="A1750" i="1" s="1"/>
  <c r="F1750" i="1"/>
  <c r="E1750" i="1"/>
  <c r="I1749" i="1"/>
  <c r="I1748" i="1"/>
  <c r="A1748" i="1" s="1"/>
  <c r="A1749" i="1" s="1"/>
  <c r="I1747" i="1"/>
  <c r="A1747" i="1" s="1"/>
  <c r="F1747" i="1"/>
  <c r="E1747" i="1"/>
  <c r="I1746" i="1"/>
  <c r="F1746" i="1"/>
  <c r="E1746" i="1"/>
  <c r="A1746" i="1"/>
  <c r="I1745" i="1"/>
  <c r="A1745" i="1" s="1"/>
  <c r="H1745" i="1"/>
  <c r="G1745" i="1"/>
  <c r="F1745" i="1"/>
  <c r="E1745" i="1"/>
  <c r="I1744" i="1"/>
  <c r="A1744" i="1" s="1"/>
  <c r="G1744" i="1"/>
  <c r="F1744" i="1"/>
  <c r="E1744" i="1"/>
  <c r="I1743" i="1"/>
  <c r="G1743" i="1"/>
  <c r="F1743" i="1"/>
  <c r="E1743" i="1"/>
  <c r="A1743" i="1"/>
  <c r="I1742" i="1"/>
  <c r="A1742" i="1" s="1"/>
  <c r="G1742" i="1"/>
  <c r="F1742" i="1"/>
  <c r="E1742" i="1"/>
  <c r="I1741" i="1"/>
  <c r="A1741" i="1" s="1"/>
  <c r="G1741" i="1"/>
  <c r="F1741" i="1"/>
  <c r="E1741" i="1"/>
  <c r="I1740" i="1"/>
  <c r="I1739" i="1"/>
  <c r="A1739" i="1" s="1"/>
  <c r="A1740" i="1" s="1"/>
  <c r="I1738" i="1"/>
  <c r="A1738" i="1" s="1"/>
  <c r="G1738" i="1"/>
  <c r="F1738" i="1"/>
  <c r="E1738" i="1"/>
  <c r="I1737" i="1"/>
  <c r="A1737" i="1" s="1"/>
  <c r="G1737" i="1"/>
  <c r="F1737" i="1"/>
  <c r="E1737" i="1"/>
  <c r="I1736" i="1"/>
  <c r="A1736" i="1" s="1"/>
  <c r="G1736" i="1"/>
  <c r="F1736" i="1"/>
  <c r="E1736" i="1"/>
  <c r="I1735" i="1"/>
  <c r="A1735" i="1" s="1"/>
  <c r="G1735" i="1"/>
  <c r="F1735" i="1"/>
  <c r="E1735" i="1"/>
  <c r="I1734" i="1"/>
  <c r="G1734" i="1"/>
  <c r="F1734" i="1"/>
  <c r="E1734" i="1"/>
  <c r="A1734" i="1"/>
  <c r="I1733" i="1"/>
  <c r="I1732" i="1"/>
  <c r="A1732" i="1"/>
  <c r="A1733" i="1" s="1"/>
  <c r="I1731" i="1"/>
  <c r="H1731" i="1"/>
  <c r="G1731" i="1"/>
  <c r="F1731" i="1"/>
  <c r="E1731" i="1"/>
  <c r="A1731" i="1"/>
  <c r="I1730" i="1"/>
  <c r="H1730" i="1"/>
  <c r="G1730" i="1"/>
  <c r="F1730" i="1"/>
  <c r="E1730" i="1"/>
  <c r="A1730" i="1"/>
  <c r="I1729" i="1"/>
  <c r="H1729" i="1"/>
  <c r="G1729" i="1"/>
  <c r="F1729" i="1"/>
  <c r="E1729" i="1"/>
  <c r="A1729" i="1"/>
  <c r="I1728" i="1"/>
  <c r="H1728" i="1"/>
  <c r="G1728" i="1"/>
  <c r="F1728" i="1"/>
  <c r="E1728" i="1"/>
  <c r="A1728" i="1"/>
  <c r="I1727" i="1"/>
  <c r="A1727" i="1" s="1"/>
  <c r="G1727" i="1"/>
  <c r="F1727" i="1"/>
  <c r="E1727" i="1"/>
  <c r="I1726" i="1"/>
  <c r="I1725" i="1"/>
  <c r="A1725" i="1"/>
  <c r="A1726" i="1" s="1"/>
  <c r="I1724" i="1"/>
  <c r="G1724" i="1"/>
  <c r="F1724" i="1"/>
  <c r="E1724" i="1"/>
  <c r="A1724" i="1"/>
  <c r="I1723" i="1"/>
  <c r="G1723" i="1"/>
  <c r="F1723" i="1"/>
  <c r="E1723" i="1"/>
  <c r="A1723" i="1"/>
  <c r="I1722" i="1"/>
  <c r="G1722" i="1"/>
  <c r="F1722" i="1"/>
  <c r="E1722" i="1"/>
  <c r="A1722" i="1"/>
  <c r="I1721" i="1"/>
  <c r="G1721" i="1"/>
  <c r="F1721" i="1"/>
  <c r="E1721" i="1"/>
  <c r="A1721" i="1"/>
  <c r="I1720" i="1"/>
  <c r="G1720" i="1"/>
  <c r="F1720" i="1"/>
  <c r="E1720" i="1"/>
  <c r="A1720" i="1"/>
  <c r="I1719" i="1"/>
  <c r="G1719" i="1"/>
  <c r="F1719" i="1"/>
  <c r="E1719" i="1"/>
  <c r="A1719" i="1"/>
  <c r="I1718" i="1"/>
  <c r="A1718" i="1" s="1"/>
  <c r="G1718" i="1"/>
  <c r="F1718" i="1"/>
  <c r="E1718" i="1"/>
  <c r="I1717" i="1"/>
  <c r="I1716" i="1"/>
  <c r="A1716" i="1"/>
  <c r="A1717" i="1" s="1"/>
  <c r="I1715" i="1"/>
  <c r="A1715" i="1" s="1"/>
  <c r="E1715" i="1"/>
  <c r="B1715" i="1"/>
  <c r="G1715" i="1" s="1"/>
  <c r="I1714" i="1"/>
  <c r="A1714" i="1" s="1"/>
  <c r="B1714" i="1"/>
  <c r="G1714" i="1" s="1"/>
  <c r="I1713" i="1"/>
  <c r="A1713" i="1" s="1"/>
  <c r="G1713" i="1"/>
  <c r="F1713" i="1"/>
  <c r="I1712" i="1"/>
  <c r="G1712" i="1"/>
  <c r="F1712" i="1"/>
  <c r="E1712" i="1"/>
  <c r="A1712" i="1"/>
  <c r="I1711" i="1"/>
  <c r="A1711" i="1"/>
  <c r="I1710" i="1"/>
  <c r="A1710" i="1" s="1"/>
  <c r="G1710" i="1"/>
  <c r="F1710" i="1"/>
  <c r="E1710" i="1"/>
  <c r="B1710" i="1"/>
  <c r="I1709" i="1"/>
  <c r="A1709" i="1" s="1"/>
  <c r="F1709" i="1"/>
  <c r="E1709" i="1"/>
  <c r="B1709" i="1"/>
  <c r="G1709" i="1" s="1"/>
  <c r="I1708" i="1"/>
  <c r="G1708" i="1"/>
  <c r="F1708" i="1"/>
  <c r="A1708" i="1"/>
  <c r="I1707" i="1"/>
  <c r="A1707" i="1" s="1"/>
  <c r="G1707" i="1"/>
  <c r="F1707" i="1"/>
  <c r="E1707" i="1"/>
  <c r="I1706" i="1"/>
  <c r="A1706" i="1" s="1"/>
  <c r="I1705" i="1"/>
  <c r="G1705" i="1"/>
  <c r="F1705" i="1"/>
  <c r="E1705" i="1"/>
  <c r="A1705" i="1"/>
  <c r="I1704" i="1"/>
  <c r="G1704" i="1"/>
  <c r="F1704" i="1"/>
  <c r="A1704" i="1"/>
  <c r="I1703" i="1"/>
  <c r="A1703" i="1" s="1"/>
  <c r="G1703" i="1"/>
  <c r="F1703" i="1"/>
  <c r="I1702" i="1"/>
  <c r="A1702" i="1"/>
  <c r="I1701" i="1"/>
  <c r="A1701" i="1" s="1"/>
  <c r="G1701" i="1"/>
  <c r="F1701" i="1"/>
  <c r="E1701" i="1"/>
  <c r="I1700" i="1"/>
  <c r="G1700" i="1"/>
  <c r="F1700" i="1"/>
  <c r="A1700" i="1"/>
  <c r="I1699" i="1"/>
  <c r="A1699" i="1" s="1"/>
  <c r="G1699" i="1"/>
  <c r="F1699" i="1"/>
  <c r="I1698" i="1"/>
  <c r="A1698" i="1" s="1"/>
  <c r="I1697" i="1"/>
  <c r="A1697" i="1" s="1"/>
  <c r="I1696" i="1"/>
  <c r="A1696" i="1" s="1"/>
  <c r="I1695" i="1"/>
  <c r="G1695" i="1"/>
  <c r="F1695" i="1"/>
  <c r="E1695" i="1"/>
  <c r="A1695" i="1"/>
  <c r="I1694" i="1"/>
  <c r="G1694" i="1"/>
  <c r="F1694" i="1"/>
  <c r="E1694" i="1"/>
  <c r="A1694" i="1"/>
  <c r="I1693" i="1"/>
  <c r="G1693" i="1"/>
  <c r="F1693" i="1"/>
  <c r="E1693" i="1"/>
  <c r="A1693" i="1"/>
  <c r="I1692" i="1"/>
  <c r="G1692" i="1"/>
  <c r="F1692" i="1"/>
  <c r="E1692" i="1"/>
  <c r="A1692" i="1"/>
  <c r="I1691" i="1"/>
  <c r="G1691" i="1"/>
  <c r="F1691" i="1"/>
  <c r="E1691" i="1"/>
  <c r="A1691" i="1"/>
  <c r="I1690" i="1"/>
  <c r="A1690" i="1" s="1"/>
  <c r="G1690" i="1"/>
  <c r="F1690" i="1"/>
  <c r="E1690" i="1"/>
  <c r="I1689" i="1"/>
  <c r="A1689" i="1" s="1"/>
  <c r="G1689" i="1"/>
  <c r="F1689" i="1"/>
  <c r="E1689" i="1"/>
  <c r="I1688" i="1"/>
  <c r="A1688" i="1" s="1"/>
  <c r="H1688" i="1"/>
  <c r="H1689" i="1" s="1"/>
  <c r="G1688" i="1"/>
  <c r="F1688" i="1"/>
  <c r="E1688" i="1"/>
  <c r="I1687" i="1"/>
  <c r="H1687" i="1"/>
  <c r="H1802" i="1" s="1"/>
  <c r="G1687" i="1"/>
  <c r="F1687" i="1"/>
  <c r="E1687" i="1"/>
  <c r="A1687" i="1"/>
  <c r="I1686" i="1"/>
  <c r="A1686" i="1" s="1"/>
  <c r="I1685" i="1"/>
  <c r="D1685" i="1"/>
  <c r="A1685" i="1"/>
  <c r="I1684" i="1"/>
  <c r="A1684" i="1" s="1"/>
  <c r="I1683" i="1"/>
  <c r="A1683" i="1"/>
  <c r="I1682" i="1"/>
  <c r="G1682" i="1"/>
  <c r="E1682" i="1"/>
  <c r="A1682" i="1"/>
  <c r="I1681" i="1"/>
  <c r="G1681" i="1"/>
  <c r="E1681" i="1"/>
  <c r="A1681" i="1"/>
  <c r="I1680" i="1"/>
  <c r="A1680" i="1"/>
  <c r="I1679" i="1"/>
  <c r="A1679" i="1" s="1"/>
  <c r="G1679" i="1"/>
  <c r="F1679" i="1"/>
  <c r="E1679" i="1"/>
  <c r="I1678" i="1"/>
  <c r="G1678" i="1"/>
  <c r="F1678" i="1"/>
  <c r="E1678" i="1"/>
  <c r="A1678" i="1"/>
  <c r="I1677" i="1"/>
  <c r="G1677" i="1"/>
  <c r="F1677" i="1"/>
  <c r="E1677" i="1"/>
  <c r="A1677" i="1"/>
  <c r="I1676" i="1"/>
  <c r="G1676" i="1"/>
  <c r="F1676" i="1"/>
  <c r="E1676" i="1"/>
  <c r="A1676" i="1"/>
  <c r="I1675" i="1"/>
  <c r="A1675" i="1" s="1"/>
  <c r="G1675" i="1"/>
  <c r="F1675" i="1"/>
  <c r="E1675" i="1"/>
  <c r="I1674" i="1"/>
  <c r="G1674" i="1"/>
  <c r="F1674" i="1"/>
  <c r="E1674" i="1"/>
  <c r="A1674" i="1"/>
  <c r="I1673" i="1"/>
  <c r="G1673" i="1"/>
  <c r="F1673" i="1"/>
  <c r="E1673" i="1"/>
  <c r="A1673" i="1"/>
  <c r="I1672" i="1"/>
  <c r="G1672" i="1"/>
  <c r="F1672" i="1"/>
  <c r="E1672" i="1"/>
  <c r="A1672" i="1"/>
  <c r="I1671" i="1"/>
  <c r="A1671" i="1" s="1"/>
  <c r="G1671" i="1"/>
  <c r="F1671" i="1"/>
  <c r="E1671" i="1"/>
  <c r="I1670" i="1"/>
  <c r="G1670" i="1"/>
  <c r="F1670" i="1"/>
  <c r="E1670" i="1"/>
  <c r="A1670" i="1"/>
  <c r="I1669" i="1"/>
  <c r="G1669" i="1"/>
  <c r="F1669" i="1"/>
  <c r="E1669" i="1"/>
  <c r="A1669" i="1"/>
  <c r="I1668" i="1"/>
  <c r="G1668" i="1"/>
  <c r="F1668" i="1"/>
  <c r="E1668" i="1"/>
  <c r="A1668" i="1"/>
  <c r="I1667" i="1"/>
  <c r="A1667" i="1" s="1"/>
  <c r="G1667" i="1"/>
  <c r="F1667" i="1"/>
  <c r="E1667" i="1"/>
  <c r="I1666" i="1"/>
  <c r="A1666" i="1" s="1"/>
  <c r="G1666" i="1"/>
  <c r="F1666" i="1"/>
  <c r="E1666" i="1"/>
  <c r="I1665" i="1"/>
  <c r="G1665" i="1"/>
  <c r="F1665" i="1"/>
  <c r="E1665" i="1"/>
  <c r="A1665" i="1"/>
  <c r="I1664" i="1"/>
  <c r="A1664" i="1" s="1"/>
  <c r="G1664" i="1"/>
  <c r="F1664" i="1"/>
  <c r="E1664" i="1"/>
  <c r="I1663" i="1"/>
  <c r="A1663" i="1" s="1"/>
  <c r="G1663" i="1"/>
  <c r="F1663" i="1"/>
  <c r="E1663" i="1"/>
  <c r="I1662" i="1"/>
  <c r="A1662" i="1" s="1"/>
  <c r="G1662" i="1"/>
  <c r="F1662" i="1"/>
  <c r="E1662" i="1"/>
  <c r="I1661" i="1"/>
  <c r="G1661" i="1"/>
  <c r="F1661" i="1"/>
  <c r="E1661" i="1"/>
  <c r="A1661" i="1"/>
  <c r="I1660" i="1"/>
  <c r="A1660" i="1" s="1"/>
  <c r="G1660" i="1"/>
  <c r="F1660" i="1"/>
  <c r="E1660" i="1"/>
  <c r="I1659" i="1"/>
  <c r="A1659" i="1" s="1"/>
  <c r="H1659" i="1"/>
  <c r="G1659" i="1"/>
  <c r="F1659" i="1"/>
  <c r="E1659" i="1"/>
  <c r="I1658" i="1"/>
  <c r="A1658" i="1" s="1"/>
  <c r="H1658" i="1"/>
  <c r="G1658" i="1"/>
  <c r="F1658" i="1"/>
  <c r="E1658" i="1"/>
  <c r="I1657" i="1"/>
  <c r="A1657" i="1" s="1"/>
  <c r="G1657" i="1"/>
  <c r="F1657" i="1"/>
  <c r="E1657" i="1"/>
  <c r="I1656" i="1"/>
  <c r="I1655" i="1"/>
  <c r="A1655" i="1" s="1"/>
  <c r="A1656" i="1" s="1"/>
  <c r="H1655" i="1"/>
  <c r="H1679" i="1" s="1"/>
  <c r="I1654" i="1"/>
  <c r="A1654" i="1" s="1"/>
  <c r="G1654" i="1"/>
  <c r="F1654" i="1"/>
  <c r="E1654" i="1"/>
  <c r="I1653" i="1"/>
  <c r="G1653" i="1"/>
  <c r="F1653" i="1"/>
  <c r="E1653" i="1"/>
  <c r="A1653" i="1"/>
  <c r="I1652" i="1"/>
  <c r="G1652" i="1"/>
  <c r="F1652" i="1"/>
  <c r="E1652" i="1"/>
  <c r="A1652" i="1"/>
  <c r="I1651" i="1"/>
  <c r="A1651" i="1" s="1"/>
  <c r="G1651" i="1"/>
  <c r="F1651" i="1"/>
  <c r="E1651" i="1"/>
  <c r="I1650" i="1"/>
  <c r="A1650" i="1" s="1"/>
  <c r="G1650" i="1"/>
  <c r="F1650" i="1"/>
  <c r="E1650" i="1"/>
  <c r="I1649" i="1"/>
  <c r="G1649" i="1"/>
  <c r="F1649" i="1"/>
  <c r="E1649" i="1"/>
  <c r="A1649" i="1"/>
  <c r="I1648" i="1"/>
  <c r="G1648" i="1"/>
  <c r="F1648" i="1"/>
  <c r="E1648" i="1"/>
  <c r="A1648" i="1"/>
  <c r="I1647" i="1"/>
  <c r="A1647" i="1" s="1"/>
  <c r="G1647" i="1"/>
  <c r="F1647" i="1"/>
  <c r="I1646" i="1"/>
  <c r="A1646" i="1" s="1"/>
  <c r="G1646" i="1"/>
  <c r="F1646" i="1"/>
  <c r="E1646" i="1"/>
  <c r="I1645" i="1"/>
  <c r="A1645" i="1" s="1"/>
  <c r="G1645" i="1"/>
  <c r="F1645" i="1"/>
  <c r="E1645" i="1"/>
  <c r="I1644" i="1"/>
  <c r="A1644" i="1" s="1"/>
  <c r="G1644" i="1"/>
  <c r="F1644" i="1"/>
  <c r="E1644" i="1"/>
  <c r="I1643" i="1"/>
  <c r="G1643" i="1"/>
  <c r="F1643" i="1"/>
  <c r="E1643" i="1"/>
  <c r="A1643" i="1"/>
  <c r="I1642" i="1"/>
  <c r="H1642" i="1"/>
  <c r="G1642" i="1"/>
  <c r="F1642" i="1"/>
  <c r="E1642" i="1"/>
  <c r="A1642" i="1"/>
  <c r="I1641" i="1"/>
  <c r="G1641" i="1"/>
  <c r="F1641" i="1"/>
  <c r="E1641" i="1"/>
  <c r="A1641" i="1"/>
  <c r="I1640" i="1"/>
  <c r="A1640" i="1" s="1"/>
  <c r="G1640" i="1"/>
  <c r="F1640" i="1"/>
  <c r="E1640" i="1"/>
  <c r="I1639" i="1"/>
  <c r="G1639" i="1"/>
  <c r="F1639" i="1"/>
  <c r="E1639" i="1"/>
  <c r="A1639" i="1"/>
  <c r="I1638" i="1"/>
  <c r="A1638" i="1" s="1"/>
  <c r="G1638" i="1"/>
  <c r="F1638" i="1"/>
  <c r="E1638" i="1"/>
  <c r="I1637" i="1"/>
  <c r="G1637" i="1"/>
  <c r="F1637" i="1"/>
  <c r="E1637" i="1"/>
  <c r="A1637" i="1"/>
  <c r="I1636" i="1"/>
  <c r="G1636" i="1"/>
  <c r="F1636" i="1"/>
  <c r="E1636" i="1"/>
  <c r="A1636" i="1"/>
  <c r="I1635" i="1"/>
  <c r="A1635" i="1" s="1"/>
  <c r="G1635" i="1"/>
  <c r="F1635" i="1"/>
  <c r="E1635" i="1"/>
  <c r="I1634" i="1"/>
  <c r="G1634" i="1"/>
  <c r="F1634" i="1"/>
  <c r="E1634" i="1"/>
  <c r="A1634" i="1"/>
  <c r="I1633" i="1"/>
  <c r="G1633" i="1"/>
  <c r="F1633" i="1"/>
  <c r="E1633" i="1"/>
  <c r="A1633" i="1"/>
  <c r="I1632" i="1"/>
  <c r="G1632" i="1"/>
  <c r="F1632" i="1"/>
  <c r="E1632" i="1"/>
  <c r="A1632" i="1"/>
  <c r="I1631" i="1"/>
  <c r="A1631" i="1" s="1"/>
  <c r="H1631" i="1"/>
  <c r="H1633" i="1" s="1"/>
  <c r="G1631" i="1"/>
  <c r="F1631" i="1"/>
  <c r="E1631" i="1"/>
  <c r="I1630" i="1"/>
  <c r="G1630" i="1"/>
  <c r="F1630" i="1"/>
  <c r="E1630" i="1"/>
  <c r="A1630" i="1"/>
  <c r="I1629" i="1"/>
  <c r="G1629" i="1"/>
  <c r="F1629" i="1"/>
  <c r="E1629" i="1"/>
  <c r="A1629" i="1"/>
  <c r="I1628" i="1"/>
  <c r="G1628" i="1"/>
  <c r="F1628" i="1"/>
  <c r="E1628" i="1"/>
  <c r="A1628" i="1"/>
  <c r="I1627" i="1"/>
  <c r="I1626" i="1"/>
  <c r="A1626" i="1" s="1"/>
  <c r="A1627" i="1" s="1"/>
  <c r="H1626" i="1"/>
  <c r="H1654" i="1" s="1"/>
  <c r="I1625" i="1"/>
  <c r="A1625" i="1" s="1"/>
  <c r="G1625" i="1"/>
  <c r="F1625" i="1"/>
  <c r="E1625" i="1"/>
  <c r="I1624" i="1"/>
  <c r="G1624" i="1"/>
  <c r="F1624" i="1"/>
  <c r="E1624" i="1"/>
  <c r="A1624" i="1"/>
  <c r="I1623" i="1"/>
  <c r="A1623" i="1" s="1"/>
  <c r="G1623" i="1"/>
  <c r="F1623" i="1"/>
  <c r="E1623" i="1"/>
  <c r="I1622" i="1"/>
  <c r="G1622" i="1"/>
  <c r="F1622" i="1"/>
  <c r="E1622" i="1"/>
  <c r="A1622" i="1"/>
  <c r="I1621" i="1"/>
  <c r="I1620" i="1"/>
  <c r="A1620" i="1"/>
  <c r="A1621" i="1" s="1"/>
  <c r="I1619" i="1"/>
  <c r="A1619" i="1" s="1"/>
  <c r="G1619" i="1"/>
  <c r="F1619" i="1"/>
  <c r="E1619" i="1"/>
  <c r="I1618" i="1"/>
  <c r="H1618" i="1"/>
  <c r="G1618" i="1"/>
  <c r="F1618" i="1"/>
  <c r="E1618" i="1"/>
  <c r="A1618" i="1"/>
  <c r="I1617" i="1"/>
  <c r="G1617" i="1"/>
  <c r="F1617" i="1"/>
  <c r="E1617" i="1"/>
  <c r="A1617" i="1"/>
  <c r="I1616" i="1"/>
  <c r="A1616" i="1" s="1"/>
  <c r="H1616" i="1"/>
  <c r="G1616" i="1"/>
  <c r="F1616" i="1"/>
  <c r="E1616" i="1"/>
  <c r="I1615" i="1"/>
  <c r="G1615" i="1"/>
  <c r="F1615" i="1"/>
  <c r="E1615" i="1"/>
  <c r="A1615" i="1"/>
  <c r="I1614" i="1"/>
  <c r="G1614" i="1"/>
  <c r="F1614" i="1"/>
  <c r="E1614" i="1"/>
  <c r="A1614" i="1"/>
  <c r="I1613" i="1"/>
  <c r="G1613" i="1"/>
  <c r="F1613" i="1"/>
  <c r="E1613" i="1"/>
  <c r="A1613" i="1"/>
  <c r="I1612" i="1"/>
  <c r="A1612" i="1" s="1"/>
  <c r="H1612" i="1"/>
  <c r="G1612" i="1"/>
  <c r="F1612" i="1"/>
  <c r="E1612" i="1"/>
  <c r="I1611" i="1"/>
  <c r="G1611" i="1"/>
  <c r="F1611" i="1"/>
  <c r="E1611" i="1"/>
  <c r="A1611" i="1"/>
  <c r="I1610" i="1"/>
  <c r="G1610" i="1"/>
  <c r="F1610" i="1"/>
  <c r="E1610" i="1"/>
  <c r="A1610" i="1"/>
  <c r="I1609" i="1"/>
  <c r="A1609" i="1" s="1"/>
  <c r="G1609" i="1"/>
  <c r="F1609" i="1"/>
  <c r="E1609" i="1"/>
  <c r="I1608" i="1"/>
  <c r="G1608" i="1"/>
  <c r="F1608" i="1"/>
  <c r="E1608" i="1"/>
  <c r="A1608" i="1"/>
  <c r="I1607" i="1"/>
  <c r="G1607" i="1"/>
  <c r="F1607" i="1"/>
  <c r="E1607" i="1"/>
  <c r="A1607" i="1"/>
  <c r="I1606" i="1"/>
  <c r="A1606" i="1" s="1"/>
  <c r="G1606" i="1"/>
  <c r="F1606" i="1"/>
  <c r="E1606" i="1"/>
  <c r="I1605" i="1"/>
  <c r="A1605" i="1" s="1"/>
  <c r="G1605" i="1"/>
  <c r="F1605" i="1"/>
  <c r="E1605" i="1"/>
  <c r="I1604" i="1"/>
  <c r="G1604" i="1"/>
  <c r="F1604" i="1"/>
  <c r="E1604" i="1"/>
  <c r="A1604" i="1"/>
  <c r="I1603" i="1"/>
  <c r="G1603" i="1"/>
  <c r="F1603" i="1"/>
  <c r="E1603" i="1"/>
  <c r="A1603" i="1"/>
  <c r="I1602" i="1"/>
  <c r="I1601" i="1"/>
  <c r="A1601" i="1"/>
  <c r="A1602" i="1" s="1"/>
  <c r="I1600" i="1"/>
  <c r="A1600" i="1" s="1"/>
  <c r="G1600" i="1"/>
  <c r="F1600" i="1"/>
  <c r="E1600" i="1"/>
  <c r="I1599" i="1"/>
  <c r="G1599" i="1"/>
  <c r="F1599" i="1"/>
  <c r="E1599" i="1"/>
  <c r="A1599" i="1"/>
  <c r="I1598" i="1"/>
  <c r="G1598" i="1"/>
  <c r="F1598" i="1"/>
  <c r="E1598" i="1"/>
  <c r="A1598" i="1"/>
  <c r="I1597" i="1"/>
  <c r="A1597" i="1" s="1"/>
  <c r="G1597" i="1"/>
  <c r="F1597" i="1"/>
  <c r="E1597" i="1"/>
  <c r="I1596" i="1"/>
  <c r="A1596" i="1" s="1"/>
  <c r="G1596" i="1"/>
  <c r="F1596" i="1"/>
  <c r="E1596" i="1"/>
  <c r="I1595" i="1"/>
  <c r="G1595" i="1"/>
  <c r="F1595" i="1"/>
  <c r="E1595" i="1"/>
  <c r="A1595" i="1"/>
  <c r="I1594" i="1"/>
  <c r="G1594" i="1"/>
  <c r="F1594" i="1"/>
  <c r="E1594" i="1"/>
  <c r="A1594" i="1"/>
  <c r="I1593" i="1"/>
  <c r="A1593" i="1" s="1"/>
  <c r="G1593" i="1"/>
  <c r="F1593" i="1"/>
  <c r="E1593" i="1"/>
  <c r="I1592" i="1"/>
  <c r="A1592" i="1" s="1"/>
  <c r="G1592" i="1"/>
  <c r="F1592" i="1"/>
  <c r="E1592" i="1"/>
  <c r="I1591" i="1"/>
  <c r="G1591" i="1"/>
  <c r="F1591" i="1"/>
  <c r="E1591" i="1"/>
  <c r="A1591" i="1"/>
  <c r="I1590" i="1"/>
  <c r="G1590" i="1"/>
  <c r="F1590" i="1"/>
  <c r="E1590" i="1"/>
  <c r="A1590" i="1"/>
  <c r="I1589" i="1"/>
  <c r="A1589" i="1" s="1"/>
  <c r="G1589" i="1"/>
  <c r="F1589" i="1"/>
  <c r="E1589" i="1"/>
  <c r="I1588" i="1"/>
  <c r="I1587" i="1"/>
  <c r="A1587" i="1" s="1"/>
  <c r="A1588" i="1" s="1"/>
  <c r="I1586" i="1"/>
  <c r="G1586" i="1"/>
  <c r="F1586" i="1"/>
  <c r="E1586" i="1"/>
  <c r="A1586" i="1"/>
  <c r="I1585" i="1"/>
  <c r="G1585" i="1"/>
  <c r="F1585" i="1"/>
  <c r="E1585" i="1"/>
  <c r="A1585" i="1"/>
  <c r="I1584" i="1"/>
  <c r="A1584" i="1" s="1"/>
  <c r="G1584" i="1"/>
  <c r="F1584" i="1"/>
  <c r="E1584" i="1"/>
  <c r="I1583" i="1"/>
  <c r="A1583" i="1" s="1"/>
  <c r="G1583" i="1"/>
  <c r="F1583" i="1"/>
  <c r="E1583" i="1"/>
  <c r="I1582" i="1"/>
  <c r="G1582" i="1"/>
  <c r="F1582" i="1"/>
  <c r="E1582" i="1"/>
  <c r="A1582" i="1"/>
  <c r="I1581" i="1"/>
  <c r="G1581" i="1"/>
  <c r="F1581" i="1"/>
  <c r="E1581" i="1"/>
  <c r="A1581" i="1"/>
  <c r="I1580" i="1"/>
  <c r="A1580" i="1" s="1"/>
  <c r="G1580" i="1"/>
  <c r="F1580" i="1"/>
  <c r="E1580" i="1"/>
  <c r="I1579" i="1"/>
  <c r="I1578" i="1"/>
  <c r="A1578" i="1" s="1"/>
  <c r="A1579" i="1" s="1"/>
  <c r="I1577" i="1"/>
  <c r="A1577" i="1" s="1"/>
  <c r="G1577" i="1"/>
  <c r="F1577" i="1"/>
  <c r="E1577" i="1"/>
  <c r="I1576" i="1"/>
  <c r="G1576" i="1"/>
  <c r="F1576" i="1"/>
  <c r="E1576" i="1"/>
  <c r="A1576" i="1"/>
  <c r="I1575" i="1"/>
  <c r="A1575" i="1" s="1"/>
  <c r="G1575" i="1"/>
  <c r="F1575" i="1"/>
  <c r="E1575" i="1"/>
  <c r="I1574" i="1"/>
  <c r="A1574" i="1" s="1"/>
  <c r="G1574" i="1"/>
  <c r="F1574" i="1"/>
  <c r="E1574" i="1"/>
  <c r="I1573" i="1"/>
  <c r="A1573" i="1" s="1"/>
  <c r="G1573" i="1"/>
  <c r="F1573" i="1"/>
  <c r="E1573" i="1"/>
  <c r="I1572" i="1"/>
  <c r="G1572" i="1"/>
  <c r="F1572" i="1"/>
  <c r="E1572" i="1"/>
  <c r="A1572" i="1"/>
  <c r="I1571" i="1"/>
  <c r="A1571" i="1" s="1"/>
  <c r="G1571" i="1"/>
  <c r="F1571" i="1"/>
  <c r="E1571" i="1"/>
  <c r="I1570" i="1"/>
  <c r="A1570" i="1" s="1"/>
  <c r="G1570" i="1"/>
  <c r="F1570" i="1"/>
  <c r="E1570" i="1"/>
  <c r="I1569" i="1"/>
  <c r="I1568" i="1"/>
  <c r="A1568" i="1" s="1"/>
  <c r="A1569" i="1" s="1"/>
  <c r="I1567" i="1"/>
  <c r="G1567" i="1"/>
  <c r="F1567" i="1"/>
  <c r="E1567" i="1"/>
  <c r="A1567" i="1"/>
  <c r="I1566" i="1"/>
  <c r="A1566" i="1" s="1"/>
  <c r="G1566" i="1"/>
  <c r="F1566" i="1"/>
  <c r="E1566" i="1"/>
  <c r="I1565" i="1"/>
  <c r="A1565" i="1" s="1"/>
  <c r="H1565" i="1"/>
  <c r="G1565" i="1"/>
  <c r="F1565" i="1"/>
  <c r="E1565" i="1"/>
  <c r="I1564" i="1"/>
  <c r="G1564" i="1"/>
  <c r="F1564" i="1"/>
  <c r="E1564" i="1"/>
  <c r="A1564" i="1"/>
  <c r="I1563" i="1"/>
  <c r="A1563" i="1" s="1"/>
  <c r="H1563" i="1"/>
  <c r="G1563" i="1"/>
  <c r="F1563" i="1"/>
  <c r="E1563" i="1"/>
  <c r="I1562" i="1"/>
  <c r="I1561" i="1"/>
  <c r="A1561" i="1" s="1"/>
  <c r="A1562" i="1" s="1"/>
  <c r="O1560" i="1"/>
  <c r="H1559" i="1" s="1"/>
  <c r="N1560" i="1"/>
  <c r="I1560" i="1"/>
  <c r="A1560" i="1" s="1"/>
  <c r="H1560" i="1"/>
  <c r="H1558" i="1" s="1"/>
  <c r="G1560" i="1"/>
  <c r="F1560" i="1"/>
  <c r="E1560" i="1"/>
  <c r="I1559" i="1"/>
  <c r="G1559" i="1"/>
  <c r="F1559" i="1"/>
  <c r="E1559" i="1"/>
  <c r="A1559" i="1"/>
  <c r="I1558" i="1"/>
  <c r="A1558" i="1" s="1"/>
  <c r="G1558" i="1"/>
  <c r="F1558" i="1"/>
  <c r="E1558" i="1"/>
  <c r="I1557" i="1"/>
  <c r="A1557" i="1" s="1"/>
  <c r="H1557" i="1"/>
  <c r="G1557" i="1"/>
  <c r="F1557" i="1"/>
  <c r="E1557" i="1"/>
  <c r="I1556" i="1"/>
  <c r="I1555" i="1"/>
  <c r="A1555" i="1"/>
  <c r="A1556" i="1" s="1"/>
  <c r="O1554" i="1"/>
  <c r="N1554" i="1"/>
  <c r="I1554" i="1"/>
  <c r="G1554" i="1"/>
  <c r="F1554" i="1"/>
  <c r="E1554" i="1"/>
  <c r="A1554" i="1"/>
  <c r="I1553" i="1"/>
  <c r="A1553" i="1" s="1"/>
  <c r="G1553" i="1"/>
  <c r="F1553" i="1"/>
  <c r="E1553" i="1"/>
  <c r="I1552" i="1"/>
  <c r="A1552" i="1" s="1"/>
  <c r="G1552" i="1"/>
  <c r="F1552" i="1"/>
  <c r="E1552" i="1"/>
  <c r="I1551" i="1"/>
  <c r="G1551" i="1"/>
  <c r="F1551" i="1"/>
  <c r="E1551" i="1"/>
  <c r="A1551" i="1"/>
  <c r="I1550" i="1"/>
  <c r="A1550" i="1"/>
  <c r="I1549" i="1"/>
  <c r="A1549" i="1"/>
  <c r="I1548" i="1"/>
  <c r="G1548" i="1"/>
  <c r="F1548" i="1"/>
  <c r="E1548" i="1"/>
  <c r="A1548" i="1"/>
  <c r="I1547" i="1"/>
  <c r="G1547" i="1"/>
  <c r="F1547" i="1"/>
  <c r="E1547" i="1"/>
  <c r="A1547" i="1"/>
  <c r="I1546" i="1"/>
  <c r="A1546" i="1" s="1"/>
  <c r="B1546" i="1"/>
  <c r="G1546" i="1" s="1"/>
  <c r="I1545" i="1"/>
  <c r="G1545" i="1"/>
  <c r="B1545" i="1"/>
  <c r="F1545" i="1" s="1"/>
  <c r="A1545" i="1"/>
  <c r="I1544" i="1"/>
  <c r="G1544" i="1"/>
  <c r="F1544" i="1"/>
  <c r="E1544" i="1"/>
  <c r="A1544" i="1"/>
  <c r="I1543" i="1"/>
  <c r="G1543" i="1"/>
  <c r="F1543" i="1"/>
  <c r="E1543" i="1"/>
  <c r="A1543" i="1"/>
  <c r="I1542" i="1"/>
  <c r="A1542" i="1" s="1"/>
  <c r="G1542" i="1"/>
  <c r="F1542" i="1"/>
  <c r="E1542" i="1"/>
  <c r="I1541" i="1"/>
  <c r="G1541" i="1"/>
  <c r="F1541" i="1"/>
  <c r="E1541" i="1"/>
  <c r="A1541" i="1"/>
  <c r="I1540" i="1"/>
  <c r="G1540" i="1"/>
  <c r="F1540" i="1"/>
  <c r="E1540" i="1"/>
  <c r="A1540" i="1"/>
  <c r="I1539" i="1"/>
  <c r="A1539" i="1" s="1"/>
  <c r="G1539" i="1"/>
  <c r="F1539" i="1"/>
  <c r="E1539" i="1"/>
  <c r="I1538" i="1"/>
  <c r="A1538" i="1" s="1"/>
  <c r="G1538" i="1"/>
  <c r="F1538" i="1"/>
  <c r="E1538" i="1"/>
  <c r="I1537" i="1"/>
  <c r="G1537" i="1"/>
  <c r="F1537" i="1"/>
  <c r="E1537" i="1"/>
  <c r="A1537" i="1"/>
  <c r="I1536" i="1"/>
  <c r="A1536" i="1" s="1"/>
  <c r="G1536" i="1"/>
  <c r="F1536" i="1"/>
  <c r="E1536" i="1"/>
  <c r="I1535" i="1"/>
  <c r="A1535" i="1" s="1"/>
  <c r="G1535" i="1"/>
  <c r="F1535" i="1"/>
  <c r="E1535" i="1"/>
  <c r="I1534" i="1"/>
  <c r="G1534" i="1"/>
  <c r="F1534" i="1"/>
  <c r="E1534" i="1"/>
  <c r="A1534" i="1"/>
  <c r="I1533" i="1"/>
  <c r="A1533" i="1" s="1"/>
  <c r="G1533" i="1"/>
  <c r="F1533" i="1"/>
  <c r="E1533" i="1"/>
  <c r="I1532" i="1"/>
  <c r="H1532" i="1"/>
  <c r="H1547" i="1" s="1"/>
  <c r="G1532" i="1"/>
  <c r="F1532" i="1"/>
  <c r="E1532" i="1"/>
  <c r="A1532" i="1"/>
  <c r="I1531" i="1"/>
  <c r="G1531" i="1"/>
  <c r="F1531" i="1"/>
  <c r="E1531" i="1"/>
  <c r="A1531" i="1"/>
  <c r="I1530" i="1"/>
  <c r="G1530" i="1"/>
  <c r="F1530" i="1"/>
  <c r="E1530" i="1"/>
  <c r="A1530" i="1"/>
  <c r="I1529" i="1"/>
  <c r="A1529" i="1"/>
  <c r="I1528" i="1"/>
  <c r="A1528" i="1"/>
  <c r="I1527" i="1"/>
  <c r="A1527" i="1" s="1"/>
  <c r="F1527" i="1"/>
  <c r="E1527" i="1"/>
  <c r="I1526" i="1"/>
  <c r="F1526" i="1"/>
  <c r="E1526" i="1"/>
  <c r="A1526" i="1"/>
  <c r="I1525" i="1"/>
  <c r="A1525" i="1" s="1"/>
  <c r="F1525" i="1"/>
  <c r="E1525" i="1"/>
  <c r="I1524" i="1"/>
  <c r="F1524" i="1"/>
  <c r="E1524" i="1"/>
  <c r="A1524" i="1"/>
  <c r="I1523" i="1"/>
  <c r="F1523" i="1"/>
  <c r="E1523" i="1"/>
  <c r="A1523" i="1"/>
  <c r="I1522" i="1"/>
  <c r="A1522" i="1" s="1"/>
  <c r="F1522" i="1"/>
  <c r="E1522" i="1"/>
  <c r="I1521" i="1"/>
  <c r="F1521" i="1"/>
  <c r="E1521" i="1"/>
  <c r="A1521" i="1"/>
  <c r="I1520" i="1"/>
  <c r="I1519" i="1"/>
  <c r="A1519" i="1"/>
  <c r="A1520" i="1" s="1"/>
  <c r="I1518" i="1"/>
  <c r="A1518" i="1" s="1"/>
  <c r="F1518" i="1"/>
  <c r="E1518" i="1"/>
  <c r="I1517" i="1"/>
  <c r="F1517" i="1"/>
  <c r="E1517" i="1"/>
  <c r="A1517" i="1"/>
  <c r="I1516" i="1"/>
  <c r="A1516" i="1" s="1"/>
  <c r="F1516" i="1"/>
  <c r="E1516" i="1"/>
  <c r="I1515" i="1"/>
  <c r="A1515" i="1" s="1"/>
  <c r="F1515" i="1"/>
  <c r="E1515" i="1"/>
  <c r="I1514" i="1"/>
  <c r="F1514" i="1"/>
  <c r="E1514" i="1"/>
  <c r="A1514" i="1"/>
  <c r="I1513" i="1"/>
  <c r="A1513" i="1" s="1"/>
  <c r="F1513" i="1"/>
  <c r="E1513" i="1"/>
  <c r="I1512" i="1"/>
  <c r="I1511" i="1"/>
  <c r="A1511" i="1" s="1"/>
  <c r="A1512" i="1" s="1"/>
  <c r="I1510" i="1"/>
  <c r="F1510" i="1"/>
  <c r="E1510" i="1"/>
  <c r="A1510" i="1"/>
  <c r="I1509" i="1"/>
  <c r="A1509" i="1" s="1"/>
  <c r="F1509" i="1"/>
  <c r="E1509" i="1"/>
  <c r="I1508" i="1"/>
  <c r="A1508" i="1" s="1"/>
  <c r="H1508" i="1"/>
  <c r="G1508" i="1"/>
  <c r="F1508" i="1"/>
  <c r="E1508" i="1"/>
  <c r="I1507" i="1"/>
  <c r="G1507" i="1"/>
  <c r="F1507" i="1"/>
  <c r="E1507" i="1"/>
  <c r="A1507" i="1"/>
  <c r="I1506" i="1"/>
  <c r="A1506" i="1" s="1"/>
  <c r="G1506" i="1"/>
  <c r="F1506" i="1"/>
  <c r="E1506" i="1"/>
  <c r="I1505" i="1"/>
  <c r="A1505" i="1" s="1"/>
  <c r="G1505" i="1"/>
  <c r="F1505" i="1"/>
  <c r="E1505" i="1"/>
  <c r="I1504" i="1"/>
  <c r="G1504" i="1"/>
  <c r="F1504" i="1"/>
  <c r="E1504" i="1"/>
  <c r="A1504" i="1"/>
  <c r="I1503" i="1"/>
  <c r="I1502" i="1"/>
  <c r="A1502" i="1"/>
  <c r="A1503" i="1" s="1"/>
  <c r="I1501" i="1"/>
  <c r="A1501" i="1" s="1"/>
  <c r="H1501" i="1"/>
  <c r="G1501" i="1"/>
  <c r="F1501" i="1"/>
  <c r="E1501" i="1"/>
  <c r="I1500" i="1"/>
  <c r="A1500" i="1" s="1"/>
  <c r="G1500" i="1"/>
  <c r="F1500" i="1"/>
  <c r="E1500" i="1"/>
  <c r="I1499" i="1"/>
  <c r="G1499" i="1"/>
  <c r="F1499" i="1"/>
  <c r="E1499" i="1"/>
  <c r="A1499" i="1"/>
  <c r="I1498" i="1"/>
  <c r="A1498" i="1" s="1"/>
  <c r="G1498" i="1"/>
  <c r="F1498" i="1"/>
  <c r="E1498" i="1"/>
  <c r="I1497" i="1"/>
  <c r="A1497" i="1" s="1"/>
  <c r="G1497" i="1"/>
  <c r="F1497" i="1"/>
  <c r="E1497" i="1"/>
  <c r="I1496" i="1"/>
  <c r="I1495" i="1"/>
  <c r="A1495" i="1"/>
  <c r="A1496" i="1" s="1"/>
  <c r="I1494" i="1"/>
  <c r="A1494" i="1" s="1"/>
  <c r="G1494" i="1"/>
  <c r="F1494" i="1"/>
  <c r="E1494" i="1"/>
  <c r="I1493" i="1"/>
  <c r="G1493" i="1"/>
  <c r="F1493" i="1"/>
  <c r="E1493" i="1"/>
  <c r="A1493" i="1"/>
  <c r="I1492" i="1"/>
  <c r="G1492" i="1"/>
  <c r="F1492" i="1"/>
  <c r="E1492" i="1"/>
  <c r="A1492" i="1"/>
  <c r="I1491" i="1"/>
  <c r="A1491" i="1" s="1"/>
  <c r="G1491" i="1"/>
  <c r="F1491" i="1"/>
  <c r="E1491" i="1"/>
  <c r="I1490" i="1"/>
  <c r="G1490" i="1"/>
  <c r="F1490" i="1"/>
  <c r="E1490" i="1"/>
  <c r="A1490" i="1"/>
  <c r="I1489" i="1"/>
  <c r="I1488" i="1"/>
  <c r="A1488" i="1"/>
  <c r="A1489" i="1" s="1"/>
  <c r="I1487" i="1"/>
  <c r="A1487" i="1" s="1"/>
  <c r="G1487" i="1"/>
  <c r="F1487" i="1"/>
  <c r="E1487" i="1"/>
  <c r="I1486" i="1"/>
  <c r="A1486" i="1" s="1"/>
  <c r="G1486" i="1"/>
  <c r="F1486" i="1"/>
  <c r="E1486" i="1"/>
  <c r="I1485" i="1"/>
  <c r="G1485" i="1"/>
  <c r="F1485" i="1"/>
  <c r="E1485" i="1"/>
  <c r="A1485" i="1"/>
  <c r="I1484" i="1"/>
  <c r="G1484" i="1"/>
  <c r="F1484" i="1"/>
  <c r="E1484" i="1"/>
  <c r="A1484" i="1"/>
  <c r="I1483" i="1"/>
  <c r="A1483" i="1" s="1"/>
  <c r="G1483" i="1"/>
  <c r="F1483" i="1"/>
  <c r="E1483" i="1"/>
  <c r="I1482" i="1"/>
  <c r="G1482" i="1"/>
  <c r="F1482" i="1"/>
  <c r="E1482" i="1"/>
  <c r="A1482" i="1"/>
  <c r="I1481" i="1"/>
  <c r="G1481" i="1"/>
  <c r="F1481" i="1"/>
  <c r="E1481" i="1"/>
  <c r="A1481" i="1"/>
  <c r="I1480" i="1"/>
  <c r="I1479" i="1"/>
  <c r="A1479" i="1" s="1"/>
  <c r="A1480" i="1" s="1"/>
  <c r="I1478" i="1"/>
  <c r="A1478" i="1" s="1"/>
  <c r="G1478" i="1"/>
  <c r="F1478" i="1"/>
  <c r="B1478" i="1"/>
  <c r="E1478" i="1" s="1"/>
  <c r="I1477" i="1"/>
  <c r="G1477" i="1"/>
  <c r="F1477" i="1"/>
  <c r="E1477" i="1"/>
  <c r="B1477" i="1"/>
  <c r="A1477" i="1"/>
  <c r="I1476" i="1"/>
  <c r="G1476" i="1"/>
  <c r="F1476" i="1"/>
  <c r="A1476" i="1"/>
  <c r="I1475" i="1"/>
  <c r="A1475" i="1" s="1"/>
  <c r="G1475" i="1"/>
  <c r="F1475" i="1"/>
  <c r="E1475" i="1"/>
  <c r="I1474" i="1"/>
  <c r="A1474" i="1" s="1"/>
  <c r="I1473" i="1"/>
  <c r="B1473" i="1"/>
  <c r="G1473" i="1" s="1"/>
  <c r="A1473" i="1"/>
  <c r="I1472" i="1"/>
  <c r="B1472" i="1"/>
  <c r="G1472" i="1" s="1"/>
  <c r="A1472" i="1"/>
  <c r="I1471" i="1"/>
  <c r="A1471" i="1" s="1"/>
  <c r="G1471" i="1"/>
  <c r="F1471" i="1"/>
  <c r="I1470" i="1"/>
  <c r="G1470" i="1"/>
  <c r="F1470" i="1"/>
  <c r="E1470" i="1"/>
  <c r="A1470" i="1"/>
  <c r="I1469" i="1"/>
  <c r="A1469" i="1"/>
  <c r="I1468" i="1"/>
  <c r="A1468" i="1" s="1"/>
  <c r="G1468" i="1"/>
  <c r="F1468" i="1"/>
  <c r="E1468" i="1"/>
  <c r="I1467" i="1"/>
  <c r="G1467" i="1"/>
  <c r="F1467" i="1"/>
  <c r="A1467" i="1"/>
  <c r="I1466" i="1"/>
  <c r="A1466" i="1" s="1"/>
  <c r="G1466" i="1"/>
  <c r="F1466" i="1"/>
  <c r="I1465" i="1"/>
  <c r="A1465" i="1" s="1"/>
  <c r="H1465" i="1"/>
  <c r="D1465" i="1" s="1"/>
  <c r="I1464" i="1"/>
  <c r="G1464" i="1"/>
  <c r="F1464" i="1"/>
  <c r="E1464" i="1"/>
  <c r="A1464" i="1"/>
  <c r="I1463" i="1"/>
  <c r="G1463" i="1"/>
  <c r="F1463" i="1"/>
  <c r="A1463" i="1"/>
  <c r="I1462" i="1"/>
  <c r="A1462" i="1" s="1"/>
  <c r="G1462" i="1"/>
  <c r="F1462" i="1"/>
  <c r="I1461" i="1"/>
  <c r="A1461" i="1"/>
  <c r="I1460" i="1"/>
  <c r="A1460" i="1"/>
  <c r="I1459" i="1"/>
  <c r="A1459" i="1" s="1"/>
  <c r="I1458" i="1"/>
  <c r="G1458" i="1"/>
  <c r="F1458" i="1"/>
  <c r="E1458" i="1"/>
  <c r="A1458" i="1"/>
  <c r="I1457" i="1"/>
  <c r="G1457" i="1"/>
  <c r="F1457" i="1"/>
  <c r="E1457" i="1"/>
  <c r="A1457" i="1"/>
  <c r="I1456" i="1"/>
  <c r="A1456" i="1" s="1"/>
  <c r="G1456" i="1"/>
  <c r="F1456" i="1"/>
  <c r="E1456" i="1"/>
  <c r="I1455" i="1"/>
  <c r="A1455" i="1" s="1"/>
  <c r="G1455" i="1"/>
  <c r="F1455" i="1"/>
  <c r="E1455" i="1"/>
  <c r="I1454" i="1"/>
  <c r="G1454" i="1"/>
  <c r="F1454" i="1"/>
  <c r="E1454" i="1"/>
  <c r="A1454" i="1"/>
  <c r="I1453" i="1"/>
  <c r="G1453" i="1"/>
  <c r="F1453" i="1"/>
  <c r="E1453" i="1"/>
  <c r="A1453" i="1"/>
  <c r="I1452" i="1"/>
  <c r="G1452" i="1"/>
  <c r="F1452" i="1"/>
  <c r="E1452" i="1"/>
  <c r="A1452" i="1"/>
  <c r="I1451" i="1"/>
  <c r="G1451" i="1"/>
  <c r="F1451" i="1"/>
  <c r="E1451" i="1"/>
  <c r="A1451" i="1"/>
  <c r="I1450" i="1"/>
  <c r="H1450" i="1"/>
  <c r="H1587" i="1" s="1"/>
  <c r="G1450" i="1"/>
  <c r="F1450" i="1"/>
  <c r="E1450" i="1"/>
  <c r="D1450" i="1"/>
  <c r="A1450" i="1"/>
  <c r="I1449" i="1"/>
  <c r="A1449" i="1" s="1"/>
  <c r="I1448" i="1"/>
  <c r="D1448" i="1"/>
  <c r="A1448" i="1"/>
  <c r="I1447" i="1"/>
  <c r="A1447" i="1" s="1"/>
  <c r="I1446" i="1"/>
  <c r="A1446" i="1"/>
  <c r="I1445" i="1"/>
  <c r="G1445" i="1"/>
  <c r="E1445" i="1"/>
  <c r="A1445" i="1"/>
  <c r="I1444" i="1"/>
  <c r="A1444" i="1" s="1"/>
  <c r="G1444" i="1"/>
  <c r="E1444" i="1"/>
  <c r="I1443" i="1"/>
  <c r="A1443" i="1"/>
  <c r="I1442" i="1"/>
  <c r="H1442" i="1"/>
  <c r="G1442" i="1"/>
  <c r="F1442" i="1"/>
  <c r="E1442" i="1"/>
  <c r="A1442" i="1"/>
  <c r="I1441" i="1"/>
  <c r="H1441" i="1"/>
  <c r="G1441" i="1"/>
  <c r="F1441" i="1"/>
  <c r="E1441" i="1"/>
  <c r="A1441" i="1"/>
  <c r="I1440" i="1"/>
  <c r="A1440" i="1" s="1"/>
  <c r="H1440" i="1"/>
  <c r="G1440" i="1"/>
  <c r="F1440" i="1"/>
  <c r="E1440" i="1"/>
  <c r="I1439" i="1"/>
  <c r="A1439" i="1" s="1"/>
  <c r="H1439" i="1"/>
  <c r="G1439" i="1"/>
  <c r="F1439" i="1"/>
  <c r="E1439" i="1"/>
  <c r="I1438" i="1"/>
  <c r="H1438" i="1"/>
  <c r="G1438" i="1"/>
  <c r="F1438" i="1"/>
  <c r="E1438" i="1"/>
  <c r="A1438" i="1"/>
  <c r="I1437" i="1"/>
  <c r="H1437" i="1"/>
  <c r="G1437" i="1"/>
  <c r="F1437" i="1"/>
  <c r="E1437" i="1"/>
  <c r="A1437" i="1"/>
  <c r="I1436" i="1"/>
  <c r="A1436" i="1" s="1"/>
  <c r="H1436" i="1"/>
  <c r="G1436" i="1"/>
  <c r="F1436" i="1"/>
  <c r="E1436" i="1"/>
  <c r="I1435" i="1"/>
  <c r="A1435" i="1" s="1"/>
  <c r="H1435" i="1"/>
  <c r="G1435" i="1"/>
  <c r="F1435" i="1"/>
  <c r="E1435" i="1"/>
  <c r="I1434" i="1"/>
  <c r="H1434" i="1"/>
  <c r="G1434" i="1"/>
  <c r="F1434" i="1"/>
  <c r="E1434" i="1"/>
  <c r="A1434" i="1"/>
  <c r="I1433" i="1"/>
  <c r="A1433" i="1" s="1"/>
  <c r="H1433" i="1"/>
  <c r="G1433" i="1"/>
  <c r="F1433" i="1"/>
  <c r="E1433" i="1"/>
  <c r="I1432" i="1"/>
  <c r="A1432" i="1" s="1"/>
  <c r="H1432" i="1"/>
  <c r="G1432" i="1"/>
  <c r="F1432" i="1"/>
  <c r="E1432" i="1"/>
  <c r="I1431" i="1"/>
  <c r="A1431" i="1" s="1"/>
  <c r="H1431" i="1"/>
  <c r="G1431" i="1"/>
  <c r="F1431" i="1"/>
  <c r="E1431" i="1"/>
  <c r="I1430" i="1"/>
  <c r="H1430" i="1"/>
  <c r="G1430" i="1"/>
  <c r="F1430" i="1"/>
  <c r="E1430" i="1"/>
  <c r="A1430" i="1"/>
  <c r="I1429" i="1"/>
  <c r="A1429" i="1" s="1"/>
  <c r="H1429" i="1"/>
  <c r="G1429" i="1"/>
  <c r="F1429" i="1"/>
  <c r="E1429" i="1"/>
  <c r="I1428" i="1"/>
  <c r="A1428" i="1" s="1"/>
  <c r="H1428" i="1"/>
  <c r="G1428" i="1"/>
  <c r="F1428" i="1"/>
  <c r="E1428" i="1"/>
  <c r="I1427" i="1"/>
  <c r="A1427" i="1" s="1"/>
  <c r="H1427" i="1"/>
  <c r="G1427" i="1"/>
  <c r="F1427" i="1"/>
  <c r="E1427" i="1"/>
  <c r="I1426" i="1"/>
  <c r="H1426" i="1"/>
  <c r="G1426" i="1"/>
  <c r="F1426" i="1"/>
  <c r="E1426" i="1"/>
  <c r="A1426" i="1"/>
  <c r="I1425" i="1"/>
  <c r="A1425" i="1" s="1"/>
  <c r="H1425" i="1"/>
  <c r="G1425" i="1"/>
  <c r="F1425" i="1"/>
  <c r="E1425" i="1"/>
  <c r="I1424" i="1"/>
  <c r="A1424" i="1" s="1"/>
  <c r="H1424" i="1"/>
  <c r="G1424" i="1"/>
  <c r="F1424" i="1"/>
  <c r="E1424" i="1"/>
  <c r="I1423" i="1"/>
  <c r="A1423" i="1" s="1"/>
  <c r="H1423" i="1"/>
  <c r="G1423" i="1"/>
  <c r="F1423" i="1"/>
  <c r="E1423" i="1"/>
  <c r="I1422" i="1"/>
  <c r="H1422" i="1"/>
  <c r="G1422" i="1"/>
  <c r="F1422" i="1"/>
  <c r="E1422" i="1"/>
  <c r="A1422" i="1"/>
  <c r="I1421" i="1"/>
  <c r="I1420" i="1"/>
  <c r="A1420" i="1"/>
  <c r="A1421" i="1" s="1"/>
  <c r="I1419" i="1"/>
  <c r="A1419" i="1" s="1"/>
  <c r="H1419" i="1"/>
  <c r="G1419" i="1"/>
  <c r="F1419" i="1"/>
  <c r="E1419" i="1"/>
  <c r="I1418" i="1"/>
  <c r="H1418" i="1"/>
  <c r="G1418" i="1"/>
  <c r="F1418" i="1"/>
  <c r="E1418" i="1"/>
  <c r="A1418" i="1"/>
  <c r="I1417" i="1"/>
  <c r="G1417" i="1"/>
  <c r="F1417" i="1"/>
  <c r="E1417" i="1"/>
  <c r="A1417" i="1"/>
  <c r="I1416" i="1"/>
  <c r="H1416" i="1"/>
  <c r="G1416" i="1"/>
  <c r="F1416" i="1"/>
  <c r="E1416" i="1"/>
  <c r="A1416" i="1"/>
  <c r="I1415" i="1"/>
  <c r="A1415" i="1" s="1"/>
  <c r="H1415" i="1"/>
  <c r="G1415" i="1"/>
  <c r="F1415" i="1"/>
  <c r="E1415" i="1"/>
  <c r="I1414" i="1"/>
  <c r="H1414" i="1"/>
  <c r="G1414" i="1"/>
  <c r="F1414" i="1"/>
  <c r="A1414" i="1"/>
  <c r="I1413" i="1"/>
  <c r="A1413" i="1" s="1"/>
  <c r="G1413" i="1"/>
  <c r="F1413" i="1"/>
  <c r="E1413" i="1"/>
  <c r="I1412" i="1"/>
  <c r="A1412" i="1" s="1"/>
  <c r="H1412" i="1"/>
  <c r="G1412" i="1"/>
  <c r="F1412" i="1"/>
  <c r="E1412" i="1"/>
  <c r="I1411" i="1"/>
  <c r="A1411" i="1" s="1"/>
  <c r="G1411" i="1"/>
  <c r="F1411" i="1"/>
  <c r="E1411" i="1"/>
  <c r="I1410" i="1"/>
  <c r="G1410" i="1"/>
  <c r="F1410" i="1"/>
  <c r="E1410" i="1"/>
  <c r="A1410" i="1"/>
  <c r="I1409" i="1"/>
  <c r="A1409" i="1" s="1"/>
  <c r="G1409" i="1"/>
  <c r="F1409" i="1"/>
  <c r="E1409" i="1"/>
  <c r="I1408" i="1"/>
  <c r="A1408" i="1" s="1"/>
  <c r="H1408" i="1"/>
  <c r="G1408" i="1"/>
  <c r="F1408" i="1"/>
  <c r="E1408" i="1"/>
  <c r="I1407" i="1"/>
  <c r="A1407" i="1" s="1"/>
  <c r="G1407" i="1"/>
  <c r="F1407" i="1"/>
  <c r="E1407" i="1"/>
  <c r="I1406" i="1"/>
  <c r="G1406" i="1"/>
  <c r="F1406" i="1"/>
  <c r="E1406" i="1"/>
  <c r="A1406" i="1"/>
  <c r="I1405" i="1"/>
  <c r="A1405" i="1" s="1"/>
  <c r="G1405" i="1"/>
  <c r="F1405" i="1"/>
  <c r="E1405" i="1"/>
  <c r="I1404" i="1"/>
  <c r="A1404" i="1" s="1"/>
  <c r="H1404" i="1"/>
  <c r="G1404" i="1"/>
  <c r="F1404" i="1"/>
  <c r="E1404" i="1"/>
  <c r="I1403" i="1"/>
  <c r="A1403" i="1" s="1"/>
  <c r="G1403" i="1"/>
  <c r="F1403" i="1"/>
  <c r="E1403" i="1"/>
  <c r="I1402" i="1"/>
  <c r="G1402" i="1"/>
  <c r="F1402" i="1"/>
  <c r="E1402" i="1"/>
  <c r="A1402" i="1"/>
  <c r="I1401" i="1"/>
  <c r="A1401" i="1" s="1"/>
  <c r="G1401" i="1"/>
  <c r="F1401" i="1"/>
  <c r="E1401" i="1"/>
  <c r="I1400" i="1"/>
  <c r="A1400" i="1" s="1"/>
  <c r="H1400" i="1"/>
  <c r="G1400" i="1"/>
  <c r="F1400" i="1"/>
  <c r="E1400" i="1"/>
  <c r="I1399" i="1"/>
  <c r="A1399" i="1" s="1"/>
  <c r="H1399" i="1"/>
  <c r="G1399" i="1"/>
  <c r="F1399" i="1"/>
  <c r="E1399" i="1"/>
  <c r="I1398" i="1"/>
  <c r="G1398" i="1"/>
  <c r="F1398" i="1"/>
  <c r="E1398" i="1"/>
  <c r="A1398" i="1"/>
  <c r="I1397" i="1"/>
  <c r="I1396" i="1"/>
  <c r="H1396" i="1"/>
  <c r="H1413" i="1" s="1"/>
  <c r="A1396" i="1"/>
  <c r="A1397" i="1" s="1"/>
  <c r="I1395" i="1"/>
  <c r="A1395" i="1" s="1"/>
  <c r="H1395" i="1"/>
  <c r="G1395" i="1"/>
  <c r="F1395" i="1"/>
  <c r="E1395" i="1"/>
  <c r="I1394" i="1"/>
  <c r="A1394" i="1" s="1"/>
  <c r="H1394" i="1"/>
  <c r="G1394" i="1"/>
  <c r="F1394" i="1"/>
  <c r="E1394" i="1"/>
  <c r="I1393" i="1"/>
  <c r="G1393" i="1"/>
  <c r="F1393" i="1"/>
  <c r="E1393" i="1"/>
  <c r="A1393" i="1"/>
  <c r="I1392" i="1"/>
  <c r="A1392" i="1" s="1"/>
  <c r="H1392" i="1"/>
  <c r="H1393" i="1" s="1"/>
  <c r="G1392" i="1"/>
  <c r="F1392" i="1"/>
  <c r="E1392" i="1"/>
  <c r="I1391" i="1"/>
  <c r="A1391" i="1" s="1"/>
  <c r="H1391" i="1"/>
  <c r="G1391" i="1"/>
  <c r="F1391" i="1"/>
  <c r="E1391" i="1"/>
  <c r="I1390" i="1"/>
  <c r="A1390" i="1" s="1"/>
  <c r="H1390" i="1"/>
  <c r="G1390" i="1"/>
  <c r="F1390" i="1"/>
  <c r="E1390" i="1"/>
  <c r="I1389" i="1"/>
  <c r="H1389" i="1"/>
  <c r="G1389" i="1"/>
  <c r="F1389" i="1"/>
  <c r="E1389" i="1"/>
  <c r="A1389" i="1"/>
  <c r="I1388" i="1"/>
  <c r="A1388" i="1" s="1"/>
  <c r="H1388" i="1"/>
  <c r="G1388" i="1"/>
  <c r="F1388" i="1"/>
  <c r="E1388" i="1"/>
  <c r="I1387" i="1"/>
  <c r="I1386" i="1"/>
  <c r="A1386" i="1" s="1"/>
  <c r="A1387" i="1" s="1"/>
  <c r="I1385" i="1"/>
  <c r="H1385" i="1"/>
  <c r="G1385" i="1"/>
  <c r="F1385" i="1"/>
  <c r="E1385" i="1"/>
  <c r="A1385" i="1"/>
  <c r="I1384" i="1"/>
  <c r="G1384" i="1"/>
  <c r="F1384" i="1"/>
  <c r="E1384" i="1"/>
  <c r="A1384" i="1"/>
  <c r="I1383" i="1"/>
  <c r="G1383" i="1"/>
  <c r="F1383" i="1"/>
  <c r="E1383" i="1"/>
  <c r="A1383" i="1"/>
  <c r="I1382" i="1"/>
  <c r="G1382" i="1"/>
  <c r="F1382" i="1"/>
  <c r="E1382" i="1"/>
  <c r="A1382" i="1"/>
  <c r="I1381" i="1"/>
  <c r="G1381" i="1"/>
  <c r="F1381" i="1"/>
  <c r="E1381" i="1"/>
  <c r="A1381" i="1"/>
  <c r="I1380" i="1"/>
  <c r="G1380" i="1"/>
  <c r="F1380" i="1"/>
  <c r="E1380" i="1"/>
  <c r="A1380" i="1"/>
  <c r="I1379" i="1"/>
  <c r="G1379" i="1"/>
  <c r="F1379" i="1"/>
  <c r="E1379" i="1"/>
  <c r="A1379" i="1"/>
  <c r="I1378" i="1"/>
  <c r="G1378" i="1"/>
  <c r="F1378" i="1"/>
  <c r="E1378" i="1"/>
  <c r="A1378" i="1"/>
  <c r="I1377" i="1"/>
  <c r="G1377" i="1"/>
  <c r="F1377" i="1"/>
  <c r="E1377" i="1"/>
  <c r="A1377" i="1"/>
  <c r="I1376" i="1"/>
  <c r="G1376" i="1"/>
  <c r="F1376" i="1"/>
  <c r="E1376" i="1"/>
  <c r="A1376" i="1"/>
  <c r="I1375" i="1"/>
  <c r="H1375" i="1"/>
  <c r="G1375" i="1"/>
  <c r="F1375" i="1"/>
  <c r="E1375" i="1"/>
  <c r="A1375" i="1"/>
  <c r="I1374" i="1"/>
  <c r="A1374" i="1" s="1"/>
  <c r="G1374" i="1"/>
  <c r="F1374" i="1"/>
  <c r="E1374" i="1"/>
  <c r="I1373" i="1"/>
  <c r="H1373" i="1"/>
  <c r="G1373" i="1"/>
  <c r="F1373" i="1"/>
  <c r="E1373" i="1"/>
  <c r="A1373" i="1"/>
  <c r="I1372" i="1"/>
  <c r="A1372" i="1" s="1"/>
  <c r="H1372" i="1"/>
  <c r="G1372" i="1"/>
  <c r="F1372" i="1"/>
  <c r="E1372" i="1"/>
  <c r="I1371" i="1"/>
  <c r="A1371" i="1" s="1"/>
  <c r="G1371" i="1"/>
  <c r="F1371" i="1"/>
  <c r="E1371" i="1"/>
  <c r="I1370" i="1"/>
  <c r="G1370" i="1"/>
  <c r="F1370" i="1"/>
  <c r="E1370" i="1"/>
  <c r="A1370" i="1"/>
  <c r="I1369" i="1"/>
  <c r="G1369" i="1"/>
  <c r="F1369" i="1"/>
  <c r="E1369" i="1"/>
  <c r="A1369" i="1"/>
  <c r="I1368" i="1"/>
  <c r="A1368" i="1" s="1"/>
  <c r="G1368" i="1"/>
  <c r="F1368" i="1"/>
  <c r="E1368" i="1"/>
  <c r="I1367" i="1"/>
  <c r="G1367" i="1"/>
  <c r="F1367" i="1"/>
  <c r="E1367" i="1"/>
  <c r="A1367" i="1"/>
  <c r="I1366" i="1"/>
  <c r="A1366" i="1" s="1"/>
  <c r="G1366" i="1"/>
  <c r="F1366" i="1"/>
  <c r="E1366" i="1"/>
  <c r="I1365" i="1"/>
  <c r="A1365" i="1" s="1"/>
  <c r="G1365" i="1"/>
  <c r="F1365" i="1"/>
  <c r="E1365" i="1"/>
  <c r="I1364" i="1"/>
  <c r="G1364" i="1"/>
  <c r="F1364" i="1"/>
  <c r="E1364" i="1"/>
  <c r="A1364" i="1"/>
  <c r="I1363" i="1"/>
  <c r="I1362" i="1"/>
  <c r="A1362" i="1"/>
  <c r="A1363" i="1" s="1"/>
  <c r="I1361" i="1"/>
  <c r="A1361" i="1" s="1"/>
  <c r="G1361" i="1"/>
  <c r="F1361" i="1"/>
  <c r="E1361" i="1"/>
  <c r="I1360" i="1"/>
  <c r="A1360" i="1" s="1"/>
  <c r="G1360" i="1"/>
  <c r="F1360" i="1"/>
  <c r="E1360" i="1"/>
  <c r="I1359" i="1"/>
  <c r="G1359" i="1"/>
  <c r="F1359" i="1"/>
  <c r="E1359" i="1"/>
  <c r="A1359" i="1"/>
  <c r="I1358" i="1"/>
  <c r="A1358" i="1" s="1"/>
  <c r="G1358" i="1"/>
  <c r="F1358" i="1"/>
  <c r="E1358" i="1"/>
  <c r="I1357" i="1"/>
  <c r="A1357" i="1" s="1"/>
  <c r="G1357" i="1"/>
  <c r="F1357" i="1"/>
  <c r="E1357" i="1"/>
  <c r="I1356" i="1"/>
  <c r="A1356" i="1" s="1"/>
  <c r="G1356" i="1"/>
  <c r="F1356" i="1"/>
  <c r="E1356" i="1"/>
  <c r="I1355" i="1"/>
  <c r="G1355" i="1"/>
  <c r="F1355" i="1"/>
  <c r="E1355" i="1"/>
  <c r="A1355" i="1"/>
  <c r="I1354" i="1"/>
  <c r="A1354" i="1" s="1"/>
  <c r="G1354" i="1"/>
  <c r="F1354" i="1"/>
  <c r="E1354" i="1"/>
  <c r="I1353" i="1"/>
  <c r="A1353" i="1" s="1"/>
  <c r="G1353" i="1"/>
  <c r="F1353" i="1"/>
  <c r="E1353" i="1"/>
  <c r="I1352" i="1"/>
  <c r="A1352" i="1" s="1"/>
  <c r="G1352" i="1"/>
  <c r="F1352" i="1"/>
  <c r="E1352" i="1"/>
  <c r="I1351" i="1"/>
  <c r="G1351" i="1"/>
  <c r="F1351" i="1"/>
  <c r="E1351" i="1"/>
  <c r="A1351" i="1"/>
  <c r="I1350" i="1"/>
  <c r="A1350" i="1" s="1"/>
  <c r="G1350" i="1"/>
  <c r="F1350" i="1"/>
  <c r="E1350" i="1"/>
  <c r="I1349" i="1"/>
  <c r="I1348" i="1"/>
  <c r="A1348" i="1" s="1"/>
  <c r="A1349" i="1" s="1"/>
  <c r="I1347" i="1"/>
  <c r="A1347" i="1" s="1"/>
  <c r="G1347" i="1"/>
  <c r="F1347" i="1"/>
  <c r="E1347" i="1"/>
  <c r="I1346" i="1"/>
  <c r="G1346" i="1"/>
  <c r="F1346" i="1"/>
  <c r="E1346" i="1"/>
  <c r="A1346" i="1"/>
  <c r="I1345" i="1"/>
  <c r="A1345" i="1" s="1"/>
  <c r="G1345" i="1"/>
  <c r="F1345" i="1"/>
  <c r="E1345" i="1"/>
  <c r="I1344" i="1"/>
  <c r="A1344" i="1" s="1"/>
  <c r="G1344" i="1"/>
  <c r="F1344" i="1"/>
  <c r="E1344" i="1"/>
  <c r="I1343" i="1"/>
  <c r="A1343" i="1" s="1"/>
  <c r="G1343" i="1"/>
  <c r="F1343" i="1"/>
  <c r="E1343" i="1"/>
  <c r="I1342" i="1"/>
  <c r="G1342" i="1"/>
  <c r="F1342" i="1"/>
  <c r="E1342" i="1"/>
  <c r="A1342" i="1"/>
  <c r="I1341" i="1"/>
  <c r="A1341" i="1" s="1"/>
  <c r="G1341" i="1"/>
  <c r="F1341" i="1"/>
  <c r="E1341" i="1"/>
  <c r="I1340" i="1"/>
  <c r="I1339" i="1"/>
  <c r="A1339" i="1" s="1"/>
  <c r="A1340" i="1" s="1"/>
  <c r="I1338" i="1"/>
  <c r="A1338" i="1" s="1"/>
  <c r="G1338" i="1"/>
  <c r="F1338" i="1"/>
  <c r="E1338" i="1"/>
  <c r="I1337" i="1"/>
  <c r="G1337" i="1"/>
  <c r="F1337" i="1"/>
  <c r="E1337" i="1"/>
  <c r="A1337" i="1"/>
  <c r="I1336" i="1"/>
  <c r="A1336" i="1" s="1"/>
  <c r="G1336" i="1"/>
  <c r="F1336" i="1"/>
  <c r="E1336" i="1"/>
  <c r="I1335" i="1"/>
  <c r="A1335" i="1" s="1"/>
  <c r="G1335" i="1"/>
  <c r="F1335" i="1"/>
  <c r="E1335" i="1"/>
  <c r="I1334" i="1"/>
  <c r="A1334" i="1" s="1"/>
  <c r="G1334" i="1"/>
  <c r="F1334" i="1"/>
  <c r="E1334" i="1"/>
  <c r="I1333" i="1"/>
  <c r="G1333" i="1"/>
  <c r="F1333" i="1"/>
  <c r="E1333" i="1"/>
  <c r="A1333" i="1"/>
  <c r="I1332" i="1"/>
  <c r="A1332" i="1" s="1"/>
  <c r="G1332" i="1"/>
  <c r="F1332" i="1"/>
  <c r="E1332" i="1"/>
  <c r="I1331" i="1"/>
  <c r="A1331" i="1" s="1"/>
  <c r="G1331" i="1"/>
  <c r="F1331" i="1"/>
  <c r="E1331" i="1"/>
  <c r="I1330" i="1"/>
  <c r="I1329" i="1"/>
  <c r="A1329" i="1" s="1"/>
  <c r="A1330" i="1" s="1"/>
  <c r="I1328" i="1"/>
  <c r="G1328" i="1"/>
  <c r="F1328" i="1"/>
  <c r="E1328" i="1"/>
  <c r="A1328" i="1"/>
  <c r="I1327" i="1"/>
  <c r="A1327" i="1" s="1"/>
  <c r="G1327" i="1"/>
  <c r="F1327" i="1"/>
  <c r="E1327" i="1"/>
  <c r="I1326" i="1"/>
  <c r="A1326" i="1" s="1"/>
  <c r="G1326" i="1"/>
  <c r="F1326" i="1"/>
  <c r="E1326" i="1"/>
  <c r="I1325" i="1"/>
  <c r="H1325" i="1"/>
  <c r="G1325" i="1"/>
  <c r="F1325" i="1"/>
  <c r="E1325" i="1"/>
  <c r="A1325" i="1"/>
  <c r="I1324" i="1"/>
  <c r="A1324" i="1"/>
  <c r="I1323" i="1"/>
  <c r="A1323" i="1"/>
  <c r="O1322" i="1"/>
  <c r="N1322" i="1"/>
  <c r="I1322" i="1"/>
  <c r="A1322" i="1" s="1"/>
  <c r="H1322" i="1"/>
  <c r="H1319" i="1" s="1"/>
  <c r="G1322" i="1"/>
  <c r="F1322" i="1"/>
  <c r="E1322" i="1"/>
  <c r="I1321" i="1"/>
  <c r="A1321" i="1" s="1"/>
  <c r="G1321" i="1"/>
  <c r="F1321" i="1"/>
  <c r="E1321" i="1"/>
  <c r="I1320" i="1"/>
  <c r="G1320" i="1"/>
  <c r="F1320" i="1"/>
  <c r="E1320" i="1"/>
  <c r="A1320" i="1"/>
  <c r="I1319" i="1"/>
  <c r="A1319" i="1" s="1"/>
  <c r="G1319" i="1"/>
  <c r="F1319" i="1"/>
  <c r="E1319" i="1"/>
  <c r="I1318" i="1"/>
  <c r="I1317" i="1"/>
  <c r="A1317" i="1" s="1"/>
  <c r="A1318" i="1" s="1"/>
  <c r="O1316" i="1"/>
  <c r="N1316" i="1"/>
  <c r="H1314" i="1" s="1"/>
  <c r="I1316" i="1"/>
  <c r="H1316" i="1"/>
  <c r="G1316" i="1"/>
  <c r="F1316" i="1"/>
  <c r="E1316" i="1"/>
  <c r="A1316" i="1"/>
  <c r="I1315" i="1"/>
  <c r="H1315" i="1"/>
  <c r="G1315" i="1"/>
  <c r="F1315" i="1"/>
  <c r="E1315" i="1"/>
  <c r="A1315" i="1"/>
  <c r="I1314" i="1"/>
  <c r="G1314" i="1"/>
  <c r="F1314" i="1"/>
  <c r="E1314" i="1"/>
  <c r="A1314" i="1"/>
  <c r="I1313" i="1"/>
  <c r="H1313" i="1"/>
  <c r="G1313" i="1"/>
  <c r="F1313" i="1"/>
  <c r="E1313" i="1"/>
  <c r="A1313" i="1"/>
  <c r="I1312" i="1"/>
  <c r="I1311" i="1"/>
  <c r="A1311" i="1" s="1"/>
  <c r="A1312" i="1" s="1"/>
  <c r="I1310" i="1"/>
  <c r="H1310" i="1"/>
  <c r="G1310" i="1"/>
  <c r="B1310" i="1"/>
  <c r="F1310" i="1" s="1"/>
  <c r="A1310" i="1"/>
  <c r="I1309" i="1"/>
  <c r="E1309" i="1"/>
  <c r="B1309" i="1"/>
  <c r="G1309" i="1" s="1"/>
  <c r="A1309" i="1"/>
  <c r="I1308" i="1"/>
  <c r="G1308" i="1"/>
  <c r="F1308" i="1"/>
  <c r="E1308" i="1"/>
  <c r="A1308" i="1"/>
  <c r="I1307" i="1"/>
  <c r="G1307" i="1"/>
  <c r="F1307" i="1"/>
  <c r="E1307" i="1"/>
  <c r="A1307" i="1"/>
  <c r="I1306" i="1"/>
  <c r="A1306" i="1" s="1"/>
  <c r="G1306" i="1"/>
  <c r="E1306" i="1"/>
  <c r="I1305" i="1"/>
  <c r="A1305" i="1" s="1"/>
  <c r="G1305" i="1"/>
  <c r="F1305" i="1"/>
  <c r="E1305" i="1"/>
  <c r="I1304" i="1"/>
  <c r="G1304" i="1"/>
  <c r="F1304" i="1"/>
  <c r="E1304" i="1"/>
  <c r="A1304" i="1"/>
  <c r="I1303" i="1"/>
  <c r="G1303" i="1"/>
  <c r="F1303" i="1"/>
  <c r="E1303" i="1"/>
  <c r="A1303" i="1"/>
  <c r="I1302" i="1"/>
  <c r="G1302" i="1"/>
  <c r="F1302" i="1"/>
  <c r="E1302" i="1"/>
  <c r="A1302" i="1"/>
  <c r="I1301" i="1"/>
  <c r="G1301" i="1"/>
  <c r="F1301" i="1"/>
  <c r="E1301" i="1"/>
  <c r="A1301" i="1"/>
  <c r="I1300" i="1"/>
  <c r="A1300" i="1" s="1"/>
  <c r="G1300" i="1"/>
  <c r="F1300" i="1"/>
  <c r="E1300" i="1"/>
  <c r="I1299" i="1"/>
  <c r="A1299" i="1" s="1"/>
  <c r="G1299" i="1"/>
  <c r="F1299" i="1"/>
  <c r="E1299" i="1"/>
  <c r="I1298" i="1"/>
  <c r="G1298" i="1"/>
  <c r="F1298" i="1"/>
  <c r="E1298" i="1"/>
  <c r="A1298" i="1"/>
  <c r="I1297" i="1"/>
  <c r="I1296" i="1"/>
  <c r="A1296" i="1"/>
  <c r="A1297" i="1" s="1"/>
  <c r="I1295" i="1"/>
  <c r="A1295" i="1" s="1"/>
  <c r="F1295" i="1"/>
  <c r="E1295" i="1"/>
  <c r="I1294" i="1"/>
  <c r="F1294" i="1"/>
  <c r="E1294" i="1"/>
  <c r="A1294" i="1"/>
  <c r="I1293" i="1"/>
  <c r="A1293" i="1" s="1"/>
  <c r="F1293" i="1"/>
  <c r="E1293" i="1"/>
  <c r="I1292" i="1"/>
  <c r="A1292" i="1" s="1"/>
  <c r="F1292" i="1"/>
  <c r="E1292" i="1"/>
  <c r="I1291" i="1"/>
  <c r="A1291" i="1" s="1"/>
  <c r="F1291" i="1"/>
  <c r="E1291" i="1"/>
  <c r="I1290" i="1"/>
  <c r="A1290" i="1" s="1"/>
  <c r="F1290" i="1"/>
  <c r="E1290" i="1"/>
  <c r="I1289" i="1"/>
  <c r="F1289" i="1"/>
  <c r="E1289" i="1"/>
  <c r="A1289" i="1"/>
  <c r="I1288" i="1"/>
  <c r="I1287" i="1"/>
  <c r="A1287" i="1"/>
  <c r="A1288" i="1" s="1"/>
  <c r="I1286" i="1"/>
  <c r="A1286" i="1" s="1"/>
  <c r="F1286" i="1"/>
  <c r="E1286" i="1"/>
  <c r="I1285" i="1"/>
  <c r="F1285" i="1"/>
  <c r="E1285" i="1"/>
  <c r="A1285" i="1"/>
  <c r="I1284" i="1"/>
  <c r="F1284" i="1"/>
  <c r="E1284" i="1"/>
  <c r="A1284" i="1"/>
  <c r="I1283" i="1"/>
  <c r="A1283" i="1" s="1"/>
  <c r="F1283" i="1"/>
  <c r="E1283" i="1"/>
  <c r="I1282" i="1"/>
  <c r="F1282" i="1"/>
  <c r="E1282" i="1"/>
  <c r="A1282" i="1"/>
  <c r="I1281" i="1"/>
  <c r="A1281" i="1" s="1"/>
  <c r="F1281" i="1"/>
  <c r="E1281" i="1"/>
  <c r="I1280" i="1"/>
  <c r="I1279" i="1"/>
  <c r="A1279" i="1" s="1"/>
  <c r="A1280" i="1" s="1"/>
  <c r="I1278" i="1"/>
  <c r="H1278" i="1"/>
  <c r="F1278" i="1"/>
  <c r="E1278" i="1"/>
  <c r="A1278" i="1"/>
  <c r="I1277" i="1"/>
  <c r="A1277" i="1" s="1"/>
  <c r="H1277" i="1"/>
  <c r="F1277" i="1"/>
  <c r="E1277" i="1"/>
  <c r="I1276" i="1"/>
  <c r="A1276" i="1" s="1"/>
  <c r="H1276" i="1"/>
  <c r="G1276" i="1"/>
  <c r="F1276" i="1"/>
  <c r="E1276" i="1"/>
  <c r="I1275" i="1"/>
  <c r="H1275" i="1"/>
  <c r="G1275" i="1"/>
  <c r="F1275" i="1"/>
  <c r="E1275" i="1"/>
  <c r="A1275" i="1"/>
  <c r="I1274" i="1"/>
  <c r="A1274" i="1" s="1"/>
  <c r="H1274" i="1"/>
  <c r="G1274" i="1"/>
  <c r="F1274" i="1"/>
  <c r="E1274" i="1"/>
  <c r="I1273" i="1"/>
  <c r="A1273" i="1" s="1"/>
  <c r="H1273" i="1"/>
  <c r="G1273" i="1"/>
  <c r="F1273" i="1"/>
  <c r="E1273" i="1"/>
  <c r="I1272" i="1"/>
  <c r="A1272" i="1" s="1"/>
  <c r="G1272" i="1"/>
  <c r="F1272" i="1"/>
  <c r="E1272" i="1"/>
  <c r="C1272" i="1"/>
  <c r="I1271" i="1"/>
  <c r="I1270" i="1"/>
  <c r="A1270" i="1" s="1"/>
  <c r="A1271" i="1" s="1"/>
  <c r="I1269" i="1"/>
  <c r="A1269" i="1" s="1"/>
  <c r="G1269" i="1"/>
  <c r="F1269" i="1"/>
  <c r="E1269" i="1"/>
  <c r="I1268" i="1"/>
  <c r="A1268" i="1" s="1"/>
  <c r="G1268" i="1"/>
  <c r="F1268" i="1"/>
  <c r="E1268" i="1"/>
  <c r="I1267" i="1"/>
  <c r="H1267" i="1"/>
  <c r="G1267" i="1"/>
  <c r="F1267" i="1"/>
  <c r="E1267" i="1"/>
  <c r="A1267" i="1"/>
  <c r="I1266" i="1"/>
  <c r="H1266" i="1"/>
  <c r="G1266" i="1"/>
  <c r="F1266" i="1"/>
  <c r="E1266" i="1"/>
  <c r="A1266" i="1"/>
  <c r="I1265" i="1"/>
  <c r="A1265" i="1" s="1"/>
  <c r="G1265" i="1"/>
  <c r="F1265" i="1"/>
  <c r="E1265" i="1"/>
  <c r="I1264" i="1"/>
  <c r="I1263" i="1"/>
  <c r="A1263" i="1" s="1"/>
  <c r="A1264" i="1" s="1"/>
  <c r="I1262" i="1"/>
  <c r="H1262" i="1"/>
  <c r="G1262" i="1"/>
  <c r="F1262" i="1"/>
  <c r="E1262" i="1"/>
  <c r="A1262" i="1"/>
  <c r="I1261" i="1"/>
  <c r="A1261" i="1" s="1"/>
  <c r="H1261" i="1"/>
  <c r="G1261" i="1"/>
  <c r="F1261" i="1"/>
  <c r="E1261" i="1"/>
  <c r="I1260" i="1"/>
  <c r="H1260" i="1"/>
  <c r="G1260" i="1"/>
  <c r="F1260" i="1"/>
  <c r="E1260" i="1"/>
  <c r="A1260" i="1"/>
  <c r="I1259" i="1"/>
  <c r="H1259" i="1"/>
  <c r="G1259" i="1"/>
  <c r="F1259" i="1"/>
  <c r="E1259" i="1"/>
  <c r="A1259" i="1"/>
  <c r="I1258" i="1"/>
  <c r="H1258" i="1"/>
  <c r="G1258" i="1"/>
  <c r="F1258" i="1"/>
  <c r="E1258" i="1"/>
  <c r="A1258" i="1"/>
  <c r="I1257" i="1"/>
  <c r="A1257" i="1" s="1"/>
  <c r="G1257" i="1"/>
  <c r="F1257" i="1"/>
  <c r="E1257" i="1"/>
  <c r="I1256" i="1"/>
  <c r="G1256" i="1"/>
  <c r="F1256" i="1"/>
  <c r="E1256" i="1"/>
  <c r="A1256" i="1"/>
  <c r="I1255" i="1"/>
  <c r="I1254" i="1"/>
  <c r="A1254" i="1" s="1"/>
  <c r="A1255" i="1" s="1"/>
  <c r="I1253" i="1"/>
  <c r="A1253" i="1" s="1"/>
  <c r="H1253" i="1"/>
  <c r="G1253" i="1"/>
  <c r="F1253" i="1"/>
  <c r="E1253" i="1"/>
  <c r="I1252" i="1"/>
  <c r="H1252" i="1"/>
  <c r="G1252" i="1"/>
  <c r="F1252" i="1"/>
  <c r="E1252" i="1"/>
  <c r="A1252" i="1"/>
  <c r="I1251" i="1"/>
  <c r="A1251" i="1" s="1"/>
  <c r="H1251" i="1"/>
  <c r="G1251" i="1"/>
  <c r="F1251" i="1"/>
  <c r="E1251" i="1"/>
  <c r="I1250" i="1"/>
  <c r="A1250" i="1" s="1"/>
  <c r="H1250" i="1"/>
  <c r="G1250" i="1"/>
  <c r="F1250" i="1"/>
  <c r="E1250" i="1"/>
  <c r="I1249" i="1"/>
  <c r="A1249" i="1" s="1"/>
  <c r="H1249" i="1"/>
  <c r="G1249" i="1"/>
  <c r="F1249" i="1"/>
  <c r="E1249" i="1"/>
  <c r="I1248" i="1"/>
  <c r="I1247" i="1"/>
  <c r="A1247" i="1" s="1"/>
  <c r="A1248" i="1" s="1"/>
  <c r="I1246" i="1"/>
  <c r="G1246" i="1"/>
  <c r="F1246" i="1"/>
  <c r="E1246" i="1"/>
  <c r="A1246" i="1"/>
  <c r="I1245" i="1"/>
  <c r="A1245" i="1" s="1"/>
  <c r="G1245" i="1"/>
  <c r="F1245" i="1"/>
  <c r="E1245" i="1"/>
  <c r="I1244" i="1"/>
  <c r="H1244" i="1"/>
  <c r="H1245" i="1" s="1"/>
  <c r="G1244" i="1"/>
  <c r="F1244" i="1"/>
  <c r="E1244" i="1"/>
  <c r="A1244" i="1"/>
  <c r="I1243" i="1"/>
  <c r="G1243" i="1"/>
  <c r="F1243" i="1"/>
  <c r="E1243" i="1"/>
  <c r="A1243" i="1"/>
  <c r="I1242" i="1"/>
  <c r="A1242" i="1" s="1"/>
  <c r="G1242" i="1"/>
  <c r="F1242" i="1"/>
  <c r="E1242" i="1"/>
  <c r="I1241" i="1"/>
  <c r="I1240" i="1"/>
  <c r="A1240" i="1" s="1"/>
  <c r="A1241" i="1" s="1"/>
  <c r="H1240" i="1"/>
  <c r="H1246" i="1" s="1"/>
  <c r="I1239" i="1"/>
  <c r="G1239" i="1"/>
  <c r="F1239" i="1"/>
  <c r="E1239" i="1"/>
  <c r="A1239" i="1"/>
  <c r="I1238" i="1"/>
  <c r="G1238" i="1"/>
  <c r="F1238" i="1"/>
  <c r="E1238" i="1"/>
  <c r="A1238" i="1"/>
  <c r="I1237" i="1"/>
  <c r="G1237" i="1"/>
  <c r="F1237" i="1"/>
  <c r="E1237" i="1"/>
  <c r="A1237" i="1"/>
  <c r="I1236" i="1"/>
  <c r="A1236" i="1" s="1"/>
  <c r="G1236" i="1"/>
  <c r="F1236" i="1"/>
  <c r="E1236" i="1"/>
  <c r="I1235" i="1"/>
  <c r="G1235" i="1"/>
  <c r="F1235" i="1"/>
  <c r="A1235" i="1"/>
  <c r="I1234" i="1"/>
  <c r="G1234" i="1"/>
  <c r="F1234" i="1"/>
  <c r="A1234" i="1"/>
  <c r="I1233" i="1"/>
  <c r="A1233" i="1" s="1"/>
  <c r="G1233" i="1"/>
  <c r="F1233" i="1"/>
  <c r="I1232" i="1"/>
  <c r="I1231" i="1"/>
  <c r="A1231" i="1" s="1"/>
  <c r="A1232" i="1" s="1"/>
  <c r="I1230" i="1"/>
  <c r="A1230" i="1" s="1"/>
  <c r="E1230" i="1"/>
  <c r="B1230" i="1"/>
  <c r="G1230" i="1" s="1"/>
  <c r="I1229" i="1"/>
  <c r="A1229" i="1" s="1"/>
  <c r="B1229" i="1"/>
  <c r="I1228" i="1"/>
  <c r="A1228" i="1" s="1"/>
  <c r="G1228" i="1"/>
  <c r="F1228" i="1"/>
  <c r="I1227" i="1"/>
  <c r="G1227" i="1"/>
  <c r="F1227" i="1"/>
  <c r="E1227" i="1"/>
  <c r="A1227" i="1"/>
  <c r="I1226" i="1"/>
  <c r="A1226" i="1"/>
  <c r="I1225" i="1"/>
  <c r="A1225" i="1" s="1"/>
  <c r="H1225" i="1"/>
  <c r="G1225" i="1"/>
  <c r="F1225" i="1"/>
  <c r="B1225" i="1"/>
  <c r="E1225" i="1" s="1"/>
  <c r="I1224" i="1"/>
  <c r="A1224" i="1" s="1"/>
  <c r="H1224" i="1"/>
  <c r="G1224" i="1"/>
  <c r="F1224" i="1"/>
  <c r="E1224" i="1"/>
  <c r="B1224" i="1"/>
  <c r="I1223" i="1"/>
  <c r="H1223" i="1"/>
  <c r="G1223" i="1"/>
  <c r="F1223" i="1"/>
  <c r="A1223" i="1"/>
  <c r="I1222" i="1"/>
  <c r="A1222" i="1" s="1"/>
  <c r="H1222" i="1"/>
  <c r="G1222" i="1"/>
  <c r="F1222" i="1"/>
  <c r="E1222" i="1"/>
  <c r="I1221" i="1"/>
  <c r="D1221" i="1"/>
  <c r="A1221" i="1"/>
  <c r="I1220" i="1"/>
  <c r="G1220" i="1"/>
  <c r="F1220" i="1"/>
  <c r="E1220" i="1"/>
  <c r="A1220" i="1"/>
  <c r="I1219" i="1"/>
  <c r="A1219" i="1" s="1"/>
  <c r="G1219" i="1"/>
  <c r="F1219" i="1"/>
  <c r="I1218" i="1"/>
  <c r="A1218" i="1" s="1"/>
  <c r="G1218" i="1"/>
  <c r="F1218" i="1"/>
  <c r="I1217" i="1"/>
  <c r="A1217" i="1"/>
  <c r="I1216" i="1"/>
  <c r="A1216" i="1" s="1"/>
  <c r="H1216" i="1"/>
  <c r="G1216" i="1"/>
  <c r="F1216" i="1"/>
  <c r="E1216" i="1"/>
  <c r="I1215" i="1"/>
  <c r="H1215" i="1"/>
  <c r="G1215" i="1"/>
  <c r="F1215" i="1"/>
  <c r="A1215" i="1"/>
  <c r="I1214" i="1"/>
  <c r="H1214" i="1"/>
  <c r="G1214" i="1"/>
  <c r="F1214" i="1"/>
  <c r="A1214" i="1"/>
  <c r="I1213" i="1"/>
  <c r="D1213" i="1"/>
  <c r="A1213" i="1"/>
  <c r="I1212" i="1"/>
  <c r="A1212" i="1"/>
  <c r="I1211" i="1"/>
  <c r="A1211" i="1"/>
  <c r="I1210" i="1"/>
  <c r="A1210" i="1" s="1"/>
  <c r="G1210" i="1"/>
  <c r="F1210" i="1"/>
  <c r="E1210" i="1"/>
  <c r="I1209" i="1"/>
  <c r="G1209" i="1"/>
  <c r="F1209" i="1"/>
  <c r="E1209" i="1"/>
  <c r="A1209" i="1"/>
  <c r="I1208" i="1"/>
  <c r="G1208" i="1"/>
  <c r="F1208" i="1"/>
  <c r="E1208" i="1"/>
  <c r="A1208" i="1"/>
  <c r="I1207" i="1"/>
  <c r="G1207" i="1"/>
  <c r="F1207" i="1"/>
  <c r="E1207" i="1"/>
  <c r="A1207" i="1"/>
  <c r="I1206" i="1"/>
  <c r="A1206" i="1" s="1"/>
  <c r="G1206" i="1"/>
  <c r="F1206" i="1"/>
  <c r="E1206" i="1"/>
  <c r="I1205" i="1"/>
  <c r="H1205" i="1"/>
  <c r="G1205" i="1"/>
  <c r="F1205" i="1"/>
  <c r="E1205" i="1"/>
  <c r="A1205" i="1"/>
  <c r="I1204" i="1"/>
  <c r="G1204" i="1"/>
  <c r="F1204" i="1"/>
  <c r="E1204" i="1"/>
  <c r="A1204" i="1"/>
  <c r="I1203" i="1"/>
  <c r="A1203" i="1" s="1"/>
  <c r="H1203" i="1"/>
  <c r="G1203" i="1"/>
  <c r="F1203" i="1"/>
  <c r="E1203" i="1"/>
  <c r="I1202" i="1"/>
  <c r="A1202" i="1" s="1"/>
  <c r="I1201" i="1"/>
  <c r="A1201" i="1" s="1"/>
  <c r="D1201" i="1"/>
  <c r="I1200" i="1"/>
  <c r="A1200" i="1" s="1"/>
  <c r="I1199" i="1"/>
  <c r="A1199" i="1"/>
  <c r="I1198" i="1"/>
  <c r="G1198" i="1"/>
  <c r="E1198" i="1"/>
  <c r="A1198" i="1"/>
  <c r="I1197" i="1"/>
  <c r="A1197" i="1" s="1"/>
  <c r="G1197" i="1"/>
  <c r="E1197" i="1"/>
  <c r="I1196" i="1"/>
  <c r="A1196" i="1"/>
  <c r="I1195" i="1"/>
  <c r="A1195" i="1" s="1"/>
  <c r="H1195" i="1"/>
  <c r="G1195" i="1"/>
  <c r="F1195" i="1"/>
  <c r="E1195" i="1"/>
  <c r="I1194" i="1"/>
  <c r="H1194" i="1"/>
  <c r="G1194" i="1"/>
  <c r="F1194" i="1"/>
  <c r="E1194" i="1"/>
  <c r="A1194" i="1"/>
  <c r="I1193" i="1"/>
  <c r="H1193" i="1"/>
  <c r="G1193" i="1"/>
  <c r="F1193" i="1"/>
  <c r="E1193" i="1"/>
  <c r="A1193" i="1"/>
  <c r="I1192" i="1"/>
  <c r="A1192" i="1" s="1"/>
  <c r="H1192" i="1"/>
  <c r="G1192" i="1"/>
  <c r="F1192" i="1"/>
  <c r="E1192" i="1"/>
  <c r="I1191" i="1"/>
  <c r="A1191" i="1" s="1"/>
  <c r="H1191" i="1"/>
  <c r="G1191" i="1"/>
  <c r="F1191" i="1"/>
  <c r="E1191" i="1"/>
  <c r="I1190" i="1"/>
  <c r="H1190" i="1"/>
  <c r="G1190" i="1"/>
  <c r="F1190" i="1"/>
  <c r="E1190" i="1"/>
  <c r="A1190" i="1"/>
  <c r="I1189" i="1"/>
  <c r="H1189" i="1"/>
  <c r="G1189" i="1"/>
  <c r="F1189" i="1"/>
  <c r="E1189" i="1"/>
  <c r="A1189" i="1"/>
  <c r="I1188" i="1"/>
  <c r="H1188" i="1"/>
  <c r="G1188" i="1"/>
  <c r="F1188" i="1"/>
  <c r="E1188" i="1"/>
  <c r="A1188" i="1"/>
  <c r="I1187" i="1"/>
  <c r="A1187" i="1" s="1"/>
  <c r="H1187" i="1"/>
  <c r="G1187" i="1"/>
  <c r="F1187" i="1"/>
  <c r="E1187" i="1"/>
  <c r="I1186" i="1"/>
  <c r="H1186" i="1"/>
  <c r="G1186" i="1"/>
  <c r="F1186" i="1"/>
  <c r="E1186" i="1"/>
  <c r="A1186" i="1"/>
  <c r="I1185" i="1"/>
  <c r="H1185" i="1"/>
  <c r="G1185" i="1"/>
  <c r="F1185" i="1"/>
  <c r="E1185" i="1"/>
  <c r="A1185" i="1"/>
  <c r="I1184" i="1"/>
  <c r="H1184" i="1"/>
  <c r="G1184" i="1"/>
  <c r="F1184" i="1"/>
  <c r="E1184" i="1"/>
  <c r="A1184" i="1"/>
  <c r="I1183" i="1"/>
  <c r="A1183" i="1" s="1"/>
  <c r="H1183" i="1"/>
  <c r="G1183" i="1"/>
  <c r="F1183" i="1"/>
  <c r="E1183" i="1"/>
  <c r="I1182" i="1"/>
  <c r="H1182" i="1"/>
  <c r="G1182" i="1"/>
  <c r="F1182" i="1"/>
  <c r="E1182" i="1"/>
  <c r="A1182" i="1"/>
  <c r="I1181" i="1"/>
  <c r="H1181" i="1"/>
  <c r="G1181" i="1"/>
  <c r="F1181" i="1"/>
  <c r="E1181" i="1"/>
  <c r="A1181" i="1"/>
  <c r="I1180" i="1"/>
  <c r="A1180" i="1" s="1"/>
  <c r="H1180" i="1"/>
  <c r="G1180" i="1"/>
  <c r="F1180" i="1"/>
  <c r="E1180" i="1"/>
  <c r="I1179" i="1"/>
  <c r="A1179" i="1" s="1"/>
  <c r="H1179" i="1"/>
  <c r="G1179" i="1"/>
  <c r="F1179" i="1"/>
  <c r="E1179" i="1"/>
  <c r="I1178" i="1"/>
  <c r="H1178" i="1"/>
  <c r="G1178" i="1"/>
  <c r="F1178" i="1"/>
  <c r="E1178" i="1"/>
  <c r="A1178" i="1"/>
  <c r="I1177" i="1"/>
  <c r="H1177" i="1"/>
  <c r="G1177" i="1"/>
  <c r="F1177" i="1"/>
  <c r="E1177" i="1"/>
  <c r="A1177" i="1"/>
  <c r="I1176" i="1"/>
  <c r="H1176" i="1"/>
  <c r="G1176" i="1"/>
  <c r="F1176" i="1"/>
  <c r="E1176" i="1"/>
  <c r="A1176" i="1"/>
  <c r="I1175" i="1"/>
  <c r="A1175" i="1" s="1"/>
  <c r="H1175" i="1"/>
  <c r="G1175" i="1"/>
  <c r="F1175" i="1"/>
  <c r="E1175" i="1"/>
  <c r="I1174" i="1"/>
  <c r="A1174" i="1"/>
  <c r="I1173" i="1"/>
  <c r="A1173" i="1"/>
  <c r="I1172" i="1"/>
  <c r="A1172" i="1" s="1"/>
  <c r="G1172" i="1"/>
  <c r="F1172" i="1"/>
  <c r="E1172" i="1"/>
  <c r="I1171" i="1"/>
  <c r="A1171" i="1" s="1"/>
  <c r="H1171" i="1"/>
  <c r="G1171" i="1"/>
  <c r="F1171" i="1"/>
  <c r="E1171" i="1"/>
  <c r="I1170" i="1"/>
  <c r="A1170" i="1" s="1"/>
  <c r="G1170" i="1"/>
  <c r="F1170" i="1"/>
  <c r="E1170" i="1"/>
  <c r="I1169" i="1"/>
  <c r="A1169" i="1" s="1"/>
  <c r="G1169" i="1"/>
  <c r="F1169" i="1"/>
  <c r="E1169" i="1"/>
  <c r="I1168" i="1"/>
  <c r="A1168" i="1" s="1"/>
  <c r="G1168" i="1"/>
  <c r="F1168" i="1"/>
  <c r="E1168" i="1"/>
  <c r="I1167" i="1"/>
  <c r="A1167" i="1" s="1"/>
  <c r="G1167" i="1"/>
  <c r="F1167" i="1"/>
  <c r="E1167" i="1"/>
  <c r="I1166" i="1"/>
  <c r="A1166" i="1" s="1"/>
  <c r="G1166" i="1"/>
  <c r="F1166" i="1"/>
  <c r="E1166" i="1"/>
  <c r="I1165" i="1"/>
  <c r="A1165" i="1" s="1"/>
  <c r="G1165" i="1"/>
  <c r="F1165" i="1"/>
  <c r="E1165" i="1"/>
  <c r="I1164" i="1"/>
  <c r="G1164" i="1"/>
  <c r="F1164" i="1"/>
  <c r="E1164" i="1"/>
  <c r="A1164" i="1"/>
  <c r="I1163" i="1"/>
  <c r="G1163" i="1"/>
  <c r="F1163" i="1"/>
  <c r="E1163" i="1"/>
  <c r="A1163" i="1"/>
  <c r="I1162" i="1"/>
  <c r="G1162" i="1"/>
  <c r="F1162" i="1"/>
  <c r="A1162" i="1"/>
  <c r="I1161" i="1"/>
  <c r="G1161" i="1"/>
  <c r="F1161" i="1"/>
  <c r="E1161" i="1"/>
  <c r="A1161" i="1"/>
  <c r="I1160" i="1"/>
  <c r="A1160" i="1" s="1"/>
  <c r="H1160" i="1"/>
  <c r="G1160" i="1"/>
  <c r="F1160" i="1"/>
  <c r="E1160" i="1"/>
  <c r="I1159" i="1"/>
  <c r="A1159" i="1" s="1"/>
  <c r="G1159" i="1"/>
  <c r="F1159" i="1"/>
  <c r="E1159" i="1"/>
  <c r="I1158" i="1"/>
  <c r="G1158" i="1"/>
  <c r="F1158" i="1"/>
  <c r="E1158" i="1"/>
  <c r="A1158" i="1"/>
  <c r="I1157" i="1"/>
  <c r="G1157" i="1"/>
  <c r="F1157" i="1"/>
  <c r="E1157" i="1"/>
  <c r="A1157" i="1"/>
  <c r="I1156" i="1"/>
  <c r="G1156" i="1"/>
  <c r="F1156" i="1"/>
  <c r="E1156" i="1"/>
  <c r="A1156" i="1"/>
  <c r="I1155" i="1"/>
  <c r="A1155" i="1" s="1"/>
  <c r="G1155" i="1"/>
  <c r="F1155" i="1"/>
  <c r="E1155" i="1"/>
  <c r="I1154" i="1"/>
  <c r="G1154" i="1"/>
  <c r="F1154" i="1"/>
  <c r="E1154" i="1"/>
  <c r="A1154" i="1"/>
  <c r="I1153" i="1"/>
  <c r="G1153" i="1"/>
  <c r="F1153" i="1"/>
  <c r="E1153" i="1"/>
  <c r="A1153" i="1"/>
  <c r="I1152" i="1"/>
  <c r="G1152" i="1"/>
  <c r="F1152" i="1"/>
  <c r="E1152" i="1"/>
  <c r="A1152" i="1"/>
  <c r="I1151" i="1"/>
  <c r="H1151" i="1"/>
  <c r="G1151" i="1"/>
  <c r="F1151" i="1"/>
  <c r="E1151" i="1"/>
  <c r="A1151" i="1"/>
  <c r="I1150" i="1"/>
  <c r="A1150" i="1" s="1"/>
  <c r="H1150" i="1"/>
  <c r="G1150" i="1"/>
  <c r="F1150" i="1"/>
  <c r="E1150" i="1"/>
  <c r="I1149" i="1"/>
  <c r="A1149" i="1" s="1"/>
  <c r="G1149" i="1"/>
  <c r="F1149" i="1"/>
  <c r="E1149" i="1"/>
  <c r="I1148" i="1"/>
  <c r="G1148" i="1"/>
  <c r="F1148" i="1"/>
  <c r="E1148" i="1"/>
  <c r="A1148" i="1"/>
  <c r="I1147" i="1"/>
  <c r="G1147" i="1"/>
  <c r="F1147" i="1"/>
  <c r="E1147" i="1"/>
  <c r="A1147" i="1"/>
  <c r="I1146" i="1"/>
  <c r="G1146" i="1"/>
  <c r="F1146" i="1"/>
  <c r="E1146" i="1"/>
  <c r="A1146" i="1"/>
  <c r="I1145" i="1"/>
  <c r="I1144" i="1"/>
  <c r="A1144" i="1"/>
  <c r="A1145" i="1" s="1"/>
  <c r="I1143" i="1"/>
  <c r="A1143" i="1" s="1"/>
  <c r="G1143" i="1"/>
  <c r="F1143" i="1"/>
  <c r="E1143" i="1"/>
  <c r="I1142" i="1"/>
  <c r="A1142" i="1" s="1"/>
  <c r="H1142" i="1"/>
  <c r="H1143" i="1" s="1"/>
  <c r="G1142" i="1"/>
  <c r="F1142" i="1"/>
  <c r="E1142" i="1"/>
  <c r="I1141" i="1"/>
  <c r="A1141" i="1" s="1"/>
  <c r="H1141" i="1"/>
  <c r="G1141" i="1"/>
  <c r="F1141" i="1"/>
  <c r="E1141" i="1"/>
  <c r="I1140" i="1"/>
  <c r="H1140" i="1"/>
  <c r="G1140" i="1"/>
  <c r="F1140" i="1"/>
  <c r="E1140" i="1"/>
  <c r="A1140" i="1"/>
  <c r="I1139" i="1"/>
  <c r="I1138" i="1"/>
  <c r="A1138" i="1"/>
  <c r="A1139" i="1" s="1"/>
  <c r="I1137" i="1"/>
  <c r="A1137" i="1" s="1"/>
  <c r="G1137" i="1"/>
  <c r="F1137" i="1"/>
  <c r="E1137" i="1"/>
  <c r="I1136" i="1"/>
  <c r="G1136" i="1"/>
  <c r="F1136" i="1"/>
  <c r="E1136" i="1"/>
  <c r="A1136" i="1"/>
  <c r="I1135" i="1"/>
  <c r="A1135" i="1" s="1"/>
  <c r="G1135" i="1"/>
  <c r="F1135" i="1"/>
  <c r="E1135" i="1"/>
  <c r="I1134" i="1"/>
  <c r="A1134" i="1" s="1"/>
  <c r="H1134" i="1"/>
  <c r="G1134" i="1"/>
  <c r="F1134" i="1"/>
  <c r="E1134" i="1"/>
  <c r="I1133" i="1"/>
  <c r="A1133" i="1" s="1"/>
  <c r="G1133" i="1"/>
  <c r="F1133" i="1"/>
  <c r="E1133" i="1"/>
  <c r="I1132" i="1"/>
  <c r="H1132" i="1"/>
  <c r="G1132" i="1"/>
  <c r="F1132" i="1"/>
  <c r="E1132" i="1"/>
  <c r="A1132" i="1"/>
  <c r="I1131" i="1"/>
  <c r="G1131" i="1"/>
  <c r="F1131" i="1"/>
  <c r="E1131" i="1"/>
  <c r="A1131" i="1"/>
  <c r="I1130" i="1"/>
  <c r="G1130" i="1"/>
  <c r="F1130" i="1"/>
  <c r="E1130" i="1"/>
  <c r="A1130" i="1"/>
  <c r="I1129" i="1"/>
  <c r="G1129" i="1"/>
  <c r="F1129" i="1"/>
  <c r="E1129" i="1"/>
  <c r="A1129" i="1"/>
  <c r="I1128" i="1"/>
  <c r="A1128" i="1" s="1"/>
  <c r="G1128" i="1"/>
  <c r="F1128" i="1"/>
  <c r="E1128" i="1"/>
  <c r="I1127" i="1"/>
  <c r="A1127" i="1" s="1"/>
  <c r="G1127" i="1"/>
  <c r="F1127" i="1"/>
  <c r="E1127" i="1"/>
  <c r="I1126" i="1"/>
  <c r="G1126" i="1"/>
  <c r="F1126" i="1"/>
  <c r="E1126" i="1"/>
  <c r="A1126" i="1"/>
  <c r="I1125" i="1"/>
  <c r="A1125" i="1" s="1"/>
  <c r="G1125" i="1"/>
  <c r="F1125" i="1"/>
  <c r="E1125" i="1"/>
  <c r="I1124" i="1"/>
  <c r="A1124" i="1" s="1"/>
  <c r="G1124" i="1"/>
  <c r="F1124" i="1"/>
  <c r="E1124" i="1"/>
  <c r="I1123" i="1"/>
  <c r="A1123" i="1" s="1"/>
  <c r="G1123" i="1"/>
  <c r="F1123" i="1"/>
  <c r="E1123" i="1"/>
  <c r="I1122" i="1"/>
  <c r="G1122" i="1"/>
  <c r="F1122" i="1"/>
  <c r="E1122" i="1"/>
  <c r="A1122" i="1"/>
  <c r="I1121" i="1"/>
  <c r="A1121" i="1"/>
  <c r="I1120" i="1"/>
  <c r="A1120" i="1"/>
  <c r="I1119" i="1"/>
  <c r="A1119" i="1" s="1"/>
  <c r="H1119" i="1"/>
  <c r="G1119" i="1"/>
  <c r="F1119" i="1"/>
  <c r="E1119" i="1"/>
  <c r="I1118" i="1"/>
  <c r="A1118" i="1" s="1"/>
  <c r="G1118" i="1"/>
  <c r="F1118" i="1"/>
  <c r="E1118" i="1"/>
  <c r="I1117" i="1"/>
  <c r="G1117" i="1"/>
  <c r="F1117" i="1"/>
  <c r="E1117" i="1"/>
  <c r="A1117" i="1"/>
  <c r="I1116" i="1"/>
  <c r="A1116" i="1" s="1"/>
  <c r="G1116" i="1"/>
  <c r="F1116" i="1"/>
  <c r="E1116" i="1"/>
  <c r="I1115" i="1"/>
  <c r="A1115" i="1" s="1"/>
  <c r="G1115" i="1"/>
  <c r="F1115" i="1"/>
  <c r="E1115" i="1"/>
  <c r="I1114" i="1"/>
  <c r="A1114" i="1" s="1"/>
  <c r="H1114" i="1"/>
  <c r="G1114" i="1"/>
  <c r="F1114" i="1"/>
  <c r="E1114" i="1"/>
  <c r="I1113" i="1"/>
  <c r="H1113" i="1"/>
  <c r="G1113" i="1"/>
  <c r="F1113" i="1"/>
  <c r="E1113" i="1"/>
  <c r="A1113" i="1"/>
  <c r="I1112" i="1"/>
  <c r="A1112" i="1" s="1"/>
  <c r="H1112" i="1"/>
  <c r="G1112" i="1"/>
  <c r="F1112" i="1"/>
  <c r="E1112" i="1"/>
  <c r="I1111" i="1"/>
  <c r="A1111" i="1" s="1"/>
  <c r="H1111" i="1"/>
  <c r="H1115" i="1" s="1"/>
  <c r="G1111" i="1"/>
  <c r="F1111" i="1"/>
  <c r="E1111" i="1"/>
  <c r="I1110" i="1"/>
  <c r="A1110" i="1" s="1"/>
  <c r="H1110" i="1"/>
  <c r="H1118" i="1" s="1"/>
  <c r="G1110" i="1"/>
  <c r="F1110" i="1"/>
  <c r="E1110" i="1"/>
  <c r="I1109" i="1"/>
  <c r="G1109" i="1"/>
  <c r="F1109" i="1"/>
  <c r="E1109" i="1"/>
  <c r="A1109" i="1"/>
  <c r="I1108" i="1"/>
  <c r="A1108" i="1" s="1"/>
  <c r="G1108" i="1"/>
  <c r="F1108" i="1"/>
  <c r="E1108" i="1"/>
  <c r="I1107" i="1"/>
  <c r="I1106" i="1"/>
  <c r="A1106" i="1" s="1"/>
  <c r="A1107" i="1" s="1"/>
  <c r="I1105" i="1"/>
  <c r="G1105" i="1"/>
  <c r="F1105" i="1"/>
  <c r="E1105" i="1"/>
  <c r="A1105" i="1"/>
  <c r="I1104" i="1"/>
  <c r="G1104" i="1"/>
  <c r="F1104" i="1"/>
  <c r="E1104" i="1"/>
  <c r="A1104" i="1"/>
  <c r="I1103" i="1"/>
  <c r="H1103" i="1"/>
  <c r="G1103" i="1"/>
  <c r="F1103" i="1"/>
  <c r="E1103" i="1"/>
  <c r="A1103" i="1"/>
  <c r="I1102" i="1"/>
  <c r="G1102" i="1"/>
  <c r="F1102" i="1"/>
  <c r="E1102" i="1"/>
  <c r="A1102" i="1"/>
  <c r="I1101" i="1"/>
  <c r="H1101" i="1"/>
  <c r="G1101" i="1"/>
  <c r="F1101" i="1"/>
  <c r="E1101" i="1"/>
  <c r="A1101" i="1"/>
  <c r="I1100" i="1"/>
  <c r="G1100" i="1"/>
  <c r="F1100" i="1"/>
  <c r="E1100" i="1"/>
  <c r="A1100" i="1"/>
  <c r="I1099" i="1"/>
  <c r="A1099" i="1" s="1"/>
  <c r="H1099" i="1"/>
  <c r="G1099" i="1"/>
  <c r="F1099" i="1"/>
  <c r="E1099" i="1"/>
  <c r="I1098" i="1"/>
  <c r="I1097" i="1"/>
  <c r="A1097" i="1" s="1"/>
  <c r="A1098" i="1" s="1"/>
  <c r="H1097" i="1"/>
  <c r="I1096" i="1"/>
  <c r="G1096" i="1"/>
  <c r="F1096" i="1"/>
  <c r="E1096" i="1"/>
  <c r="A1096" i="1"/>
  <c r="I1095" i="1"/>
  <c r="G1095" i="1"/>
  <c r="F1095" i="1"/>
  <c r="E1095" i="1"/>
  <c r="A1095" i="1"/>
  <c r="I1094" i="1"/>
  <c r="A1094" i="1" s="1"/>
  <c r="G1094" i="1"/>
  <c r="F1094" i="1"/>
  <c r="E1094" i="1"/>
  <c r="I1093" i="1"/>
  <c r="A1093" i="1" s="1"/>
  <c r="G1093" i="1"/>
  <c r="F1093" i="1"/>
  <c r="E1093" i="1"/>
  <c r="I1092" i="1"/>
  <c r="G1092" i="1"/>
  <c r="F1092" i="1"/>
  <c r="E1092" i="1"/>
  <c r="A1092" i="1"/>
  <c r="I1091" i="1"/>
  <c r="G1091" i="1"/>
  <c r="F1091" i="1"/>
  <c r="E1091" i="1"/>
  <c r="A1091" i="1"/>
  <c r="I1090" i="1"/>
  <c r="G1090" i="1"/>
  <c r="F1090" i="1"/>
  <c r="E1090" i="1"/>
  <c r="A1090" i="1"/>
  <c r="I1089" i="1"/>
  <c r="A1089" i="1" s="1"/>
  <c r="G1089" i="1"/>
  <c r="F1089" i="1"/>
  <c r="E1089" i="1"/>
  <c r="I1088" i="1"/>
  <c r="I1087" i="1"/>
  <c r="A1087" i="1"/>
  <c r="A1088" i="1" s="1"/>
  <c r="I1086" i="1"/>
  <c r="G1086" i="1"/>
  <c r="F1086" i="1"/>
  <c r="E1086" i="1"/>
  <c r="A1086" i="1"/>
  <c r="I1085" i="1"/>
  <c r="G1085" i="1"/>
  <c r="F1085" i="1"/>
  <c r="E1085" i="1"/>
  <c r="A1085" i="1"/>
  <c r="I1084" i="1"/>
  <c r="A1084" i="1" s="1"/>
  <c r="G1084" i="1"/>
  <c r="F1084" i="1"/>
  <c r="E1084" i="1"/>
  <c r="I1083" i="1"/>
  <c r="G1083" i="1"/>
  <c r="F1083" i="1"/>
  <c r="E1083" i="1"/>
  <c r="A1083" i="1"/>
  <c r="I1082" i="1"/>
  <c r="A1082" i="1" s="1"/>
  <c r="G1082" i="1"/>
  <c r="F1082" i="1"/>
  <c r="E1082" i="1"/>
  <c r="I1081" i="1"/>
  <c r="G1081" i="1"/>
  <c r="F1081" i="1"/>
  <c r="E1081" i="1"/>
  <c r="A1081" i="1"/>
  <c r="I1080" i="1"/>
  <c r="A1080" i="1"/>
  <c r="I1079" i="1"/>
  <c r="A1079" i="1"/>
  <c r="O1078" i="1"/>
  <c r="N1078" i="1"/>
  <c r="I1078" i="1"/>
  <c r="H1078" i="1"/>
  <c r="G1078" i="1"/>
  <c r="F1078" i="1"/>
  <c r="E1078" i="1"/>
  <c r="A1078" i="1"/>
  <c r="I1077" i="1"/>
  <c r="G1077" i="1"/>
  <c r="F1077" i="1"/>
  <c r="E1077" i="1"/>
  <c r="A1077" i="1"/>
  <c r="I1076" i="1"/>
  <c r="G1076" i="1"/>
  <c r="F1076" i="1"/>
  <c r="E1076" i="1"/>
  <c r="A1076" i="1"/>
  <c r="I1075" i="1"/>
  <c r="G1075" i="1"/>
  <c r="F1075" i="1"/>
  <c r="E1075" i="1"/>
  <c r="A1075" i="1"/>
  <c r="I1074" i="1"/>
  <c r="I1073" i="1"/>
  <c r="A1073" i="1"/>
  <c r="A1074" i="1" s="1"/>
  <c r="O1072" i="1"/>
  <c r="H1071" i="1" s="1"/>
  <c r="N1072" i="1"/>
  <c r="I1072" i="1"/>
  <c r="H1072" i="1"/>
  <c r="G1072" i="1"/>
  <c r="F1072" i="1"/>
  <c r="E1072" i="1"/>
  <c r="A1072" i="1"/>
  <c r="I1071" i="1"/>
  <c r="A1071" i="1" s="1"/>
  <c r="G1071" i="1"/>
  <c r="F1071" i="1"/>
  <c r="E1071" i="1"/>
  <c r="I1070" i="1"/>
  <c r="A1070" i="1" s="1"/>
  <c r="H1070" i="1"/>
  <c r="G1070" i="1"/>
  <c r="F1070" i="1"/>
  <c r="E1070" i="1"/>
  <c r="I1069" i="1"/>
  <c r="A1069" i="1" s="1"/>
  <c r="H1069" i="1"/>
  <c r="G1069" i="1"/>
  <c r="F1069" i="1"/>
  <c r="E1069" i="1"/>
  <c r="I1068" i="1"/>
  <c r="I1067" i="1"/>
  <c r="A1067" i="1" s="1"/>
  <c r="A1068" i="1" s="1"/>
  <c r="I1066" i="1"/>
  <c r="A1066" i="1" s="1"/>
  <c r="G1066" i="1"/>
  <c r="F1066" i="1"/>
  <c r="E1066" i="1"/>
  <c r="I1065" i="1"/>
  <c r="A1065" i="1" s="1"/>
  <c r="H1065" i="1"/>
  <c r="G1065" i="1"/>
  <c r="F1065" i="1"/>
  <c r="E1065" i="1"/>
  <c r="I1064" i="1"/>
  <c r="H1064" i="1"/>
  <c r="G1064" i="1"/>
  <c r="E1064" i="1"/>
  <c r="B1064" i="1"/>
  <c r="F1064" i="1" s="1"/>
  <c r="A1064" i="1"/>
  <c r="I1063" i="1"/>
  <c r="G1063" i="1"/>
  <c r="E1063" i="1"/>
  <c r="B1063" i="1"/>
  <c r="F1063" i="1" s="1"/>
  <c r="A1063" i="1"/>
  <c r="I1062" i="1"/>
  <c r="G1062" i="1"/>
  <c r="F1062" i="1"/>
  <c r="E1062" i="1"/>
  <c r="A1062" i="1"/>
  <c r="I1061" i="1"/>
  <c r="G1061" i="1"/>
  <c r="F1061" i="1"/>
  <c r="E1061" i="1"/>
  <c r="A1061" i="1"/>
  <c r="I1060" i="1"/>
  <c r="G1060" i="1"/>
  <c r="F1060" i="1"/>
  <c r="E1060" i="1"/>
  <c r="A1060" i="1"/>
  <c r="I1059" i="1"/>
  <c r="G1059" i="1"/>
  <c r="F1059" i="1"/>
  <c r="E1059" i="1"/>
  <c r="A1059" i="1"/>
  <c r="I1058" i="1"/>
  <c r="A1058" i="1" s="1"/>
  <c r="G1058" i="1"/>
  <c r="F1058" i="1"/>
  <c r="E1058" i="1"/>
  <c r="I1057" i="1"/>
  <c r="G1057" i="1"/>
  <c r="F1057" i="1"/>
  <c r="E1057" i="1"/>
  <c r="A1057" i="1"/>
  <c r="I1056" i="1"/>
  <c r="G1056" i="1"/>
  <c r="F1056" i="1"/>
  <c r="E1056" i="1"/>
  <c r="A1056" i="1"/>
  <c r="I1055" i="1"/>
  <c r="G1055" i="1"/>
  <c r="F1055" i="1"/>
  <c r="E1055" i="1"/>
  <c r="A1055" i="1"/>
  <c r="I1054" i="1"/>
  <c r="G1054" i="1"/>
  <c r="F1054" i="1"/>
  <c r="E1054" i="1"/>
  <c r="A1054" i="1"/>
  <c r="I1053" i="1"/>
  <c r="G1053" i="1"/>
  <c r="F1053" i="1"/>
  <c r="E1053" i="1"/>
  <c r="A1053" i="1"/>
  <c r="I1052" i="1"/>
  <c r="G1052" i="1"/>
  <c r="F1052" i="1"/>
  <c r="E1052" i="1"/>
  <c r="A1052" i="1"/>
  <c r="I1051" i="1"/>
  <c r="A1051" i="1" s="1"/>
  <c r="G1051" i="1"/>
  <c r="F1051" i="1"/>
  <c r="E1051" i="1"/>
  <c r="I1050" i="1"/>
  <c r="G1050" i="1"/>
  <c r="F1050" i="1"/>
  <c r="E1050" i="1"/>
  <c r="A1050" i="1"/>
  <c r="I1049" i="1"/>
  <c r="G1049" i="1"/>
  <c r="F1049" i="1"/>
  <c r="E1049" i="1"/>
  <c r="A1049" i="1"/>
  <c r="I1048" i="1"/>
  <c r="A1048" i="1" s="1"/>
  <c r="G1048" i="1"/>
  <c r="F1048" i="1"/>
  <c r="E1048" i="1"/>
  <c r="I1047" i="1"/>
  <c r="A1047" i="1"/>
  <c r="I1046" i="1"/>
  <c r="A1046" i="1" s="1"/>
  <c r="I1045" i="1"/>
  <c r="F1045" i="1"/>
  <c r="E1045" i="1"/>
  <c r="A1045" i="1"/>
  <c r="I1044" i="1"/>
  <c r="A1044" i="1" s="1"/>
  <c r="F1044" i="1"/>
  <c r="E1044" i="1"/>
  <c r="I1043" i="1"/>
  <c r="A1043" i="1" s="1"/>
  <c r="F1043" i="1"/>
  <c r="E1043" i="1"/>
  <c r="I1042" i="1"/>
  <c r="F1042" i="1"/>
  <c r="E1042" i="1"/>
  <c r="A1042" i="1"/>
  <c r="I1041" i="1"/>
  <c r="F1041" i="1"/>
  <c r="E1041" i="1"/>
  <c r="A1041" i="1"/>
  <c r="I1040" i="1"/>
  <c r="F1040" i="1"/>
  <c r="E1040" i="1"/>
  <c r="A1040" i="1"/>
  <c r="I1039" i="1"/>
  <c r="F1039" i="1"/>
  <c r="E1039" i="1"/>
  <c r="A1039" i="1"/>
  <c r="I1038" i="1"/>
  <c r="A1038" i="1"/>
  <c r="I1037" i="1"/>
  <c r="A1037" i="1"/>
  <c r="I1036" i="1"/>
  <c r="A1036" i="1" s="1"/>
  <c r="F1036" i="1"/>
  <c r="E1036" i="1"/>
  <c r="I1035" i="1"/>
  <c r="F1035" i="1"/>
  <c r="E1035" i="1"/>
  <c r="A1035" i="1"/>
  <c r="I1034" i="1"/>
  <c r="A1034" i="1" s="1"/>
  <c r="F1034" i="1"/>
  <c r="E1034" i="1"/>
  <c r="I1033" i="1"/>
  <c r="F1033" i="1"/>
  <c r="E1033" i="1"/>
  <c r="A1033" i="1"/>
  <c r="I1032" i="1"/>
  <c r="A1032" i="1" s="1"/>
  <c r="F1032" i="1"/>
  <c r="E1032" i="1"/>
  <c r="I1031" i="1"/>
  <c r="A1031" i="1" s="1"/>
  <c r="F1031" i="1"/>
  <c r="E1031" i="1"/>
  <c r="I1030" i="1"/>
  <c r="A1030" i="1"/>
  <c r="I1029" i="1"/>
  <c r="A1029" i="1"/>
  <c r="I1028" i="1"/>
  <c r="A1028" i="1" s="1"/>
  <c r="F1028" i="1"/>
  <c r="E1028" i="1"/>
  <c r="I1027" i="1"/>
  <c r="A1027" i="1" s="1"/>
  <c r="F1027" i="1"/>
  <c r="E1027" i="1"/>
  <c r="I1026" i="1"/>
  <c r="H1026" i="1"/>
  <c r="G1026" i="1"/>
  <c r="F1026" i="1"/>
  <c r="E1026" i="1"/>
  <c r="A1026" i="1"/>
  <c r="I1025" i="1"/>
  <c r="G1025" i="1"/>
  <c r="F1025" i="1"/>
  <c r="E1025" i="1"/>
  <c r="A1025" i="1"/>
  <c r="I1024" i="1"/>
  <c r="A1024" i="1" s="1"/>
  <c r="G1024" i="1"/>
  <c r="F1024" i="1"/>
  <c r="E1024" i="1"/>
  <c r="I1023" i="1"/>
  <c r="A1023" i="1" s="1"/>
  <c r="G1023" i="1"/>
  <c r="F1023" i="1"/>
  <c r="E1023" i="1"/>
  <c r="I1022" i="1"/>
  <c r="G1022" i="1"/>
  <c r="F1022" i="1"/>
  <c r="E1022" i="1"/>
  <c r="A1022" i="1"/>
  <c r="I1021" i="1"/>
  <c r="I1020" i="1"/>
  <c r="H1020" i="1"/>
  <c r="A1020" i="1"/>
  <c r="A1021" i="1" s="1"/>
  <c r="I1019" i="1"/>
  <c r="A1019" i="1" s="1"/>
  <c r="H1019" i="1"/>
  <c r="G1019" i="1"/>
  <c r="F1019" i="1"/>
  <c r="E1019" i="1"/>
  <c r="I1018" i="1"/>
  <c r="G1018" i="1"/>
  <c r="F1018" i="1"/>
  <c r="E1018" i="1"/>
  <c r="A1018" i="1"/>
  <c r="I1017" i="1"/>
  <c r="G1017" i="1"/>
  <c r="F1017" i="1"/>
  <c r="E1017" i="1"/>
  <c r="A1017" i="1"/>
  <c r="I1016" i="1"/>
  <c r="A1016" i="1" s="1"/>
  <c r="G1016" i="1"/>
  <c r="F1016" i="1"/>
  <c r="E1016" i="1"/>
  <c r="I1015" i="1"/>
  <c r="I1014" i="1"/>
  <c r="A1014" i="1" s="1"/>
  <c r="A1015" i="1" s="1"/>
  <c r="H1014" i="1"/>
  <c r="H1016" i="1" s="1"/>
  <c r="I1013" i="1"/>
  <c r="A1013" i="1" s="1"/>
  <c r="G1013" i="1"/>
  <c r="F1013" i="1"/>
  <c r="E1013" i="1"/>
  <c r="I1012" i="1"/>
  <c r="G1012" i="1"/>
  <c r="F1012" i="1"/>
  <c r="E1012" i="1"/>
  <c r="A1012" i="1"/>
  <c r="I1011" i="1"/>
  <c r="G1011" i="1"/>
  <c r="F1011" i="1"/>
  <c r="E1011" i="1"/>
  <c r="A1011" i="1"/>
  <c r="I1010" i="1"/>
  <c r="A1010" i="1" s="1"/>
  <c r="G1010" i="1"/>
  <c r="F1010" i="1"/>
  <c r="E1010" i="1"/>
  <c r="I1009" i="1"/>
  <c r="G1009" i="1"/>
  <c r="F1009" i="1"/>
  <c r="E1009" i="1"/>
  <c r="A1009" i="1"/>
  <c r="I1008" i="1"/>
  <c r="I1007" i="1"/>
  <c r="H1007" i="1"/>
  <c r="H1009" i="1" s="1"/>
  <c r="A1007" i="1"/>
  <c r="A1008" i="1" s="1"/>
  <c r="I1006" i="1"/>
  <c r="A1006" i="1" s="1"/>
  <c r="H1006" i="1"/>
  <c r="G1006" i="1"/>
  <c r="F1006" i="1"/>
  <c r="E1006" i="1"/>
  <c r="I1005" i="1"/>
  <c r="A1005" i="1" s="1"/>
  <c r="G1005" i="1"/>
  <c r="F1005" i="1"/>
  <c r="E1005" i="1"/>
  <c r="I1004" i="1"/>
  <c r="H1004" i="1"/>
  <c r="H1005" i="1" s="1"/>
  <c r="G1004" i="1"/>
  <c r="F1004" i="1"/>
  <c r="E1004" i="1"/>
  <c r="A1004" i="1"/>
  <c r="I1003" i="1"/>
  <c r="G1003" i="1"/>
  <c r="F1003" i="1"/>
  <c r="E1003" i="1"/>
  <c r="A1003" i="1"/>
  <c r="I1002" i="1"/>
  <c r="G1002" i="1"/>
  <c r="F1002" i="1"/>
  <c r="E1002" i="1"/>
  <c r="A1002" i="1"/>
  <c r="I1001" i="1"/>
  <c r="I1000" i="1"/>
  <c r="A1000" i="1" s="1"/>
  <c r="A1001" i="1" s="1"/>
  <c r="H1000" i="1"/>
  <c r="I999" i="1"/>
  <c r="G999" i="1"/>
  <c r="F999" i="1"/>
  <c r="E999" i="1"/>
  <c r="A999" i="1"/>
  <c r="I998" i="1"/>
  <c r="A998" i="1" s="1"/>
  <c r="E998" i="1"/>
  <c r="I997" i="1"/>
  <c r="G997" i="1"/>
  <c r="F997" i="1"/>
  <c r="E997" i="1"/>
  <c r="A997" i="1"/>
  <c r="I996" i="1"/>
  <c r="G996" i="1"/>
  <c r="F996" i="1"/>
  <c r="E996" i="1"/>
  <c r="A996" i="1"/>
  <c r="I995" i="1"/>
  <c r="G995" i="1"/>
  <c r="F995" i="1"/>
  <c r="E995" i="1"/>
  <c r="A995" i="1"/>
  <c r="I994" i="1"/>
  <c r="G994" i="1"/>
  <c r="F994" i="1"/>
  <c r="E994" i="1"/>
  <c r="A994" i="1"/>
  <c r="I993" i="1"/>
  <c r="A993" i="1" s="1"/>
  <c r="G993" i="1"/>
  <c r="F993" i="1"/>
  <c r="E993" i="1"/>
  <c r="I992" i="1"/>
  <c r="G992" i="1"/>
  <c r="F992" i="1"/>
  <c r="E992" i="1"/>
  <c r="A992" i="1"/>
  <c r="I991" i="1"/>
  <c r="G991" i="1"/>
  <c r="F991" i="1"/>
  <c r="E991" i="1"/>
  <c r="A991" i="1"/>
  <c r="I990" i="1"/>
  <c r="A990" i="1" s="1"/>
  <c r="G990" i="1"/>
  <c r="F990" i="1"/>
  <c r="E990" i="1"/>
  <c r="I989" i="1"/>
  <c r="G989" i="1"/>
  <c r="F989" i="1"/>
  <c r="E989" i="1"/>
  <c r="A989" i="1"/>
  <c r="I988" i="1"/>
  <c r="G988" i="1"/>
  <c r="F988" i="1"/>
  <c r="E988" i="1"/>
  <c r="A988" i="1"/>
  <c r="I987" i="1"/>
  <c r="A987" i="1" s="1"/>
  <c r="G987" i="1"/>
  <c r="F987" i="1"/>
  <c r="E987" i="1"/>
  <c r="I986" i="1"/>
  <c r="G986" i="1"/>
  <c r="F986" i="1"/>
  <c r="E986" i="1"/>
  <c r="A986" i="1"/>
  <c r="I985" i="1"/>
  <c r="A985" i="1"/>
  <c r="I984" i="1"/>
  <c r="D984" i="1"/>
  <c r="A984" i="1"/>
  <c r="I983" i="1"/>
  <c r="A983" i="1" s="1"/>
  <c r="H983" i="1"/>
  <c r="G983" i="1"/>
  <c r="F983" i="1"/>
  <c r="E983" i="1"/>
  <c r="I982" i="1"/>
  <c r="H982" i="1"/>
  <c r="G982" i="1"/>
  <c r="F982" i="1"/>
  <c r="E982" i="1"/>
  <c r="A982" i="1"/>
  <c r="I981" i="1"/>
  <c r="A981" i="1" s="1"/>
  <c r="H981" i="1"/>
  <c r="G981" i="1"/>
  <c r="F981" i="1"/>
  <c r="E981" i="1"/>
  <c r="I980" i="1"/>
  <c r="A980" i="1" s="1"/>
  <c r="H980" i="1"/>
  <c r="G980" i="1"/>
  <c r="F980" i="1"/>
  <c r="E980" i="1"/>
  <c r="I979" i="1"/>
  <c r="A979" i="1" s="1"/>
  <c r="H979" i="1"/>
  <c r="G979" i="1"/>
  <c r="F979" i="1"/>
  <c r="E979" i="1"/>
  <c r="I978" i="1"/>
  <c r="H978" i="1"/>
  <c r="G978" i="1"/>
  <c r="F978" i="1"/>
  <c r="E978" i="1"/>
  <c r="A978" i="1"/>
  <c r="I977" i="1"/>
  <c r="I976" i="1"/>
  <c r="A976" i="1"/>
  <c r="A977" i="1" s="1"/>
  <c r="I975" i="1"/>
  <c r="G975" i="1"/>
  <c r="B975" i="1"/>
  <c r="E975" i="1" s="1"/>
  <c r="A975" i="1"/>
  <c r="I974" i="1"/>
  <c r="G974" i="1"/>
  <c r="F974" i="1"/>
  <c r="E974" i="1"/>
  <c r="B974" i="1"/>
  <c r="A974" i="1"/>
  <c r="I973" i="1"/>
  <c r="A973" i="1" s="1"/>
  <c r="G973" i="1"/>
  <c r="F973" i="1"/>
  <c r="I972" i="1"/>
  <c r="G972" i="1"/>
  <c r="F972" i="1"/>
  <c r="E972" i="1"/>
  <c r="A972" i="1"/>
  <c r="I971" i="1"/>
  <c r="A971" i="1" s="1"/>
  <c r="I970" i="1"/>
  <c r="F970" i="1"/>
  <c r="E970" i="1"/>
  <c r="B970" i="1"/>
  <c r="G970" i="1" s="1"/>
  <c r="A970" i="1"/>
  <c r="I969" i="1"/>
  <c r="G969" i="1"/>
  <c r="E969" i="1"/>
  <c r="B969" i="1"/>
  <c r="F969" i="1" s="1"/>
  <c r="A969" i="1"/>
  <c r="I968" i="1"/>
  <c r="A968" i="1" s="1"/>
  <c r="G968" i="1"/>
  <c r="F968" i="1"/>
  <c r="I967" i="1"/>
  <c r="A967" i="1" s="1"/>
  <c r="G967" i="1"/>
  <c r="F967" i="1"/>
  <c r="E967" i="1"/>
  <c r="I966" i="1"/>
  <c r="A966" i="1" s="1"/>
  <c r="I965" i="1"/>
  <c r="A965" i="1" s="1"/>
  <c r="G965" i="1"/>
  <c r="F965" i="1"/>
  <c r="E965" i="1"/>
  <c r="I964" i="1"/>
  <c r="A964" i="1" s="1"/>
  <c r="G964" i="1"/>
  <c r="F964" i="1"/>
  <c r="I963" i="1"/>
  <c r="A963" i="1" s="1"/>
  <c r="G963" i="1"/>
  <c r="F963" i="1"/>
  <c r="I962" i="1"/>
  <c r="A962" i="1"/>
  <c r="I961" i="1"/>
  <c r="G961" i="1"/>
  <c r="F961" i="1"/>
  <c r="E961" i="1"/>
  <c r="A961" i="1"/>
  <c r="I960" i="1"/>
  <c r="G960" i="1"/>
  <c r="F960" i="1"/>
  <c r="A960" i="1"/>
  <c r="I959" i="1"/>
  <c r="G959" i="1"/>
  <c r="F959" i="1"/>
  <c r="A959" i="1"/>
  <c r="I958" i="1"/>
  <c r="A958" i="1" s="1"/>
  <c r="I957" i="1"/>
  <c r="A957" i="1"/>
  <c r="I956" i="1"/>
  <c r="A956" i="1"/>
  <c r="I955" i="1"/>
  <c r="A955" i="1" s="1"/>
  <c r="G955" i="1"/>
  <c r="F955" i="1"/>
  <c r="E955" i="1"/>
  <c r="I954" i="1"/>
  <c r="A954" i="1" s="1"/>
  <c r="G954" i="1"/>
  <c r="F954" i="1"/>
  <c r="E954" i="1"/>
  <c r="I953" i="1"/>
  <c r="A953" i="1" s="1"/>
  <c r="G953" i="1"/>
  <c r="F953" i="1"/>
  <c r="E953" i="1"/>
  <c r="I952" i="1"/>
  <c r="G952" i="1"/>
  <c r="F952" i="1"/>
  <c r="E952" i="1"/>
  <c r="A952" i="1"/>
  <c r="I951" i="1"/>
  <c r="A951" i="1" s="1"/>
  <c r="G951" i="1"/>
  <c r="F951" i="1"/>
  <c r="E951" i="1"/>
  <c r="I950" i="1"/>
  <c r="A950" i="1" s="1"/>
  <c r="F950" i="1"/>
  <c r="B950" i="1"/>
  <c r="G950" i="1" s="1"/>
  <c r="I949" i="1"/>
  <c r="A949" i="1" s="1"/>
  <c r="G949" i="1"/>
  <c r="F949" i="1"/>
  <c r="E949" i="1"/>
  <c r="I948" i="1"/>
  <c r="H948" i="1"/>
  <c r="G948" i="1"/>
  <c r="F948" i="1"/>
  <c r="E948" i="1"/>
  <c r="A948" i="1"/>
  <c r="I947" i="1"/>
  <c r="A947" i="1" s="1"/>
  <c r="I946" i="1"/>
  <c r="A946" i="1" s="1"/>
  <c r="D946" i="1"/>
  <c r="I945" i="1"/>
  <c r="A945" i="1" s="1"/>
  <c r="I944" i="1"/>
  <c r="A944" i="1"/>
  <c r="A943" i="1"/>
  <c r="I942" i="1"/>
  <c r="A942" i="1" s="1"/>
  <c r="G942" i="1"/>
  <c r="F942" i="1"/>
  <c r="E942" i="1"/>
  <c r="I941" i="1"/>
  <c r="A941" i="1" s="1"/>
  <c r="G941" i="1"/>
  <c r="F941" i="1"/>
  <c r="E941" i="1"/>
  <c r="I940" i="1"/>
  <c r="G940" i="1"/>
  <c r="F940" i="1"/>
  <c r="E940" i="1"/>
  <c r="A940" i="1"/>
  <c r="I939" i="1"/>
  <c r="G939" i="1"/>
  <c r="F939" i="1"/>
  <c r="E939" i="1"/>
  <c r="A939" i="1"/>
  <c r="I938" i="1"/>
  <c r="G938" i="1"/>
  <c r="F938" i="1"/>
  <c r="E938" i="1"/>
  <c r="A938" i="1"/>
  <c r="I937" i="1"/>
  <c r="G937" i="1"/>
  <c r="F937" i="1"/>
  <c r="E937" i="1"/>
  <c r="A937" i="1"/>
  <c r="I936" i="1"/>
  <c r="A936" i="1" s="1"/>
  <c r="G936" i="1"/>
  <c r="F936" i="1"/>
  <c r="I935" i="1"/>
  <c r="A935" i="1" s="1"/>
  <c r="G935" i="1"/>
  <c r="F935" i="1"/>
  <c r="I934" i="1"/>
  <c r="A934" i="1" s="1"/>
  <c r="F934" i="1"/>
  <c r="B934" i="1"/>
  <c r="G934" i="1" s="1"/>
  <c r="I933" i="1"/>
  <c r="A933" i="1" s="1"/>
  <c r="B933" i="1"/>
  <c r="G933" i="1" s="1"/>
  <c r="I932" i="1"/>
  <c r="A932" i="1" s="1"/>
  <c r="B932" i="1"/>
  <c r="G932" i="1" s="1"/>
  <c r="I931" i="1"/>
  <c r="G931" i="1"/>
  <c r="F931" i="1"/>
  <c r="A931" i="1"/>
  <c r="I930" i="1"/>
  <c r="A930" i="1" s="1"/>
  <c r="G930" i="1"/>
  <c r="F930" i="1"/>
  <c r="B930" i="1"/>
  <c r="I929" i="1"/>
  <c r="A929" i="1" s="1"/>
  <c r="F929" i="1"/>
  <c r="B929" i="1"/>
  <c r="G929" i="1" s="1"/>
  <c r="I928" i="1"/>
  <c r="A928" i="1" s="1"/>
  <c r="B928" i="1"/>
  <c r="G928" i="1" s="1"/>
  <c r="I927" i="1"/>
  <c r="A927" i="1" s="1"/>
  <c r="B927" i="1"/>
  <c r="G927" i="1" s="1"/>
  <c r="I926" i="1"/>
  <c r="G926" i="1"/>
  <c r="F926" i="1"/>
  <c r="A926" i="1"/>
  <c r="I925" i="1"/>
  <c r="A925" i="1" s="1"/>
  <c r="G925" i="1"/>
  <c r="F925" i="1"/>
  <c r="I924" i="1"/>
  <c r="A924" i="1" s="1"/>
  <c r="G924" i="1"/>
  <c r="I923" i="1"/>
  <c r="A923" i="1" s="1"/>
  <c r="I922" i="1"/>
  <c r="A922" i="1"/>
  <c r="I921" i="1"/>
  <c r="A921" i="1" s="1"/>
  <c r="G921" i="1"/>
  <c r="F921" i="1"/>
  <c r="I920" i="1"/>
  <c r="A920" i="1" s="1"/>
  <c r="G920" i="1"/>
  <c r="F920" i="1"/>
  <c r="I919" i="1"/>
  <c r="G919" i="1"/>
  <c r="G918" i="1"/>
  <c r="F918" i="1"/>
  <c r="H917" i="1"/>
  <c r="I917" i="1" s="1"/>
  <c r="A917" i="1" s="1"/>
  <c r="G917" i="1"/>
  <c r="F917" i="1"/>
  <c r="E917" i="1"/>
  <c r="H916" i="1"/>
  <c r="I916" i="1" s="1"/>
  <c r="A916" i="1" s="1"/>
  <c r="G916" i="1"/>
  <c r="F916" i="1"/>
  <c r="E916" i="1"/>
  <c r="I915" i="1"/>
  <c r="A915" i="1" s="1"/>
  <c r="G915" i="1"/>
  <c r="F915" i="1"/>
  <c r="E915" i="1"/>
  <c r="I914" i="1"/>
  <c r="G914" i="1"/>
  <c r="F914" i="1"/>
  <c r="E914" i="1"/>
  <c r="A914" i="1"/>
  <c r="G913" i="1"/>
  <c r="F913" i="1"/>
  <c r="E913" i="1"/>
  <c r="G912" i="1"/>
  <c r="F912" i="1"/>
  <c r="B912" i="1"/>
  <c r="E912" i="1" s="1"/>
  <c r="I911" i="1"/>
  <c r="G911" i="1"/>
  <c r="F911" i="1"/>
  <c r="E911" i="1"/>
  <c r="A911" i="1"/>
  <c r="I910" i="1"/>
  <c r="G910" i="1"/>
  <c r="F910" i="1"/>
  <c r="E910" i="1"/>
  <c r="A910" i="1"/>
  <c r="I909" i="1"/>
  <c r="G909" i="1"/>
  <c r="F909" i="1"/>
  <c r="E909" i="1"/>
  <c r="A909" i="1"/>
  <c r="I908" i="1"/>
  <c r="A908" i="1" s="1"/>
  <c r="G908" i="1"/>
  <c r="F908" i="1"/>
  <c r="E908" i="1"/>
  <c r="I907" i="1"/>
  <c r="F907" i="1"/>
  <c r="E907" i="1"/>
  <c r="B907" i="1"/>
  <c r="G907" i="1" s="1"/>
  <c r="A907" i="1"/>
  <c r="I906" i="1"/>
  <c r="G906" i="1"/>
  <c r="F906" i="1"/>
  <c r="B906" i="1"/>
  <c r="E906" i="1" s="1"/>
  <c r="A906" i="1"/>
  <c r="I905" i="1"/>
  <c r="A905" i="1" s="1"/>
  <c r="G905" i="1"/>
  <c r="B905" i="1"/>
  <c r="F905" i="1" s="1"/>
  <c r="I904" i="1"/>
  <c r="A904" i="1" s="1"/>
  <c r="G904" i="1"/>
  <c r="F904" i="1"/>
  <c r="E904" i="1"/>
  <c r="I903" i="1"/>
  <c r="G903" i="1"/>
  <c r="F903" i="1"/>
  <c r="E903" i="1"/>
  <c r="A903" i="1"/>
  <c r="I902" i="1"/>
  <c r="G902" i="1"/>
  <c r="F902" i="1"/>
  <c r="E902" i="1"/>
  <c r="A902" i="1"/>
  <c r="G901" i="1"/>
  <c r="E901" i="1"/>
  <c r="B901" i="1"/>
  <c r="F901" i="1" s="1"/>
  <c r="I900" i="1"/>
  <c r="F900" i="1"/>
  <c r="E900" i="1"/>
  <c r="B900" i="1"/>
  <c r="G900" i="1" s="1"/>
  <c r="A900" i="1"/>
  <c r="G899" i="1"/>
  <c r="B899" i="1"/>
  <c r="F899" i="1" s="1"/>
  <c r="I898" i="1"/>
  <c r="A898" i="1" s="1"/>
  <c r="G898" i="1"/>
  <c r="F898" i="1"/>
  <c r="E898" i="1"/>
  <c r="B898" i="1"/>
  <c r="I897" i="1"/>
  <c r="A897" i="1" s="1"/>
  <c r="G897" i="1"/>
  <c r="F897" i="1"/>
  <c r="E897" i="1"/>
  <c r="I896" i="1"/>
  <c r="A896" i="1" s="1"/>
  <c r="G896" i="1"/>
  <c r="F896" i="1"/>
  <c r="E896" i="1"/>
  <c r="I895" i="1"/>
  <c r="A895" i="1" s="1"/>
  <c r="G895" i="1"/>
  <c r="F895" i="1"/>
  <c r="E895" i="1"/>
  <c r="I894" i="1"/>
  <c r="A894" i="1" s="1"/>
  <c r="G894" i="1"/>
  <c r="F894" i="1"/>
  <c r="E894" i="1"/>
  <c r="I893" i="1"/>
  <c r="G893" i="1"/>
  <c r="F893" i="1"/>
  <c r="E893" i="1"/>
  <c r="A893" i="1"/>
  <c r="I892" i="1"/>
  <c r="H890" i="1"/>
  <c r="I890" i="1" s="1"/>
  <c r="A890" i="1" s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I883" i="1"/>
  <c r="G883" i="1"/>
  <c r="F883" i="1"/>
  <c r="E883" i="1"/>
  <c r="A883" i="1"/>
  <c r="I882" i="1"/>
  <c r="G880" i="1"/>
  <c r="F880" i="1"/>
  <c r="G879" i="1"/>
  <c r="F879" i="1"/>
  <c r="E879" i="1"/>
  <c r="G878" i="1"/>
  <c r="F878" i="1"/>
  <c r="E878" i="1"/>
  <c r="I877" i="1"/>
  <c r="H875" i="1"/>
  <c r="I875" i="1" s="1"/>
  <c r="A875" i="1" s="1"/>
  <c r="G875" i="1"/>
  <c r="B875" i="1"/>
  <c r="F875" i="1" s="1"/>
  <c r="I874" i="1"/>
  <c r="A874" i="1" s="1"/>
  <c r="G874" i="1"/>
  <c r="F874" i="1"/>
  <c r="E874" i="1"/>
  <c r="B874" i="1"/>
  <c r="I873" i="1"/>
  <c r="H873" i="1"/>
  <c r="G873" i="1"/>
  <c r="F873" i="1"/>
  <c r="E873" i="1"/>
  <c r="A873" i="1"/>
  <c r="I872" i="1"/>
  <c r="G872" i="1"/>
  <c r="F872" i="1"/>
  <c r="E872" i="1"/>
  <c r="A872" i="1"/>
  <c r="I871" i="1"/>
  <c r="A871" i="1" s="1"/>
  <c r="G871" i="1"/>
  <c r="E871" i="1"/>
  <c r="I870" i="1"/>
  <c r="G870" i="1"/>
  <c r="F870" i="1"/>
  <c r="E870" i="1"/>
  <c r="A870" i="1"/>
  <c r="I869" i="1"/>
  <c r="G869" i="1"/>
  <c r="F869" i="1"/>
  <c r="E869" i="1"/>
  <c r="A869" i="1"/>
  <c r="I868" i="1"/>
  <c r="G868" i="1"/>
  <c r="F868" i="1"/>
  <c r="E868" i="1"/>
  <c r="A868" i="1"/>
  <c r="I867" i="1"/>
  <c r="G867" i="1"/>
  <c r="F867" i="1"/>
  <c r="E867" i="1"/>
  <c r="A867" i="1"/>
  <c r="I866" i="1"/>
  <c r="G866" i="1"/>
  <c r="F866" i="1"/>
  <c r="E866" i="1"/>
  <c r="A866" i="1"/>
  <c r="I865" i="1"/>
  <c r="A865" i="1" s="1"/>
  <c r="G865" i="1"/>
  <c r="F865" i="1"/>
  <c r="E865" i="1"/>
  <c r="I864" i="1"/>
  <c r="A864" i="1" s="1"/>
  <c r="G864" i="1"/>
  <c r="F864" i="1"/>
  <c r="E864" i="1"/>
  <c r="I863" i="1"/>
  <c r="A863" i="1" s="1"/>
  <c r="G863" i="1"/>
  <c r="F863" i="1"/>
  <c r="E863" i="1"/>
  <c r="I862" i="1"/>
  <c r="G862" i="1"/>
  <c r="F862" i="1"/>
  <c r="E862" i="1"/>
  <c r="A862" i="1"/>
  <c r="I861" i="1"/>
  <c r="G861" i="1"/>
  <c r="F861" i="1"/>
  <c r="E861" i="1"/>
  <c r="A861" i="1"/>
  <c r="I860" i="1"/>
  <c r="G858" i="1"/>
  <c r="F858" i="1"/>
  <c r="E858" i="1"/>
  <c r="I857" i="1"/>
  <c r="A857" i="1" s="1"/>
  <c r="G857" i="1"/>
  <c r="F857" i="1"/>
  <c r="E857" i="1"/>
  <c r="I856" i="1"/>
  <c r="A856" i="1" s="1"/>
  <c r="G856" i="1"/>
  <c r="F856" i="1"/>
  <c r="E856" i="1"/>
  <c r="G855" i="1"/>
  <c r="F855" i="1"/>
  <c r="E855" i="1"/>
  <c r="G854" i="1"/>
  <c r="F854" i="1"/>
  <c r="E854" i="1"/>
  <c r="I853" i="1"/>
  <c r="G853" i="1"/>
  <c r="F853" i="1"/>
  <c r="E853" i="1"/>
  <c r="A853" i="1"/>
  <c r="I852" i="1"/>
  <c r="A852" i="1" s="1"/>
  <c r="G852" i="1"/>
  <c r="F852" i="1"/>
  <c r="E852" i="1"/>
  <c r="I851" i="1"/>
  <c r="G849" i="1"/>
  <c r="E849" i="1"/>
  <c r="B849" i="1"/>
  <c r="F849" i="1" s="1"/>
  <c r="F848" i="1"/>
  <c r="B848" i="1"/>
  <c r="G848" i="1" s="1"/>
  <c r="G847" i="1"/>
  <c r="F847" i="1"/>
  <c r="E847" i="1"/>
  <c r="G846" i="1"/>
  <c r="F846" i="1"/>
  <c r="E846" i="1"/>
  <c r="I845" i="1"/>
  <c r="G843" i="1"/>
  <c r="F843" i="1"/>
  <c r="G842" i="1"/>
  <c r="F842" i="1"/>
  <c r="G841" i="1"/>
  <c r="F841" i="1"/>
  <c r="E841" i="1"/>
  <c r="I840" i="1"/>
  <c r="I838" i="1"/>
  <c r="G838" i="1"/>
  <c r="F838" i="1"/>
  <c r="E838" i="1"/>
  <c r="A838" i="1"/>
  <c r="G837" i="1"/>
  <c r="F837" i="1"/>
  <c r="E837" i="1"/>
  <c r="G836" i="1"/>
  <c r="F836" i="1"/>
  <c r="E836" i="1"/>
  <c r="G835" i="1"/>
  <c r="F835" i="1"/>
  <c r="E835" i="1"/>
  <c r="I834" i="1"/>
  <c r="I832" i="1"/>
  <c r="A832" i="1"/>
  <c r="I831" i="1"/>
  <c r="A831" i="1" s="1"/>
  <c r="I830" i="1"/>
  <c r="A830" i="1" s="1"/>
  <c r="H830" i="1"/>
  <c r="G830" i="1"/>
  <c r="F830" i="1"/>
  <c r="E830" i="1"/>
  <c r="H829" i="1"/>
  <c r="G829" i="1"/>
  <c r="F829" i="1"/>
  <c r="E829" i="1"/>
  <c r="I828" i="1"/>
  <c r="A828" i="1" s="1"/>
  <c r="H828" i="1"/>
  <c r="G828" i="1"/>
  <c r="F828" i="1"/>
  <c r="E828" i="1"/>
  <c r="G827" i="1"/>
  <c r="F827" i="1"/>
  <c r="E827" i="1"/>
  <c r="H826" i="1"/>
  <c r="G826" i="1"/>
  <c r="F826" i="1"/>
  <c r="E826" i="1"/>
  <c r="G825" i="1"/>
  <c r="B825" i="1"/>
  <c r="F825" i="1" s="1"/>
  <c r="I824" i="1"/>
  <c r="G824" i="1"/>
  <c r="F824" i="1"/>
  <c r="E824" i="1"/>
  <c r="A824" i="1"/>
  <c r="G823" i="1"/>
  <c r="F823" i="1"/>
  <c r="E823" i="1"/>
  <c r="I822" i="1"/>
  <c r="A822" i="1" s="1"/>
  <c r="H822" i="1"/>
  <c r="H833" i="1" s="1"/>
  <c r="G822" i="1"/>
  <c r="F822" i="1"/>
  <c r="E822" i="1"/>
  <c r="D822" i="1"/>
  <c r="I821" i="1"/>
  <c r="A821" i="1"/>
  <c r="I820" i="1"/>
  <c r="D820" i="1"/>
  <c r="A820" i="1"/>
  <c r="I819" i="1"/>
  <c r="A819" i="1"/>
  <c r="I818" i="1"/>
  <c r="A818" i="1" s="1"/>
  <c r="I817" i="1"/>
  <c r="A817" i="1" s="1"/>
  <c r="G817" i="1"/>
  <c r="F817" i="1"/>
  <c r="D817" i="1"/>
  <c r="I816" i="1"/>
  <c r="A816" i="1" s="1"/>
  <c r="G816" i="1"/>
  <c r="F816" i="1"/>
  <c r="I815" i="1"/>
  <c r="A815" i="1" s="1"/>
  <c r="G815" i="1"/>
  <c r="F815" i="1"/>
  <c r="E815" i="1"/>
  <c r="I814" i="1"/>
  <c r="G814" i="1"/>
  <c r="F814" i="1"/>
  <c r="E814" i="1"/>
  <c r="A814" i="1"/>
  <c r="I813" i="1"/>
  <c r="G813" i="1"/>
  <c r="F813" i="1"/>
  <c r="E813" i="1"/>
  <c r="A813" i="1"/>
  <c r="I812" i="1"/>
  <c r="G812" i="1"/>
  <c r="F812" i="1"/>
  <c r="E812" i="1"/>
  <c r="A812" i="1"/>
  <c r="I811" i="1"/>
  <c r="G811" i="1"/>
  <c r="F811" i="1"/>
  <c r="E811" i="1"/>
  <c r="A811" i="1"/>
  <c r="I810" i="1"/>
  <c r="A810" i="1" s="1"/>
  <c r="G810" i="1"/>
  <c r="F810" i="1"/>
  <c r="E810" i="1"/>
  <c r="I809" i="1"/>
  <c r="A809" i="1" s="1"/>
  <c r="G809" i="1"/>
  <c r="F809" i="1"/>
  <c r="E809" i="1"/>
  <c r="I808" i="1"/>
  <c r="A808" i="1" s="1"/>
  <c r="G808" i="1"/>
  <c r="F808" i="1"/>
  <c r="E808" i="1"/>
  <c r="I807" i="1"/>
  <c r="A807" i="1" s="1"/>
  <c r="G807" i="1"/>
  <c r="F807" i="1"/>
  <c r="E807" i="1"/>
  <c r="I806" i="1"/>
  <c r="A806" i="1" s="1"/>
  <c r="H806" i="1"/>
  <c r="G806" i="1"/>
  <c r="F806" i="1"/>
  <c r="E806" i="1"/>
  <c r="I805" i="1"/>
  <c r="G805" i="1"/>
  <c r="F805" i="1"/>
  <c r="E805" i="1"/>
  <c r="A805" i="1"/>
  <c r="I804" i="1"/>
  <c r="H804" i="1"/>
  <c r="G804" i="1"/>
  <c r="F804" i="1"/>
  <c r="E804" i="1"/>
  <c r="A804" i="1"/>
  <c r="I803" i="1"/>
  <c r="A803" i="1" s="1"/>
  <c r="G803" i="1"/>
  <c r="F803" i="1"/>
  <c r="E803" i="1"/>
  <c r="I802" i="1"/>
  <c r="H802" i="1"/>
  <c r="G802" i="1"/>
  <c r="F802" i="1"/>
  <c r="E802" i="1"/>
  <c r="A802" i="1"/>
  <c r="I801" i="1"/>
  <c r="A801" i="1" s="1"/>
  <c r="H801" i="1"/>
  <c r="G801" i="1"/>
  <c r="F801" i="1"/>
  <c r="E801" i="1"/>
  <c r="I800" i="1"/>
  <c r="A800" i="1" s="1"/>
  <c r="G800" i="1"/>
  <c r="F800" i="1"/>
  <c r="E800" i="1"/>
  <c r="I799" i="1"/>
  <c r="A799" i="1" s="1"/>
  <c r="G799" i="1"/>
  <c r="F799" i="1"/>
  <c r="E799" i="1"/>
  <c r="I798" i="1"/>
  <c r="A798" i="1" s="1"/>
  <c r="G798" i="1"/>
  <c r="F798" i="1"/>
  <c r="E798" i="1"/>
  <c r="I797" i="1"/>
  <c r="A797" i="1" s="1"/>
  <c r="G797" i="1"/>
  <c r="F797" i="1"/>
  <c r="E797" i="1"/>
  <c r="I796" i="1"/>
  <c r="G796" i="1"/>
  <c r="F796" i="1"/>
  <c r="E796" i="1"/>
  <c r="A796" i="1"/>
  <c r="I795" i="1"/>
  <c r="A795" i="1"/>
  <c r="I794" i="1"/>
  <c r="H794" i="1"/>
  <c r="H808" i="1" s="1"/>
  <c r="D794" i="1"/>
  <c r="D816" i="1" s="1"/>
  <c r="A794" i="1"/>
  <c r="I793" i="1"/>
  <c r="A793" i="1" s="1"/>
  <c r="H793" i="1"/>
  <c r="G793" i="1"/>
  <c r="F793" i="1"/>
  <c r="E793" i="1"/>
  <c r="I792" i="1"/>
  <c r="A792" i="1" s="1"/>
  <c r="H792" i="1"/>
  <c r="G792" i="1"/>
  <c r="F792" i="1"/>
  <c r="E792" i="1"/>
  <c r="I791" i="1"/>
  <c r="H791" i="1"/>
  <c r="G791" i="1"/>
  <c r="F791" i="1"/>
  <c r="E791" i="1"/>
  <c r="A791" i="1"/>
  <c r="I790" i="1"/>
  <c r="H790" i="1"/>
  <c r="G790" i="1"/>
  <c r="F790" i="1"/>
  <c r="E790" i="1"/>
  <c r="A790" i="1"/>
  <c r="I789" i="1"/>
  <c r="I788" i="1"/>
  <c r="A788" i="1" s="1"/>
  <c r="A789" i="1" s="1"/>
  <c r="I787" i="1"/>
  <c r="G787" i="1"/>
  <c r="F787" i="1"/>
  <c r="E787" i="1"/>
  <c r="A787" i="1"/>
  <c r="I786" i="1"/>
  <c r="G786" i="1"/>
  <c r="F786" i="1"/>
  <c r="E786" i="1"/>
  <c r="A786" i="1"/>
  <c r="I785" i="1"/>
  <c r="I784" i="1"/>
  <c r="A784" i="1" s="1"/>
  <c r="A785" i="1" s="1"/>
  <c r="O783" i="1"/>
  <c r="N783" i="1"/>
  <c r="I783" i="1"/>
  <c r="A783" i="1" s="1"/>
  <c r="G783" i="1"/>
  <c r="F783" i="1"/>
  <c r="E783" i="1"/>
  <c r="I782" i="1"/>
  <c r="A782" i="1" s="1"/>
  <c r="G782" i="1"/>
  <c r="F782" i="1"/>
  <c r="E782" i="1"/>
  <c r="I781" i="1"/>
  <c r="A781" i="1" s="1"/>
  <c r="G781" i="1"/>
  <c r="F781" i="1"/>
  <c r="E781" i="1"/>
  <c r="I780" i="1"/>
  <c r="G780" i="1"/>
  <c r="F780" i="1"/>
  <c r="E780" i="1"/>
  <c r="A780" i="1"/>
  <c r="I779" i="1"/>
  <c r="I778" i="1"/>
  <c r="A778" i="1"/>
  <c r="A779" i="1" s="1"/>
  <c r="I777" i="1"/>
  <c r="A777" i="1" s="1"/>
  <c r="G777" i="1"/>
  <c r="F777" i="1"/>
  <c r="I776" i="1"/>
  <c r="A776" i="1" s="1"/>
  <c r="H776" i="1"/>
  <c r="G776" i="1"/>
  <c r="F776" i="1"/>
  <c r="I775" i="1"/>
  <c r="A775" i="1" s="1"/>
  <c r="H775" i="1"/>
  <c r="G775" i="1"/>
  <c r="F775" i="1"/>
  <c r="I774" i="1"/>
  <c r="H774" i="1"/>
  <c r="G774" i="1"/>
  <c r="F774" i="1"/>
  <c r="E774" i="1"/>
  <c r="A774" i="1"/>
  <c r="I773" i="1"/>
  <c r="I772" i="1"/>
  <c r="D772" i="1"/>
  <c r="D778" i="1" s="1"/>
  <c r="D784" i="1" s="1"/>
  <c r="D788" i="1" s="1"/>
  <c r="A772" i="1"/>
  <c r="A773" i="1" s="1"/>
  <c r="I771" i="1"/>
  <c r="A771" i="1" s="1"/>
  <c r="G771" i="1"/>
  <c r="F771" i="1"/>
  <c r="E771" i="1"/>
  <c r="I770" i="1"/>
  <c r="G770" i="1"/>
  <c r="F770" i="1"/>
  <c r="E770" i="1"/>
  <c r="A770" i="1"/>
  <c r="I769" i="1"/>
  <c r="G769" i="1"/>
  <c r="F769" i="1"/>
  <c r="E769" i="1"/>
  <c r="A769" i="1"/>
  <c r="I768" i="1"/>
  <c r="G768" i="1"/>
  <c r="F768" i="1"/>
  <c r="E768" i="1"/>
  <c r="A768" i="1"/>
  <c r="I767" i="1"/>
  <c r="H767" i="1"/>
  <c r="G767" i="1"/>
  <c r="F767" i="1"/>
  <c r="E767" i="1"/>
  <c r="A767" i="1"/>
  <c r="I766" i="1"/>
  <c r="H766" i="1"/>
  <c r="G766" i="1"/>
  <c r="F766" i="1"/>
  <c r="E766" i="1"/>
  <c r="A766" i="1"/>
  <c r="I765" i="1"/>
  <c r="A765" i="1" s="1"/>
  <c r="H765" i="1"/>
  <c r="G765" i="1"/>
  <c r="F765" i="1"/>
  <c r="E765" i="1"/>
  <c r="I764" i="1"/>
  <c r="A764" i="1" s="1"/>
  <c r="H764" i="1"/>
  <c r="G764" i="1"/>
  <c r="F764" i="1"/>
  <c r="E764" i="1"/>
  <c r="I763" i="1"/>
  <c r="H763" i="1"/>
  <c r="G763" i="1"/>
  <c r="F763" i="1"/>
  <c r="E763" i="1"/>
  <c r="A763" i="1"/>
  <c r="I762" i="1"/>
  <c r="G762" i="1"/>
  <c r="F762" i="1"/>
  <c r="E762" i="1"/>
  <c r="A762" i="1"/>
  <c r="I761" i="1"/>
  <c r="H761" i="1"/>
  <c r="G761" i="1"/>
  <c r="F761" i="1"/>
  <c r="A761" i="1"/>
  <c r="I760" i="1"/>
  <c r="I759" i="1"/>
  <c r="A759" i="1" s="1"/>
  <c r="A760" i="1" s="1"/>
  <c r="I758" i="1"/>
  <c r="G758" i="1"/>
  <c r="F758" i="1"/>
  <c r="E758" i="1"/>
  <c r="A758" i="1"/>
  <c r="I757" i="1"/>
  <c r="A757" i="1" s="1"/>
  <c r="G757" i="1"/>
  <c r="F757" i="1"/>
  <c r="E757" i="1"/>
  <c r="I756" i="1"/>
  <c r="H756" i="1"/>
  <c r="G756" i="1"/>
  <c r="F756" i="1"/>
  <c r="E756" i="1"/>
  <c r="A756" i="1"/>
  <c r="I755" i="1"/>
  <c r="A755" i="1" s="1"/>
  <c r="G755" i="1"/>
  <c r="F755" i="1"/>
  <c r="E755" i="1"/>
  <c r="I754" i="1"/>
  <c r="G754" i="1"/>
  <c r="F754" i="1"/>
  <c r="E754" i="1"/>
  <c r="A754" i="1"/>
  <c r="I753" i="1"/>
  <c r="A753" i="1" s="1"/>
  <c r="G753" i="1"/>
  <c r="F753" i="1"/>
  <c r="E753" i="1"/>
  <c r="I752" i="1"/>
  <c r="I751" i="1"/>
  <c r="A751" i="1" s="1"/>
  <c r="A752" i="1" s="1"/>
  <c r="H751" i="1"/>
  <c r="H757" i="1" s="1"/>
  <c r="I750" i="1"/>
  <c r="F750" i="1"/>
  <c r="E750" i="1"/>
  <c r="B750" i="1"/>
  <c r="G750" i="1" s="1"/>
  <c r="A750" i="1"/>
  <c r="I749" i="1"/>
  <c r="H749" i="1"/>
  <c r="E749" i="1"/>
  <c r="B749" i="1"/>
  <c r="G749" i="1" s="1"/>
  <c r="A749" i="1"/>
  <c r="I748" i="1"/>
  <c r="G748" i="1"/>
  <c r="F748" i="1"/>
  <c r="E748" i="1"/>
  <c r="A748" i="1"/>
  <c r="I747" i="1"/>
  <c r="A747" i="1" s="1"/>
  <c r="G747" i="1"/>
  <c r="F747" i="1"/>
  <c r="E747" i="1"/>
  <c r="I746" i="1"/>
  <c r="A746" i="1"/>
  <c r="I745" i="1"/>
  <c r="A745" i="1" s="1"/>
  <c r="H745" i="1"/>
  <c r="H747" i="1" s="1"/>
  <c r="I744" i="1"/>
  <c r="A744" i="1" s="1"/>
  <c r="G744" i="1"/>
  <c r="F744" i="1"/>
  <c r="I743" i="1"/>
  <c r="A743" i="1" s="1"/>
  <c r="G743" i="1"/>
  <c r="F743" i="1"/>
  <c r="I742" i="1"/>
  <c r="H742" i="1"/>
  <c r="G742" i="1"/>
  <c r="F742" i="1"/>
  <c r="E742" i="1"/>
  <c r="A742" i="1"/>
  <c r="I741" i="1"/>
  <c r="I740" i="1"/>
  <c r="D740" i="1"/>
  <c r="D745" i="1" s="1"/>
  <c r="D751" i="1" s="1"/>
  <c r="D759" i="1" s="1"/>
  <c r="A740" i="1"/>
  <c r="A741" i="1" s="1"/>
  <c r="I739" i="1"/>
  <c r="A739" i="1" s="1"/>
  <c r="H739" i="1"/>
  <c r="G739" i="1"/>
  <c r="F739" i="1"/>
  <c r="I738" i="1"/>
  <c r="H738" i="1"/>
  <c r="G738" i="1"/>
  <c r="F738" i="1"/>
  <c r="A738" i="1"/>
  <c r="I737" i="1"/>
  <c r="H737" i="1"/>
  <c r="G737" i="1"/>
  <c r="F737" i="1"/>
  <c r="A737" i="1"/>
  <c r="I736" i="1"/>
  <c r="A736" i="1" s="1"/>
  <c r="H736" i="1"/>
  <c r="G736" i="1"/>
  <c r="F736" i="1"/>
  <c r="E736" i="1"/>
  <c r="I735" i="1"/>
  <c r="A735" i="1"/>
  <c r="I734" i="1"/>
  <c r="D734" i="1"/>
  <c r="A734" i="1"/>
  <c r="I733" i="1"/>
  <c r="A733" i="1"/>
  <c r="I732" i="1"/>
  <c r="A732" i="1"/>
  <c r="I731" i="1"/>
  <c r="A731" i="1" s="1"/>
  <c r="I730" i="1"/>
  <c r="A730" i="1" s="1"/>
  <c r="G730" i="1"/>
  <c r="F730" i="1"/>
  <c r="E730" i="1"/>
  <c r="I729" i="1"/>
  <c r="A729" i="1" s="1"/>
  <c r="G729" i="1"/>
  <c r="F729" i="1"/>
  <c r="E729" i="1"/>
  <c r="I728" i="1"/>
  <c r="G728" i="1"/>
  <c r="F728" i="1"/>
  <c r="E728" i="1"/>
  <c r="A728" i="1"/>
  <c r="I727" i="1"/>
  <c r="G727" i="1"/>
  <c r="F727" i="1"/>
  <c r="E727" i="1"/>
  <c r="A727" i="1"/>
  <c r="I726" i="1"/>
  <c r="A726" i="1" s="1"/>
  <c r="G726" i="1"/>
  <c r="F726" i="1"/>
  <c r="E726" i="1"/>
  <c r="I725" i="1"/>
  <c r="A725" i="1" s="1"/>
  <c r="G725" i="1"/>
  <c r="F725" i="1"/>
  <c r="E725" i="1"/>
  <c r="I724" i="1"/>
  <c r="G724" i="1"/>
  <c r="F724" i="1"/>
  <c r="E724" i="1"/>
  <c r="A724" i="1"/>
  <c r="I723" i="1"/>
  <c r="A723" i="1" s="1"/>
  <c r="I722" i="1"/>
  <c r="A722" i="1" s="1"/>
  <c r="G722" i="1"/>
  <c r="F722" i="1"/>
  <c r="E722" i="1"/>
  <c r="I721" i="1"/>
  <c r="G721" i="1"/>
  <c r="F721" i="1"/>
  <c r="E721" i="1"/>
  <c r="A721" i="1"/>
  <c r="I720" i="1"/>
  <c r="G720" i="1"/>
  <c r="F720" i="1"/>
  <c r="E720" i="1"/>
  <c r="A720" i="1"/>
  <c r="I719" i="1"/>
  <c r="G719" i="1"/>
  <c r="F719" i="1"/>
  <c r="E719" i="1"/>
  <c r="A719" i="1"/>
  <c r="I718" i="1"/>
  <c r="A718" i="1" s="1"/>
  <c r="G718" i="1"/>
  <c r="E718" i="1"/>
  <c r="I717" i="1"/>
  <c r="G717" i="1"/>
  <c r="F717" i="1"/>
  <c r="E717" i="1"/>
  <c r="A717" i="1"/>
  <c r="I716" i="1"/>
  <c r="A716" i="1" s="1"/>
  <c r="G716" i="1"/>
  <c r="F716" i="1"/>
  <c r="E716" i="1"/>
  <c r="I715" i="1"/>
  <c r="A715" i="1" s="1"/>
  <c r="G715" i="1"/>
  <c r="F715" i="1"/>
  <c r="E715" i="1"/>
  <c r="I714" i="1"/>
  <c r="G714" i="1"/>
  <c r="F714" i="1"/>
  <c r="E714" i="1"/>
  <c r="A714" i="1"/>
  <c r="I713" i="1"/>
  <c r="A713" i="1" s="1"/>
  <c r="G713" i="1"/>
  <c r="F713" i="1"/>
  <c r="E713" i="1"/>
  <c r="I712" i="1"/>
  <c r="H712" i="1"/>
  <c r="G712" i="1"/>
  <c r="F712" i="1"/>
  <c r="E712" i="1"/>
  <c r="A712" i="1"/>
  <c r="I711" i="1"/>
  <c r="G711" i="1"/>
  <c r="F711" i="1"/>
  <c r="E711" i="1"/>
  <c r="A711" i="1"/>
  <c r="I710" i="1"/>
  <c r="H710" i="1"/>
  <c r="H720" i="1" s="1"/>
  <c r="G710" i="1"/>
  <c r="F710" i="1"/>
  <c r="E710" i="1"/>
  <c r="D710" i="1"/>
  <c r="D711" i="1" s="1"/>
  <c r="A710" i="1"/>
  <c r="I709" i="1"/>
  <c r="A709" i="1" s="1"/>
  <c r="I708" i="1"/>
  <c r="A708" i="1" s="1"/>
  <c r="I707" i="1"/>
  <c r="D707" i="1"/>
  <c r="A707" i="1"/>
  <c r="I706" i="1"/>
  <c r="A706" i="1"/>
  <c r="I705" i="1"/>
  <c r="G705" i="1"/>
  <c r="A705" i="1"/>
  <c r="I704" i="1"/>
  <c r="A704" i="1" s="1"/>
  <c r="G704" i="1"/>
  <c r="F704" i="1"/>
  <c r="E704" i="1"/>
  <c r="I703" i="1"/>
  <c r="G703" i="1"/>
  <c r="F703" i="1"/>
  <c r="E703" i="1"/>
  <c r="A703" i="1"/>
  <c r="I702" i="1"/>
  <c r="A702" i="1" s="1"/>
  <c r="G702" i="1"/>
  <c r="F702" i="1"/>
  <c r="E702" i="1"/>
  <c r="I701" i="1"/>
  <c r="G701" i="1"/>
  <c r="F701" i="1"/>
  <c r="E701" i="1"/>
  <c r="A701" i="1"/>
  <c r="I700" i="1"/>
  <c r="A700" i="1" s="1"/>
  <c r="G700" i="1"/>
  <c r="F700" i="1"/>
  <c r="E700" i="1"/>
  <c r="I699" i="1"/>
  <c r="A699" i="1" s="1"/>
  <c r="G699" i="1"/>
  <c r="F699" i="1"/>
  <c r="E699" i="1"/>
  <c r="I698" i="1"/>
  <c r="A698" i="1" s="1"/>
  <c r="G698" i="1"/>
  <c r="F698" i="1"/>
  <c r="E698" i="1"/>
  <c r="I697" i="1"/>
  <c r="H697" i="1"/>
  <c r="G697" i="1"/>
  <c r="F697" i="1"/>
  <c r="E697" i="1"/>
  <c r="A697" i="1"/>
  <c r="I696" i="1"/>
  <c r="A696" i="1" s="1"/>
  <c r="G696" i="1"/>
  <c r="F696" i="1"/>
  <c r="E696" i="1"/>
  <c r="I695" i="1"/>
  <c r="A695" i="1" s="1"/>
  <c r="G695" i="1"/>
  <c r="F695" i="1"/>
  <c r="E695" i="1"/>
  <c r="I694" i="1"/>
  <c r="A694" i="1" s="1"/>
  <c r="G694" i="1"/>
  <c r="F694" i="1"/>
  <c r="E694" i="1"/>
  <c r="I693" i="1"/>
  <c r="A693" i="1" s="1"/>
  <c r="G693" i="1"/>
  <c r="F693" i="1"/>
  <c r="E693" i="1"/>
  <c r="I692" i="1"/>
  <c r="A692" i="1" s="1"/>
  <c r="G692" i="1"/>
  <c r="F692" i="1"/>
  <c r="E692" i="1"/>
  <c r="I691" i="1"/>
  <c r="A691" i="1" s="1"/>
  <c r="G691" i="1"/>
  <c r="F691" i="1"/>
  <c r="E691" i="1"/>
  <c r="I690" i="1"/>
  <c r="A690" i="1" s="1"/>
  <c r="G690" i="1"/>
  <c r="F690" i="1"/>
  <c r="E690" i="1"/>
  <c r="I689" i="1"/>
  <c r="A689" i="1" s="1"/>
  <c r="B689" i="1"/>
  <c r="I688" i="1"/>
  <c r="A688" i="1" s="1"/>
  <c r="G688" i="1"/>
  <c r="F688" i="1"/>
  <c r="E688" i="1"/>
  <c r="I687" i="1"/>
  <c r="A687" i="1"/>
  <c r="I686" i="1"/>
  <c r="H686" i="1"/>
  <c r="A686" i="1"/>
  <c r="I685" i="1"/>
  <c r="G685" i="1"/>
  <c r="F685" i="1"/>
  <c r="E685" i="1"/>
  <c r="A685" i="1"/>
  <c r="I684" i="1"/>
  <c r="H684" i="1"/>
  <c r="G684" i="1"/>
  <c r="F684" i="1"/>
  <c r="E684" i="1"/>
  <c r="A684" i="1"/>
  <c r="I683" i="1"/>
  <c r="A683" i="1" s="1"/>
  <c r="H683" i="1"/>
  <c r="G683" i="1"/>
  <c r="F683" i="1"/>
  <c r="E683" i="1"/>
  <c r="I682" i="1"/>
  <c r="A682" i="1" s="1"/>
  <c r="H682" i="1"/>
  <c r="G682" i="1"/>
  <c r="F682" i="1"/>
  <c r="E682" i="1"/>
  <c r="I681" i="1"/>
  <c r="G681" i="1"/>
  <c r="F681" i="1"/>
  <c r="E681" i="1"/>
  <c r="A681" i="1"/>
  <c r="I680" i="1"/>
  <c r="G680" i="1"/>
  <c r="F680" i="1"/>
  <c r="E680" i="1"/>
  <c r="A680" i="1"/>
  <c r="I679" i="1"/>
  <c r="A679" i="1" s="1"/>
  <c r="H679" i="1"/>
  <c r="H685" i="1" s="1"/>
  <c r="G679" i="1"/>
  <c r="F679" i="1"/>
  <c r="E679" i="1"/>
  <c r="I678" i="1"/>
  <c r="A678" i="1"/>
  <c r="I677" i="1"/>
  <c r="H677" i="1"/>
  <c r="A677" i="1"/>
  <c r="I676" i="1"/>
  <c r="G676" i="1"/>
  <c r="F676" i="1"/>
  <c r="A676" i="1"/>
  <c r="I675" i="1"/>
  <c r="A675" i="1" s="1"/>
  <c r="G675" i="1"/>
  <c r="F675" i="1"/>
  <c r="I674" i="1"/>
  <c r="A674" i="1" s="1"/>
  <c r="G674" i="1"/>
  <c r="F674" i="1"/>
  <c r="E674" i="1"/>
  <c r="I673" i="1"/>
  <c r="I672" i="1"/>
  <c r="A672" i="1" s="1"/>
  <c r="A673" i="1" s="1"/>
  <c r="I671" i="1"/>
  <c r="B671" i="1"/>
  <c r="A671" i="1"/>
  <c r="I670" i="1"/>
  <c r="B670" i="1"/>
  <c r="A670" i="1"/>
  <c r="I669" i="1"/>
  <c r="A669" i="1" s="1"/>
  <c r="G669" i="1"/>
  <c r="F669" i="1"/>
  <c r="E669" i="1"/>
  <c r="I668" i="1"/>
  <c r="A668" i="1" s="1"/>
  <c r="G668" i="1"/>
  <c r="F668" i="1"/>
  <c r="E668" i="1"/>
  <c r="I667" i="1"/>
  <c r="A667" i="1" s="1"/>
  <c r="G667" i="1"/>
  <c r="E667" i="1"/>
  <c r="I666" i="1"/>
  <c r="G666" i="1"/>
  <c r="F666" i="1"/>
  <c r="E666" i="1"/>
  <c r="A666" i="1"/>
  <c r="I665" i="1"/>
  <c r="A665" i="1" s="1"/>
  <c r="G665" i="1"/>
  <c r="F665" i="1"/>
  <c r="E665" i="1"/>
  <c r="I664" i="1"/>
  <c r="G664" i="1"/>
  <c r="F664" i="1"/>
  <c r="E664" i="1"/>
  <c r="A664" i="1"/>
  <c r="I663" i="1"/>
  <c r="A663" i="1" s="1"/>
  <c r="G663" i="1"/>
  <c r="F663" i="1"/>
  <c r="E663" i="1"/>
  <c r="I662" i="1"/>
  <c r="A662" i="1" s="1"/>
  <c r="G662" i="1"/>
  <c r="F662" i="1"/>
  <c r="E662" i="1"/>
  <c r="I661" i="1"/>
  <c r="A661" i="1" s="1"/>
  <c r="G661" i="1"/>
  <c r="F661" i="1"/>
  <c r="E661" i="1"/>
  <c r="I660" i="1"/>
  <c r="G660" i="1"/>
  <c r="F660" i="1"/>
  <c r="E660" i="1"/>
  <c r="A660" i="1"/>
  <c r="I659" i="1"/>
  <c r="A659" i="1" s="1"/>
  <c r="G659" i="1"/>
  <c r="F659" i="1"/>
  <c r="E659" i="1"/>
  <c r="I658" i="1"/>
  <c r="A658" i="1" s="1"/>
  <c r="G658" i="1"/>
  <c r="F658" i="1"/>
  <c r="E658" i="1"/>
  <c r="I657" i="1"/>
  <c r="I656" i="1"/>
  <c r="A656" i="1" s="1"/>
  <c r="A657" i="1" s="1"/>
  <c r="I655" i="1"/>
  <c r="G655" i="1"/>
  <c r="F655" i="1"/>
  <c r="E655" i="1"/>
  <c r="A655" i="1"/>
  <c r="I654" i="1"/>
  <c r="A654" i="1" s="1"/>
  <c r="G654" i="1"/>
  <c r="F654" i="1"/>
  <c r="E654" i="1"/>
  <c r="I653" i="1"/>
  <c r="G653" i="1"/>
  <c r="F653" i="1"/>
  <c r="E653" i="1"/>
  <c r="A653" i="1"/>
  <c r="I652" i="1"/>
  <c r="A652" i="1" s="1"/>
  <c r="G652" i="1"/>
  <c r="F652" i="1"/>
  <c r="E652" i="1"/>
  <c r="I651" i="1"/>
  <c r="A651" i="1" s="1"/>
  <c r="G651" i="1"/>
  <c r="F651" i="1"/>
  <c r="E651" i="1"/>
  <c r="I650" i="1"/>
  <c r="A650" i="1" s="1"/>
  <c r="G650" i="1"/>
  <c r="F650" i="1"/>
  <c r="E650" i="1"/>
  <c r="I649" i="1"/>
  <c r="I648" i="1"/>
  <c r="A648" i="1"/>
  <c r="A649" i="1" s="1"/>
  <c r="I647" i="1"/>
  <c r="A647" i="1" s="1"/>
  <c r="G647" i="1"/>
  <c r="E647" i="1"/>
  <c r="B647" i="1"/>
  <c r="F647" i="1" s="1"/>
  <c r="I646" i="1"/>
  <c r="A646" i="1" s="1"/>
  <c r="F646" i="1"/>
  <c r="B646" i="1"/>
  <c r="G646" i="1" s="1"/>
  <c r="I645" i="1"/>
  <c r="A645" i="1" s="1"/>
  <c r="G645" i="1"/>
  <c r="F645" i="1"/>
  <c r="E645" i="1"/>
  <c r="I644" i="1"/>
  <c r="A644" i="1" s="1"/>
  <c r="G644" i="1"/>
  <c r="F644" i="1"/>
  <c r="E644" i="1"/>
  <c r="I643" i="1"/>
  <c r="I642" i="1"/>
  <c r="A642" i="1"/>
  <c r="A643" i="1" s="1"/>
  <c r="I641" i="1"/>
  <c r="A641" i="1" s="1"/>
  <c r="G641" i="1"/>
  <c r="F641" i="1"/>
  <c r="I640" i="1"/>
  <c r="G640" i="1"/>
  <c r="F640" i="1"/>
  <c r="A640" i="1"/>
  <c r="I639" i="1"/>
  <c r="G639" i="1"/>
  <c r="F639" i="1"/>
  <c r="E639" i="1"/>
  <c r="A639" i="1"/>
  <c r="I638" i="1"/>
  <c r="I637" i="1"/>
  <c r="A637" i="1" s="1"/>
  <c r="A638" i="1" s="1"/>
  <c r="I636" i="1"/>
  <c r="H636" i="1"/>
  <c r="G636" i="1"/>
  <c r="F636" i="1"/>
  <c r="A636" i="1"/>
  <c r="I635" i="1"/>
  <c r="H635" i="1"/>
  <c r="G635" i="1"/>
  <c r="F635" i="1"/>
  <c r="A635" i="1"/>
  <c r="I634" i="1"/>
  <c r="A634" i="1" s="1"/>
  <c r="G634" i="1"/>
  <c r="F634" i="1"/>
  <c r="E634" i="1"/>
  <c r="I633" i="1"/>
  <c r="I632" i="1"/>
  <c r="A632" i="1" s="1"/>
  <c r="A633" i="1" s="1"/>
  <c r="H632" i="1"/>
  <c r="H634" i="1" s="1"/>
  <c r="D632" i="1"/>
  <c r="I631" i="1"/>
  <c r="A631" i="1" s="1"/>
  <c r="I630" i="1"/>
  <c r="A630" i="1"/>
  <c r="I629" i="1"/>
  <c r="A629" i="1" s="1"/>
  <c r="G629" i="1"/>
  <c r="F629" i="1"/>
  <c r="E629" i="1"/>
  <c r="I628" i="1"/>
  <c r="A628" i="1" s="1"/>
  <c r="H628" i="1"/>
  <c r="G628" i="1"/>
  <c r="F628" i="1"/>
  <c r="E628" i="1"/>
  <c r="I627" i="1"/>
  <c r="H627" i="1"/>
  <c r="G627" i="1"/>
  <c r="F627" i="1"/>
  <c r="E627" i="1"/>
  <c r="A627" i="1"/>
  <c r="I626" i="1"/>
  <c r="A626" i="1" s="1"/>
  <c r="H626" i="1"/>
  <c r="G626" i="1"/>
  <c r="F626" i="1"/>
  <c r="E626" i="1"/>
  <c r="I625" i="1"/>
  <c r="G625" i="1"/>
  <c r="F625" i="1"/>
  <c r="E625" i="1"/>
  <c r="A625" i="1"/>
  <c r="I624" i="1"/>
  <c r="H624" i="1"/>
  <c r="H625" i="1" s="1"/>
  <c r="G624" i="1"/>
  <c r="F624" i="1"/>
  <c r="E624" i="1"/>
  <c r="D624" i="1"/>
  <c r="A624" i="1"/>
  <c r="I623" i="1"/>
  <c r="A623" i="1" s="1"/>
  <c r="H623" i="1"/>
  <c r="G623" i="1"/>
  <c r="F623" i="1"/>
  <c r="E623" i="1"/>
  <c r="D623" i="1"/>
  <c r="I622" i="1"/>
  <c r="A622" i="1"/>
  <c r="I621" i="1"/>
  <c r="D621" i="1"/>
  <c r="A621" i="1"/>
  <c r="I620" i="1"/>
  <c r="A620" i="1"/>
  <c r="I619" i="1"/>
  <c r="A619" i="1" s="1"/>
  <c r="I618" i="1"/>
  <c r="A618" i="1" s="1"/>
  <c r="G618" i="1"/>
  <c r="F618" i="1"/>
  <c r="I617" i="1"/>
  <c r="A617" i="1" s="1"/>
  <c r="G617" i="1"/>
  <c r="F617" i="1"/>
  <c r="E617" i="1"/>
  <c r="I616" i="1"/>
  <c r="A616" i="1" s="1"/>
  <c r="G616" i="1"/>
  <c r="F616" i="1"/>
  <c r="E616" i="1"/>
  <c r="I615" i="1"/>
  <c r="A615" i="1" s="1"/>
  <c r="G615" i="1"/>
  <c r="F615" i="1"/>
  <c r="E615" i="1"/>
  <c r="I614" i="1"/>
  <c r="G614" i="1"/>
  <c r="F614" i="1"/>
  <c r="E614" i="1"/>
  <c r="A614" i="1"/>
  <c r="I613" i="1"/>
  <c r="A613" i="1" s="1"/>
  <c r="G613" i="1"/>
  <c r="F613" i="1"/>
  <c r="E613" i="1"/>
  <c r="I612" i="1"/>
  <c r="A612" i="1" s="1"/>
  <c r="G612" i="1"/>
  <c r="F612" i="1"/>
  <c r="E612" i="1"/>
  <c r="I611" i="1"/>
  <c r="A611" i="1" s="1"/>
  <c r="G611" i="1"/>
  <c r="F611" i="1"/>
  <c r="E611" i="1"/>
  <c r="I610" i="1"/>
  <c r="G610" i="1"/>
  <c r="F610" i="1"/>
  <c r="E610" i="1"/>
  <c r="A610" i="1"/>
  <c r="I609" i="1"/>
  <c r="A609" i="1" s="1"/>
  <c r="G609" i="1"/>
  <c r="F609" i="1"/>
  <c r="E609" i="1"/>
  <c r="I608" i="1"/>
  <c r="A608" i="1" s="1"/>
  <c r="G608" i="1"/>
  <c r="F608" i="1"/>
  <c r="E608" i="1"/>
  <c r="I607" i="1"/>
  <c r="A607" i="1" s="1"/>
  <c r="G607" i="1"/>
  <c r="F607" i="1"/>
  <c r="E607" i="1"/>
  <c r="I606" i="1"/>
  <c r="A606" i="1" s="1"/>
  <c r="G606" i="1"/>
  <c r="F606" i="1"/>
  <c r="E606" i="1"/>
  <c r="I605" i="1"/>
  <c r="A605" i="1" s="1"/>
  <c r="G605" i="1"/>
  <c r="F605" i="1"/>
  <c r="E605" i="1"/>
  <c r="I604" i="1"/>
  <c r="A604" i="1" s="1"/>
  <c r="G604" i="1"/>
  <c r="F604" i="1"/>
  <c r="E604" i="1"/>
  <c r="I603" i="1"/>
  <c r="A603" i="1" s="1"/>
  <c r="G603" i="1"/>
  <c r="F603" i="1"/>
  <c r="E603" i="1"/>
  <c r="I602" i="1"/>
  <c r="A602" i="1" s="1"/>
  <c r="G602" i="1"/>
  <c r="F602" i="1"/>
  <c r="E602" i="1"/>
  <c r="I601" i="1"/>
  <c r="A601" i="1" s="1"/>
  <c r="G601" i="1"/>
  <c r="F601" i="1"/>
  <c r="E601" i="1"/>
  <c r="I600" i="1"/>
  <c r="A600" i="1" s="1"/>
  <c r="G600" i="1"/>
  <c r="F600" i="1"/>
  <c r="E600" i="1"/>
  <c r="I599" i="1"/>
  <c r="A599" i="1" s="1"/>
  <c r="G599" i="1"/>
  <c r="F599" i="1"/>
  <c r="E599" i="1"/>
  <c r="I598" i="1"/>
  <c r="G598" i="1"/>
  <c r="F598" i="1"/>
  <c r="E598" i="1"/>
  <c r="A598" i="1"/>
  <c r="I597" i="1"/>
  <c r="A597" i="1" s="1"/>
  <c r="G597" i="1"/>
  <c r="F597" i="1"/>
  <c r="E597" i="1"/>
  <c r="I596" i="1"/>
  <c r="I595" i="1"/>
  <c r="A595" i="1" s="1"/>
  <c r="A596" i="1" s="1"/>
  <c r="I594" i="1"/>
  <c r="A594" i="1" s="1"/>
  <c r="G594" i="1"/>
  <c r="F594" i="1"/>
  <c r="E594" i="1"/>
  <c r="I593" i="1"/>
  <c r="A593" i="1" s="1"/>
  <c r="G593" i="1"/>
  <c r="F593" i="1"/>
  <c r="E593" i="1"/>
  <c r="I592" i="1"/>
  <c r="A592" i="1" s="1"/>
  <c r="G592" i="1"/>
  <c r="F592" i="1"/>
  <c r="E592" i="1"/>
  <c r="I591" i="1"/>
  <c r="I590" i="1"/>
  <c r="A590" i="1" s="1"/>
  <c r="A591" i="1" s="1"/>
  <c r="I589" i="1"/>
  <c r="A589" i="1" s="1"/>
  <c r="G589" i="1"/>
  <c r="F589" i="1"/>
  <c r="E589" i="1"/>
  <c r="I588" i="1"/>
  <c r="G588" i="1"/>
  <c r="F588" i="1"/>
  <c r="E588" i="1"/>
  <c r="A588" i="1"/>
  <c r="I587" i="1"/>
  <c r="A587" i="1" s="1"/>
  <c r="G587" i="1"/>
  <c r="F587" i="1"/>
  <c r="E587" i="1"/>
  <c r="I586" i="1"/>
  <c r="A586" i="1" s="1"/>
  <c r="G586" i="1"/>
  <c r="F586" i="1"/>
  <c r="E586" i="1"/>
  <c r="I585" i="1"/>
  <c r="A585" i="1" s="1"/>
  <c r="G585" i="1"/>
  <c r="F585" i="1"/>
  <c r="E585" i="1"/>
  <c r="I584" i="1"/>
  <c r="I583" i="1"/>
  <c r="A583" i="1"/>
  <c r="A584" i="1" s="1"/>
  <c r="I582" i="1"/>
  <c r="A582" i="1" s="1"/>
  <c r="G582" i="1"/>
  <c r="F582" i="1"/>
  <c r="E582" i="1"/>
  <c r="I581" i="1"/>
  <c r="A581" i="1" s="1"/>
  <c r="G581" i="1"/>
  <c r="F581" i="1"/>
  <c r="E581" i="1"/>
  <c r="I580" i="1"/>
  <c r="A580" i="1" s="1"/>
  <c r="G580" i="1"/>
  <c r="F580" i="1"/>
  <c r="E580" i="1"/>
  <c r="I579" i="1"/>
  <c r="A579" i="1" s="1"/>
  <c r="G579" i="1"/>
  <c r="F579" i="1"/>
  <c r="E579" i="1"/>
  <c r="I578" i="1"/>
  <c r="A578" i="1" s="1"/>
  <c r="G578" i="1"/>
  <c r="F578" i="1"/>
  <c r="E578" i="1"/>
  <c r="I577" i="1"/>
  <c r="A577" i="1" s="1"/>
  <c r="G577" i="1"/>
  <c r="F577" i="1"/>
  <c r="E577" i="1"/>
  <c r="I576" i="1"/>
  <c r="A576" i="1" s="1"/>
  <c r="G576" i="1"/>
  <c r="F576" i="1"/>
  <c r="E576" i="1"/>
  <c r="I575" i="1"/>
  <c r="A575" i="1" s="1"/>
  <c r="G575" i="1"/>
  <c r="F575" i="1"/>
  <c r="E575" i="1"/>
  <c r="I574" i="1"/>
  <c r="A574" i="1" s="1"/>
  <c r="G574" i="1"/>
  <c r="F574" i="1"/>
  <c r="E574" i="1"/>
  <c r="I573" i="1"/>
  <c r="A573" i="1" s="1"/>
  <c r="G573" i="1"/>
  <c r="F573" i="1"/>
  <c r="E573" i="1"/>
  <c r="I572" i="1"/>
  <c r="A572" i="1" s="1"/>
  <c r="G572" i="1"/>
  <c r="F572" i="1"/>
  <c r="E572" i="1"/>
  <c r="I571" i="1"/>
  <c r="G571" i="1"/>
  <c r="F571" i="1"/>
  <c r="E571" i="1"/>
  <c r="A571" i="1"/>
  <c r="I570" i="1"/>
  <c r="A570" i="1" s="1"/>
  <c r="G570" i="1"/>
  <c r="F570" i="1"/>
  <c r="E570" i="1"/>
  <c r="I569" i="1"/>
  <c r="A569" i="1" s="1"/>
  <c r="G569" i="1"/>
  <c r="F569" i="1"/>
  <c r="E569" i="1"/>
  <c r="I568" i="1"/>
  <c r="A568" i="1" s="1"/>
  <c r="G568" i="1"/>
  <c r="F568" i="1"/>
  <c r="E568" i="1"/>
  <c r="I567" i="1"/>
  <c r="G567" i="1"/>
  <c r="F567" i="1"/>
  <c r="E567" i="1"/>
  <c r="A567" i="1"/>
  <c r="I566" i="1"/>
  <c r="A566" i="1" s="1"/>
  <c r="I565" i="1"/>
  <c r="A565" i="1" s="1"/>
  <c r="I564" i="1"/>
  <c r="A564" i="1" s="1"/>
  <c r="G564" i="1"/>
  <c r="F564" i="1"/>
  <c r="E564" i="1"/>
  <c r="I563" i="1"/>
  <c r="A563" i="1" s="1"/>
  <c r="G563" i="1"/>
  <c r="F563" i="1"/>
  <c r="E563" i="1"/>
  <c r="I562" i="1"/>
  <c r="G562" i="1"/>
  <c r="F562" i="1"/>
  <c r="E562" i="1"/>
  <c r="A562" i="1"/>
  <c r="I561" i="1"/>
  <c r="A561" i="1" s="1"/>
  <c r="G561" i="1"/>
  <c r="F561" i="1"/>
  <c r="E561" i="1"/>
  <c r="I560" i="1"/>
  <c r="A560" i="1" s="1"/>
  <c r="G560" i="1"/>
  <c r="F560" i="1"/>
  <c r="E560" i="1"/>
  <c r="I559" i="1"/>
  <c r="A559" i="1" s="1"/>
  <c r="G559" i="1"/>
  <c r="F559" i="1"/>
  <c r="E559" i="1"/>
  <c r="I558" i="1"/>
  <c r="I557" i="1"/>
  <c r="A557" i="1"/>
  <c r="A558" i="1" s="1"/>
  <c r="I556" i="1"/>
  <c r="A556" i="1" s="1"/>
  <c r="H556" i="1"/>
  <c r="G556" i="1"/>
  <c r="E556" i="1"/>
  <c r="B556" i="1"/>
  <c r="F556" i="1" s="1"/>
  <c r="I555" i="1"/>
  <c r="A555" i="1" s="1"/>
  <c r="H555" i="1"/>
  <c r="F555" i="1"/>
  <c r="B555" i="1"/>
  <c r="G555" i="1" s="1"/>
  <c r="I554" i="1"/>
  <c r="A554" i="1" s="1"/>
  <c r="H554" i="1"/>
  <c r="G554" i="1"/>
  <c r="F554" i="1"/>
  <c r="E554" i="1"/>
  <c r="I553" i="1"/>
  <c r="A553" i="1" s="1"/>
  <c r="H553" i="1"/>
  <c r="G553" i="1"/>
  <c r="F553" i="1"/>
  <c r="E553" i="1"/>
  <c r="I552" i="1"/>
  <c r="I551" i="1"/>
  <c r="A551" i="1" s="1"/>
  <c r="A552" i="1" s="1"/>
  <c r="I550" i="1"/>
  <c r="A550" i="1" s="1"/>
  <c r="G550" i="1"/>
  <c r="F550" i="1"/>
  <c r="I549" i="1"/>
  <c r="G549" i="1"/>
  <c r="F549" i="1"/>
  <c r="A549" i="1"/>
  <c r="I548" i="1"/>
  <c r="H548" i="1"/>
  <c r="H549" i="1" s="1"/>
  <c r="G548" i="1"/>
  <c r="F548" i="1"/>
  <c r="E548" i="1"/>
  <c r="A548" i="1"/>
  <c r="I547" i="1"/>
  <c r="I546" i="1"/>
  <c r="A546" i="1" s="1"/>
  <c r="A547" i="1" s="1"/>
  <c r="I545" i="1"/>
  <c r="A545" i="1" s="1"/>
  <c r="G545" i="1"/>
  <c r="F545" i="1"/>
  <c r="E545" i="1"/>
  <c r="I544" i="1"/>
  <c r="G544" i="1"/>
  <c r="F544" i="1"/>
  <c r="E544" i="1"/>
  <c r="A544" i="1"/>
  <c r="I543" i="1"/>
  <c r="A543" i="1" s="1"/>
  <c r="G543" i="1"/>
  <c r="F543" i="1"/>
  <c r="E543" i="1"/>
  <c r="I542" i="1"/>
  <c r="A542" i="1"/>
  <c r="I541" i="1"/>
  <c r="A541" i="1" s="1"/>
  <c r="I540" i="1"/>
  <c r="A540" i="1" s="1"/>
  <c r="I539" i="1"/>
  <c r="A539" i="1"/>
  <c r="I538" i="1"/>
  <c r="A538" i="1" s="1"/>
  <c r="G538" i="1"/>
  <c r="F538" i="1"/>
  <c r="E538" i="1"/>
  <c r="I537" i="1"/>
  <c r="A537" i="1" s="1"/>
  <c r="H537" i="1"/>
  <c r="G537" i="1"/>
  <c r="F537" i="1"/>
  <c r="E537" i="1"/>
  <c r="I536" i="1"/>
  <c r="G536" i="1"/>
  <c r="F536" i="1"/>
  <c r="E536" i="1"/>
  <c r="A536" i="1"/>
  <c r="I535" i="1"/>
  <c r="A535" i="1" s="1"/>
  <c r="G535" i="1"/>
  <c r="F535" i="1"/>
  <c r="E535" i="1"/>
  <c r="I534" i="1"/>
  <c r="A534" i="1" s="1"/>
  <c r="G534" i="1"/>
  <c r="F534" i="1"/>
  <c r="E534" i="1"/>
  <c r="I533" i="1"/>
  <c r="H533" i="1"/>
  <c r="G533" i="1"/>
  <c r="F533" i="1"/>
  <c r="E533" i="1"/>
  <c r="D533" i="1"/>
  <c r="A533" i="1"/>
  <c r="I532" i="1"/>
  <c r="A532" i="1" s="1"/>
  <c r="I531" i="1"/>
  <c r="A531" i="1" s="1"/>
  <c r="D531" i="1"/>
  <c r="I530" i="1"/>
  <c r="A530" i="1"/>
  <c r="I529" i="1"/>
  <c r="A529" i="1"/>
  <c r="I528" i="1"/>
  <c r="G528" i="1"/>
  <c r="F528" i="1"/>
  <c r="A528" i="1"/>
  <c r="I527" i="1"/>
  <c r="G527" i="1"/>
  <c r="F527" i="1"/>
  <c r="E527" i="1"/>
  <c r="A527" i="1"/>
  <c r="I526" i="1"/>
  <c r="A526" i="1" s="1"/>
  <c r="H526" i="1"/>
  <c r="G526" i="1"/>
  <c r="F526" i="1"/>
  <c r="E526" i="1"/>
  <c r="I525" i="1"/>
  <c r="A525" i="1" s="1"/>
  <c r="G525" i="1"/>
  <c r="F525" i="1"/>
  <c r="I524" i="1"/>
  <c r="A524" i="1" s="1"/>
  <c r="G524" i="1"/>
  <c r="F524" i="1"/>
  <c r="E524" i="1"/>
  <c r="I523" i="1"/>
  <c r="A523" i="1" s="1"/>
  <c r="G523" i="1"/>
  <c r="F523" i="1"/>
  <c r="E523" i="1"/>
  <c r="I522" i="1"/>
  <c r="A522" i="1" s="1"/>
  <c r="G522" i="1"/>
  <c r="F522" i="1"/>
  <c r="E522" i="1"/>
  <c r="I521" i="1"/>
  <c r="A521" i="1" s="1"/>
  <c r="G521" i="1"/>
  <c r="F521" i="1"/>
  <c r="E521" i="1"/>
  <c r="I520" i="1"/>
  <c r="A520" i="1" s="1"/>
  <c r="G520" i="1"/>
  <c r="F520" i="1"/>
  <c r="E520" i="1"/>
  <c r="I519" i="1"/>
  <c r="A519" i="1" s="1"/>
  <c r="G519" i="1"/>
  <c r="F519" i="1"/>
  <c r="E519" i="1"/>
  <c r="I518" i="1"/>
  <c r="A518" i="1" s="1"/>
  <c r="G518" i="1"/>
  <c r="F518" i="1"/>
  <c r="E518" i="1"/>
  <c r="I517" i="1"/>
  <c r="A517" i="1" s="1"/>
  <c r="G517" i="1"/>
  <c r="F517" i="1"/>
  <c r="E517" i="1"/>
  <c r="I516" i="1"/>
  <c r="A516" i="1"/>
  <c r="I515" i="1"/>
  <c r="A515" i="1" s="1"/>
  <c r="G515" i="1"/>
  <c r="F515" i="1"/>
  <c r="E515" i="1"/>
  <c r="I514" i="1"/>
  <c r="A514" i="1" s="1"/>
  <c r="G514" i="1"/>
  <c r="F514" i="1"/>
  <c r="E514" i="1"/>
  <c r="I513" i="1"/>
  <c r="A513" i="1" s="1"/>
  <c r="G513" i="1"/>
  <c r="F513" i="1"/>
  <c r="E513" i="1"/>
  <c r="I512" i="1"/>
  <c r="A512" i="1" s="1"/>
  <c r="G512" i="1"/>
  <c r="F512" i="1"/>
  <c r="E512" i="1"/>
  <c r="I511" i="1"/>
  <c r="I510" i="1"/>
  <c r="A510" i="1"/>
  <c r="A511" i="1" s="1"/>
  <c r="I509" i="1"/>
  <c r="A509" i="1" s="1"/>
  <c r="G509" i="1"/>
  <c r="F509" i="1"/>
  <c r="E509" i="1"/>
  <c r="I508" i="1"/>
  <c r="G508" i="1"/>
  <c r="F508" i="1"/>
  <c r="E508" i="1"/>
  <c r="A508" i="1"/>
  <c r="I507" i="1"/>
  <c r="G507" i="1"/>
  <c r="F507" i="1"/>
  <c r="E507" i="1"/>
  <c r="A507" i="1"/>
  <c r="I506" i="1"/>
  <c r="G506" i="1"/>
  <c r="F506" i="1"/>
  <c r="E506" i="1"/>
  <c r="A506" i="1"/>
  <c r="I505" i="1"/>
  <c r="G505" i="1"/>
  <c r="F505" i="1"/>
  <c r="E505" i="1"/>
  <c r="A505" i="1"/>
  <c r="I504" i="1"/>
  <c r="G504" i="1"/>
  <c r="F504" i="1"/>
  <c r="E504" i="1"/>
  <c r="A504" i="1"/>
  <c r="I503" i="1"/>
  <c r="G503" i="1"/>
  <c r="F503" i="1"/>
  <c r="E503" i="1"/>
  <c r="A503" i="1"/>
  <c r="I502" i="1"/>
  <c r="A502" i="1"/>
  <c r="I501" i="1"/>
  <c r="A501" i="1"/>
  <c r="I500" i="1"/>
  <c r="A500" i="1" s="1"/>
  <c r="G500" i="1"/>
  <c r="F500" i="1"/>
  <c r="E500" i="1"/>
  <c r="I499" i="1"/>
  <c r="A499" i="1" s="1"/>
  <c r="G499" i="1"/>
  <c r="F499" i="1"/>
  <c r="E499" i="1"/>
  <c r="I498" i="1"/>
  <c r="A498" i="1" s="1"/>
  <c r="G498" i="1"/>
  <c r="F498" i="1"/>
  <c r="E498" i="1"/>
  <c r="I497" i="1"/>
  <c r="A497" i="1"/>
  <c r="I496" i="1"/>
  <c r="A496" i="1" s="1"/>
  <c r="I495" i="1"/>
  <c r="A495" i="1" s="1"/>
  <c r="H495" i="1"/>
  <c r="G495" i="1"/>
  <c r="F495" i="1"/>
  <c r="E495" i="1"/>
  <c r="B495" i="1"/>
  <c r="I494" i="1"/>
  <c r="G494" i="1"/>
  <c r="B494" i="1"/>
  <c r="A494" i="1"/>
  <c r="I493" i="1"/>
  <c r="G493" i="1"/>
  <c r="F493" i="1"/>
  <c r="E493" i="1"/>
  <c r="A493" i="1"/>
  <c r="I492" i="1"/>
  <c r="A492" i="1" s="1"/>
  <c r="G492" i="1"/>
  <c r="F492" i="1"/>
  <c r="E492" i="1"/>
  <c r="I491" i="1"/>
  <c r="G491" i="1"/>
  <c r="F491" i="1"/>
  <c r="E491" i="1"/>
  <c r="A491" i="1"/>
  <c r="I490" i="1"/>
  <c r="H490" i="1"/>
  <c r="G490" i="1"/>
  <c r="F490" i="1"/>
  <c r="E490" i="1"/>
  <c r="A490" i="1"/>
  <c r="I489" i="1"/>
  <c r="G489" i="1"/>
  <c r="F489" i="1"/>
  <c r="E489" i="1"/>
  <c r="A489" i="1"/>
  <c r="I488" i="1"/>
  <c r="A488" i="1" s="1"/>
  <c r="G488" i="1"/>
  <c r="F488" i="1"/>
  <c r="E488" i="1"/>
  <c r="I487" i="1"/>
  <c r="G487" i="1"/>
  <c r="F487" i="1"/>
  <c r="E487" i="1"/>
  <c r="A487" i="1"/>
  <c r="I486" i="1"/>
  <c r="G486" i="1"/>
  <c r="F486" i="1"/>
  <c r="E486" i="1"/>
  <c r="A486" i="1"/>
  <c r="I485" i="1"/>
  <c r="A485" i="1"/>
  <c r="I484" i="1"/>
  <c r="H484" i="1"/>
  <c r="A484" i="1"/>
  <c r="I483" i="1"/>
  <c r="G483" i="1"/>
  <c r="F483" i="1"/>
  <c r="A483" i="1"/>
  <c r="I482" i="1"/>
  <c r="H482" i="1"/>
  <c r="G482" i="1"/>
  <c r="F482" i="1"/>
  <c r="A482" i="1"/>
  <c r="I481" i="1"/>
  <c r="G481" i="1"/>
  <c r="F481" i="1"/>
  <c r="E481" i="1"/>
  <c r="A481" i="1"/>
  <c r="I480" i="1"/>
  <c r="A480" i="1" s="1"/>
  <c r="G480" i="1"/>
  <c r="F480" i="1"/>
  <c r="E480" i="1"/>
  <c r="I479" i="1"/>
  <c r="A479" i="1" s="1"/>
  <c r="G479" i="1"/>
  <c r="F479" i="1"/>
  <c r="E479" i="1"/>
  <c r="I478" i="1"/>
  <c r="I477" i="1"/>
  <c r="H477" i="1"/>
  <c r="A477" i="1"/>
  <c r="A478" i="1" s="1"/>
  <c r="I476" i="1"/>
  <c r="A476" i="1" s="1"/>
  <c r="B476" i="1"/>
  <c r="E476" i="1" s="1"/>
  <c r="I475" i="1"/>
  <c r="A475" i="1" s="1"/>
  <c r="G475" i="1"/>
  <c r="F475" i="1"/>
  <c r="E475" i="1"/>
  <c r="B475" i="1"/>
  <c r="I474" i="1"/>
  <c r="G474" i="1"/>
  <c r="F474" i="1"/>
  <c r="E474" i="1"/>
  <c r="A474" i="1"/>
  <c r="I473" i="1"/>
  <c r="G473" i="1"/>
  <c r="F473" i="1"/>
  <c r="E473" i="1"/>
  <c r="A473" i="1"/>
  <c r="I472" i="1"/>
  <c r="A472" i="1"/>
  <c r="I471" i="1"/>
  <c r="A471" i="1"/>
  <c r="I470" i="1"/>
  <c r="A470" i="1" s="1"/>
  <c r="G470" i="1"/>
  <c r="F470" i="1"/>
  <c r="I469" i="1"/>
  <c r="A469" i="1" s="1"/>
  <c r="G469" i="1"/>
  <c r="F469" i="1"/>
  <c r="I468" i="1"/>
  <c r="A468" i="1" s="1"/>
  <c r="H468" i="1"/>
  <c r="G468" i="1"/>
  <c r="F468" i="1"/>
  <c r="E468" i="1"/>
  <c r="I467" i="1"/>
  <c r="I466" i="1"/>
  <c r="H466" i="1"/>
  <c r="A466" i="1"/>
  <c r="A467" i="1" s="1"/>
  <c r="I465" i="1"/>
  <c r="H465" i="1"/>
  <c r="G465" i="1"/>
  <c r="F465" i="1"/>
  <c r="D465" i="1"/>
  <c r="A465" i="1"/>
  <c r="I464" i="1"/>
  <c r="A464" i="1"/>
  <c r="I463" i="1"/>
  <c r="A463" i="1"/>
  <c r="I462" i="1"/>
  <c r="A462" i="1" s="1"/>
  <c r="H462" i="1"/>
  <c r="G462" i="1"/>
  <c r="F462" i="1"/>
  <c r="E462" i="1"/>
  <c r="I461" i="1"/>
  <c r="A461" i="1" s="1"/>
  <c r="H461" i="1"/>
  <c r="G461" i="1"/>
  <c r="F461" i="1"/>
  <c r="E461" i="1"/>
  <c r="N460" i="1"/>
  <c r="I460" i="1"/>
  <c r="A460" i="1" s="1"/>
  <c r="G460" i="1"/>
  <c r="F460" i="1"/>
  <c r="E460" i="1"/>
  <c r="I459" i="1"/>
  <c r="A459" i="1" s="1"/>
  <c r="G459" i="1"/>
  <c r="F459" i="1"/>
  <c r="E459" i="1"/>
  <c r="I458" i="1"/>
  <c r="G458" i="1"/>
  <c r="F458" i="1"/>
  <c r="E458" i="1"/>
  <c r="A458" i="1"/>
  <c r="I457" i="1"/>
  <c r="A457" i="1" s="1"/>
  <c r="H457" i="1"/>
  <c r="G457" i="1"/>
  <c r="F457" i="1"/>
  <c r="E457" i="1"/>
  <c r="I456" i="1"/>
  <c r="H456" i="1"/>
  <c r="G456" i="1"/>
  <c r="F456" i="1"/>
  <c r="E456" i="1"/>
  <c r="A456" i="1"/>
  <c r="I455" i="1"/>
  <c r="A455" i="1" s="1"/>
  <c r="H455" i="1"/>
  <c r="G455" i="1"/>
  <c r="F455" i="1"/>
  <c r="E455" i="1"/>
  <c r="D455" i="1"/>
  <c r="I454" i="1"/>
  <c r="A454" i="1" s="1"/>
  <c r="H454" i="1"/>
  <c r="D454" i="1" s="1"/>
  <c r="G454" i="1"/>
  <c r="F454" i="1"/>
  <c r="E454" i="1"/>
  <c r="I453" i="1"/>
  <c r="A453" i="1"/>
  <c r="I452" i="1"/>
  <c r="D452" i="1"/>
  <c r="A452" i="1"/>
  <c r="I451" i="1"/>
  <c r="A451" i="1" s="1"/>
  <c r="I450" i="1"/>
  <c r="A450" i="1" s="1"/>
  <c r="I449" i="1"/>
  <c r="A449" i="1" s="1"/>
  <c r="G449" i="1"/>
  <c r="F449" i="1"/>
  <c r="I448" i="1"/>
  <c r="G448" i="1"/>
  <c r="F448" i="1"/>
  <c r="E448" i="1"/>
  <c r="A448" i="1"/>
  <c r="I447" i="1"/>
  <c r="A447" i="1" s="1"/>
  <c r="G447" i="1"/>
  <c r="F447" i="1"/>
  <c r="E447" i="1"/>
  <c r="I446" i="1"/>
  <c r="H446" i="1"/>
  <c r="G446" i="1"/>
  <c r="F446" i="1"/>
  <c r="A446" i="1"/>
  <c r="I445" i="1"/>
  <c r="H445" i="1"/>
  <c r="G445" i="1"/>
  <c r="F445" i="1"/>
  <c r="E445" i="1"/>
  <c r="A445" i="1"/>
  <c r="I444" i="1"/>
  <c r="G444" i="1"/>
  <c r="F444" i="1"/>
  <c r="E444" i="1"/>
  <c r="A444" i="1"/>
  <c r="I443" i="1"/>
  <c r="A443" i="1" s="1"/>
  <c r="G443" i="1"/>
  <c r="F443" i="1"/>
  <c r="E443" i="1"/>
  <c r="I442" i="1"/>
  <c r="G442" i="1"/>
  <c r="F442" i="1"/>
  <c r="E442" i="1"/>
  <c r="A442" i="1"/>
  <c r="I441" i="1"/>
  <c r="H441" i="1"/>
  <c r="H442" i="1" s="1"/>
  <c r="H443" i="1" s="1"/>
  <c r="G441" i="1"/>
  <c r="F441" i="1"/>
  <c r="E441" i="1"/>
  <c r="A441" i="1"/>
  <c r="I440" i="1"/>
  <c r="G440" i="1"/>
  <c r="F440" i="1"/>
  <c r="E440" i="1"/>
  <c r="A440" i="1"/>
  <c r="I439" i="1"/>
  <c r="H439" i="1"/>
  <c r="H438" i="1" s="1"/>
  <c r="G439" i="1"/>
  <c r="F439" i="1"/>
  <c r="E439" i="1"/>
  <c r="A439" i="1"/>
  <c r="I438" i="1"/>
  <c r="G438" i="1"/>
  <c r="F438" i="1"/>
  <c r="E438" i="1"/>
  <c r="A438" i="1"/>
  <c r="I437" i="1"/>
  <c r="G437" i="1"/>
  <c r="F437" i="1"/>
  <c r="E437" i="1"/>
  <c r="A437" i="1"/>
  <c r="I436" i="1"/>
  <c r="G436" i="1"/>
  <c r="F436" i="1"/>
  <c r="E436" i="1"/>
  <c r="A436" i="1"/>
  <c r="I435" i="1"/>
  <c r="G435" i="1"/>
  <c r="F435" i="1"/>
  <c r="E435" i="1"/>
  <c r="A435" i="1"/>
  <c r="I434" i="1"/>
  <c r="G434" i="1"/>
  <c r="F434" i="1"/>
  <c r="E434" i="1"/>
  <c r="A434" i="1"/>
  <c r="I433" i="1"/>
  <c r="G433" i="1"/>
  <c r="F433" i="1"/>
  <c r="E433" i="1"/>
  <c r="A433" i="1"/>
  <c r="I432" i="1"/>
  <c r="H432" i="1"/>
  <c r="H434" i="1" s="1"/>
  <c r="G432" i="1"/>
  <c r="F432" i="1"/>
  <c r="E432" i="1"/>
  <c r="A432" i="1"/>
  <c r="I431" i="1"/>
  <c r="A431" i="1" s="1"/>
  <c r="G431" i="1"/>
  <c r="F431" i="1"/>
  <c r="E431" i="1"/>
  <c r="I430" i="1"/>
  <c r="G430" i="1"/>
  <c r="F430" i="1"/>
  <c r="E430" i="1"/>
  <c r="A430" i="1"/>
  <c r="I429" i="1"/>
  <c r="G429" i="1"/>
  <c r="F429" i="1"/>
  <c r="E429" i="1"/>
  <c r="A429" i="1"/>
  <c r="I428" i="1"/>
  <c r="A428" i="1"/>
  <c r="I427" i="1"/>
  <c r="H427" i="1"/>
  <c r="H440" i="1" s="1"/>
  <c r="A427" i="1"/>
  <c r="I426" i="1"/>
  <c r="G426" i="1"/>
  <c r="F426" i="1"/>
  <c r="E426" i="1"/>
  <c r="A426" i="1"/>
  <c r="I425" i="1"/>
  <c r="G425" i="1"/>
  <c r="F425" i="1"/>
  <c r="E425" i="1"/>
  <c r="A425" i="1"/>
  <c r="I424" i="1"/>
  <c r="G424" i="1"/>
  <c r="F424" i="1"/>
  <c r="E424" i="1"/>
  <c r="A424" i="1"/>
  <c r="I423" i="1"/>
  <c r="H423" i="1"/>
  <c r="G423" i="1"/>
  <c r="F423" i="1"/>
  <c r="E423" i="1"/>
  <c r="A423" i="1"/>
  <c r="I422" i="1"/>
  <c r="G422" i="1"/>
  <c r="F422" i="1"/>
  <c r="E422" i="1"/>
  <c r="A422" i="1"/>
  <c r="I421" i="1"/>
  <c r="G421" i="1"/>
  <c r="F421" i="1"/>
  <c r="E421" i="1"/>
  <c r="A421" i="1"/>
  <c r="I420" i="1"/>
  <c r="G420" i="1"/>
  <c r="F420" i="1"/>
  <c r="E420" i="1"/>
  <c r="A420" i="1"/>
  <c r="I419" i="1"/>
  <c r="A419" i="1"/>
  <c r="I418" i="1"/>
  <c r="A418" i="1"/>
  <c r="I417" i="1"/>
  <c r="A417" i="1" s="1"/>
  <c r="G417" i="1"/>
  <c r="F417" i="1"/>
  <c r="E417" i="1"/>
  <c r="I416" i="1"/>
  <c r="G416" i="1"/>
  <c r="F416" i="1"/>
  <c r="E416" i="1"/>
  <c r="A416" i="1"/>
  <c r="I415" i="1"/>
  <c r="G415" i="1"/>
  <c r="F415" i="1"/>
  <c r="E415" i="1"/>
  <c r="A415" i="1"/>
  <c r="I414" i="1"/>
  <c r="G414" i="1"/>
  <c r="F414" i="1"/>
  <c r="E414" i="1"/>
  <c r="A414" i="1"/>
  <c r="I413" i="1"/>
  <c r="A413" i="1"/>
  <c r="I412" i="1"/>
  <c r="A412" i="1"/>
  <c r="I411" i="1"/>
  <c r="A411" i="1" s="1"/>
  <c r="G411" i="1"/>
  <c r="B411" i="1"/>
  <c r="E411" i="1" s="1"/>
  <c r="I410" i="1"/>
  <c r="A410" i="1" s="1"/>
  <c r="G410" i="1"/>
  <c r="F410" i="1"/>
  <c r="E410" i="1"/>
  <c r="B410" i="1"/>
  <c r="I409" i="1"/>
  <c r="G409" i="1"/>
  <c r="F409" i="1"/>
  <c r="E409" i="1"/>
  <c r="A409" i="1"/>
  <c r="I408" i="1"/>
  <c r="G408" i="1"/>
  <c r="F408" i="1"/>
  <c r="E408" i="1"/>
  <c r="A408" i="1"/>
  <c r="I407" i="1"/>
  <c r="G407" i="1"/>
  <c r="F407" i="1"/>
  <c r="E407" i="1"/>
  <c r="A407" i="1"/>
  <c r="I406" i="1"/>
  <c r="G406" i="1"/>
  <c r="F406" i="1"/>
  <c r="E406" i="1"/>
  <c r="A406" i="1"/>
  <c r="I405" i="1"/>
  <c r="G405" i="1"/>
  <c r="F405" i="1"/>
  <c r="E405" i="1"/>
  <c r="A405" i="1"/>
  <c r="I404" i="1"/>
  <c r="G404" i="1"/>
  <c r="F404" i="1"/>
  <c r="E404" i="1"/>
  <c r="A404" i="1"/>
  <c r="I403" i="1"/>
  <c r="A403" i="1" s="1"/>
  <c r="G403" i="1"/>
  <c r="F403" i="1"/>
  <c r="E403" i="1"/>
  <c r="I402" i="1"/>
  <c r="G402" i="1"/>
  <c r="F402" i="1"/>
  <c r="E402" i="1"/>
  <c r="A402" i="1"/>
  <c r="I401" i="1"/>
  <c r="I400" i="1"/>
  <c r="A400" i="1"/>
  <c r="A401" i="1" s="1"/>
  <c r="I399" i="1"/>
  <c r="G399" i="1"/>
  <c r="F399" i="1"/>
  <c r="A399" i="1"/>
  <c r="I398" i="1"/>
  <c r="H398" i="1"/>
  <c r="G398" i="1"/>
  <c r="F398" i="1"/>
  <c r="A398" i="1"/>
  <c r="I397" i="1"/>
  <c r="G397" i="1"/>
  <c r="F397" i="1"/>
  <c r="E397" i="1"/>
  <c r="A397" i="1"/>
  <c r="I396" i="1"/>
  <c r="G396" i="1"/>
  <c r="F396" i="1"/>
  <c r="E396" i="1"/>
  <c r="A396" i="1"/>
  <c r="I395" i="1"/>
  <c r="A395" i="1"/>
  <c r="I394" i="1"/>
  <c r="H394" i="1"/>
  <c r="A394" i="1"/>
  <c r="I393" i="1"/>
  <c r="A393" i="1" s="1"/>
  <c r="G393" i="1"/>
  <c r="B393" i="1"/>
  <c r="E393" i="1" s="1"/>
  <c r="I392" i="1"/>
  <c r="A392" i="1" s="1"/>
  <c r="G392" i="1"/>
  <c r="F392" i="1"/>
  <c r="E392" i="1"/>
  <c r="B392" i="1"/>
  <c r="I391" i="1"/>
  <c r="G391" i="1"/>
  <c r="F391" i="1"/>
  <c r="E391" i="1"/>
  <c r="A391" i="1"/>
  <c r="I390" i="1"/>
  <c r="G390" i="1"/>
  <c r="F390" i="1"/>
  <c r="E390" i="1"/>
  <c r="A390" i="1"/>
  <c r="I389" i="1"/>
  <c r="A389" i="1"/>
  <c r="I388" i="1"/>
  <c r="A388" i="1"/>
  <c r="I387" i="1"/>
  <c r="A387" i="1" s="1"/>
  <c r="G387" i="1"/>
  <c r="F387" i="1"/>
  <c r="I386" i="1"/>
  <c r="A386" i="1" s="1"/>
  <c r="G386" i="1"/>
  <c r="F386" i="1"/>
  <c r="I385" i="1"/>
  <c r="A385" i="1" s="1"/>
  <c r="G385" i="1"/>
  <c r="F385" i="1"/>
  <c r="E385" i="1"/>
  <c r="I384" i="1"/>
  <c r="I383" i="1"/>
  <c r="A383" i="1" s="1"/>
  <c r="A384" i="1" s="1"/>
  <c r="H383" i="1"/>
  <c r="D383" i="1" s="1"/>
  <c r="I382" i="1"/>
  <c r="H382" i="1"/>
  <c r="G382" i="1"/>
  <c r="F382" i="1"/>
  <c r="D382" i="1"/>
  <c r="A382" i="1"/>
  <c r="A381" i="1" s="1"/>
  <c r="I381" i="1"/>
  <c r="I380" i="1"/>
  <c r="A380" i="1"/>
  <c r="I379" i="1"/>
  <c r="A379" i="1" s="1"/>
  <c r="G379" i="1"/>
  <c r="F379" i="1"/>
  <c r="E379" i="1"/>
  <c r="I378" i="1"/>
  <c r="G378" i="1"/>
  <c r="F378" i="1"/>
  <c r="E378" i="1"/>
  <c r="A378" i="1"/>
  <c r="I377" i="1"/>
  <c r="H377" i="1"/>
  <c r="H378" i="1" s="1"/>
  <c r="G377" i="1"/>
  <c r="F377" i="1"/>
  <c r="E377" i="1"/>
  <c r="A377" i="1"/>
  <c r="I376" i="1"/>
  <c r="G376" i="1"/>
  <c r="F376" i="1"/>
  <c r="E376" i="1"/>
  <c r="A376" i="1"/>
  <c r="I375" i="1"/>
  <c r="H375" i="1"/>
  <c r="G375" i="1"/>
  <c r="F375" i="1"/>
  <c r="E375" i="1"/>
  <c r="A375" i="1"/>
  <c r="I374" i="1"/>
  <c r="A374" i="1" s="1"/>
  <c r="G374" i="1"/>
  <c r="F374" i="1"/>
  <c r="E374" i="1"/>
  <c r="I373" i="1"/>
  <c r="A373" i="1" s="1"/>
  <c r="G373" i="1"/>
  <c r="F373" i="1"/>
  <c r="E373" i="1"/>
  <c r="I372" i="1"/>
  <c r="H372" i="1"/>
  <c r="H373" i="1" s="1"/>
  <c r="G372" i="1"/>
  <c r="F372" i="1"/>
  <c r="E372" i="1"/>
  <c r="A372" i="1"/>
  <c r="I371" i="1"/>
  <c r="A371" i="1" s="1"/>
  <c r="H371" i="1"/>
  <c r="H376" i="1" s="1"/>
  <c r="G371" i="1"/>
  <c r="F371" i="1"/>
  <c r="E371" i="1"/>
  <c r="D371" i="1"/>
  <c r="I370" i="1"/>
  <c r="A370" i="1" s="1"/>
  <c r="I369" i="1"/>
  <c r="D369" i="1"/>
  <c r="A369" i="1"/>
  <c r="I368" i="1"/>
  <c r="A368" i="1"/>
  <c r="I367" i="1"/>
  <c r="A367" i="1"/>
  <c r="K366" i="1"/>
  <c r="J366" i="1"/>
  <c r="I366" i="1"/>
  <c r="A366" i="1" s="1"/>
  <c r="G366" i="1"/>
  <c r="F366" i="1"/>
  <c r="K365" i="1"/>
  <c r="J365" i="1"/>
  <c r="H365" i="1"/>
  <c r="I365" i="1" s="1"/>
  <c r="A365" i="1" s="1"/>
  <c r="G365" i="1"/>
  <c r="F365" i="1"/>
  <c r="E365" i="1"/>
  <c r="K364" i="1"/>
  <c r="J364" i="1"/>
  <c r="H364" i="1"/>
  <c r="I364" i="1" s="1"/>
  <c r="A364" i="1" s="1"/>
  <c r="G364" i="1"/>
  <c r="F364" i="1"/>
  <c r="E364" i="1"/>
  <c r="K363" i="1"/>
  <c r="J363" i="1"/>
  <c r="G363" i="1"/>
  <c r="F363" i="1"/>
  <c r="K362" i="1"/>
  <c r="J362" i="1"/>
  <c r="G362" i="1"/>
  <c r="F362" i="1"/>
  <c r="E362" i="1"/>
  <c r="K361" i="1"/>
  <c r="J361" i="1"/>
  <c r="G361" i="1"/>
  <c r="F361" i="1"/>
  <c r="E361" i="1"/>
  <c r="K360" i="1"/>
  <c r="J360" i="1"/>
  <c r="G360" i="1"/>
  <c r="F360" i="1"/>
  <c r="E360" i="1"/>
  <c r="K359" i="1"/>
  <c r="J359" i="1"/>
  <c r="G359" i="1"/>
  <c r="F359" i="1"/>
  <c r="E359" i="1"/>
  <c r="K358" i="1"/>
  <c r="J358" i="1"/>
  <c r="G358" i="1"/>
  <c r="F358" i="1"/>
  <c r="E358" i="1"/>
  <c r="K357" i="1"/>
  <c r="J357" i="1"/>
  <c r="I357" i="1"/>
  <c r="G357" i="1"/>
  <c r="F357" i="1"/>
  <c r="E357" i="1"/>
  <c r="A357" i="1"/>
  <c r="K356" i="1"/>
  <c r="J356" i="1"/>
  <c r="G356" i="1"/>
  <c r="F356" i="1"/>
  <c r="E356" i="1"/>
  <c r="K355" i="1"/>
  <c r="J355" i="1"/>
  <c r="G355" i="1"/>
  <c r="F355" i="1"/>
  <c r="E355" i="1"/>
  <c r="K354" i="1"/>
  <c r="J354" i="1"/>
  <c r="G354" i="1"/>
  <c r="F354" i="1"/>
  <c r="E354" i="1"/>
  <c r="K353" i="1"/>
  <c r="J353" i="1"/>
  <c r="G353" i="1"/>
  <c r="F353" i="1"/>
  <c r="E353" i="1"/>
  <c r="K352" i="1"/>
  <c r="J352" i="1"/>
  <c r="G352" i="1"/>
  <c r="F352" i="1"/>
  <c r="E352" i="1"/>
  <c r="K351" i="1"/>
  <c r="J351" i="1"/>
  <c r="G351" i="1"/>
  <c r="F351" i="1"/>
  <c r="E351" i="1"/>
  <c r="A351" i="1"/>
  <c r="K350" i="1"/>
  <c r="J350" i="1"/>
  <c r="G350" i="1"/>
  <c r="F350" i="1"/>
  <c r="E350" i="1"/>
  <c r="I349" i="1"/>
  <c r="I348" i="1"/>
  <c r="I347" i="1"/>
  <c r="A347" i="1" s="1"/>
  <c r="H347" i="1"/>
  <c r="G347" i="1"/>
  <c r="F347" i="1"/>
  <c r="E347" i="1"/>
  <c r="I346" i="1"/>
  <c r="A346" i="1" s="1"/>
  <c r="G346" i="1"/>
  <c r="F346" i="1"/>
  <c r="E346" i="1"/>
  <c r="I345" i="1"/>
  <c r="A345" i="1" s="1"/>
  <c r="G345" i="1"/>
  <c r="F345" i="1"/>
  <c r="E345" i="1"/>
  <c r="I344" i="1"/>
  <c r="A344" i="1" s="1"/>
  <c r="G344" i="1"/>
  <c r="F344" i="1"/>
  <c r="E344" i="1"/>
  <c r="I343" i="1"/>
  <c r="A343" i="1" s="1"/>
  <c r="G343" i="1"/>
  <c r="F343" i="1"/>
  <c r="E343" i="1"/>
  <c r="I342" i="1"/>
  <c r="G342" i="1"/>
  <c r="F342" i="1"/>
  <c r="E342" i="1"/>
  <c r="A342" i="1"/>
  <c r="I341" i="1"/>
  <c r="G341" i="1"/>
  <c r="F341" i="1"/>
  <c r="E341" i="1"/>
  <c r="A341" i="1"/>
  <c r="I340" i="1"/>
  <c r="I339" i="1"/>
  <c r="A339" i="1" s="1"/>
  <c r="A340" i="1" s="1"/>
  <c r="I338" i="1"/>
  <c r="G338" i="1"/>
  <c r="F338" i="1"/>
  <c r="E338" i="1"/>
  <c r="A338" i="1"/>
  <c r="I337" i="1"/>
  <c r="G337" i="1"/>
  <c r="F337" i="1"/>
  <c r="E337" i="1"/>
  <c r="A337" i="1"/>
  <c r="I336" i="1"/>
  <c r="G336" i="1"/>
  <c r="F336" i="1"/>
  <c r="E336" i="1"/>
  <c r="A336" i="1"/>
  <c r="I335" i="1"/>
  <c r="G335" i="1"/>
  <c r="F335" i="1"/>
  <c r="E335" i="1"/>
  <c r="A335" i="1"/>
  <c r="I334" i="1"/>
  <c r="A334" i="1"/>
  <c r="I333" i="1"/>
  <c r="A333" i="1"/>
  <c r="I332" i="1"/>
  <c r="H332" i="1"/>
  <c r="F332" i="1"/>
  <c r="B332" i="1"/>
  <c r="G332" i="1" s="1"/>
  <c r="A332" i="1"/>
  <c r="I331" i="1"/>
  <c r="A331" i="1" s="1"/>
  <c r="F331" i="1"/>
  <c r="B331" i="1"/>
  <c r="I330" i="1"/>
  <c r="A330" i="1" s="1"/>
  <c r="H330" i="1"/>
  <c r="G330" i="1"/>
  <c r="F330" i="1"/>
  <c r="E330" i="1"/>
  <c r="I329" i="1"/>
  <c r="A329" i="1" s="1"/>
  <c r="G329" i="1"/>
  <c r="F329" i="1"/>
  <c r="E329" i="1"/>
  <c r="I328" i="1"/>
  <c r="A328" i="1" s="1"/>
  <c r="G328" i="1"/>
  <c r="E328" i="1"/>
  <c r="I327" i="1"/>
  <c r="G327" i="1"/>
  <c r="F327" i="1"/>
  <c r="E327" i="1"/>
  <c r="A327" i="1"/>
  <c r="I326" i="1"/>
  <c r="G326" i="1"/>
  <c r="F326" i="1"/>
  <c r="E326" i="1"/>
  <c r="A326" i="1"/>
  <c r="I325" i="1"/>
  <c r="G325" i="1"/>
  <c r="F325" i="1"/>
  <c r="E325" i="1"/>
  <c r="A325" i="1"/>
  <c r="I324" i="1"/>
  <c r="G324" i="1"/>
  <c r="F324" i="1"/>
  <c r="E324" i="1"/>
  <c r="A324" i="1"/>
  <c r="I323" i="1"/>
  <c r="A323" i="1" s="1"/>
  <c r="G323" i="1"/>
  <c r="F323" i="1"/>
  <c r="E323" i="1"/>
  <c r="I322" i="1"/>
  <c r="G322" i="1"/>
  <c r="F322" i="1"/>
  <c r="E322" i="1"/>
  <c r="A322" i="1"/>
  <c r="I321" i="1"/>
  <c r="G321" i="1"/>
  <c r="F321" i="1"/>
  <c r="E321" i="1"/>
  <c r="A321" i="1"/>
  <c r="I320" i="1"/>
  <c r="A320" i="1" s="1"/>
  <c r="G320" i="1"/>
  <c r="F320" i="1"/>
  <c r="E320" i="1"/>
  <c r="I319" i="1"/>
  <c r="A319" i="1" s="1"/>
  <c r="G319" i="1"/>
  <c r="F319" i="1"/>
  <c r="E319" i="1"/>
  <c r="I318" i="1"/>
  <c r="A318" i="1" s="1"/>
  <c r="H318" i="1"/>
  <c r="H329" i="1" s="1"/>
  <c r="G318" i="1"/>
  <c r="F318" i="1"/>
  <c r="E318" i="1"/>
  <c r="I317" i="1"/>
  <c r="A317" i="1" s="1"/>
  <c r="G317" i="1"/>
  <c r="F317" i="1"/>
  <c r="E317" i="1"/>
  <c r="I316" i="1"/>
  <c r="I315" i="1"/>
  <c r="A315" i="1"/>
  <c r="A316" i="1" s="1"/>
  <c r="K314" i="1"/>
  <c r="J314" i="1"/>
  <c r="I314" i="1"/>
  <c r="G314" i="1"/>
  <c r="F314" i="1"/>
  <c r="K313" i="1"/>
  <c r="J313" i="1"/>
  <c r="I313" i="1"/>
  <c r="G313" i="1"/>
  <c r="F313" i="1"/>
  <c r="K312" i="1"/>
  <c r="J312" i="1"/>
  <c r="G312" i="1"/>
  <c r="F312" i="1"/>
  <c r="E312" i="1"/>
  <c r="K311" i="1"/>
  <c r="J311" i="1"/>
  <c r="G311" i="1"/>
  <c r="F311" i="1"/>
  <c r="E311" i="1"/>
  <c r="I310" i="1"/>
  <c r="I309" i="1"/>
  <c r="I312" i="1" s="1"/>
  <c r="A309" i="1"/>
  <c r="A310" i="1" s="1"/>
  <c r="A311" i="1" s="1"/>
  <c r="A312" i="1" s="1"/>
  <c r="A313" i="1" s="1"/>
  <c r="A314" i="1" s="1"/>
  <c r="I308" i="1"/>
  <c r="F308" i="1"/>
  <c r="B308" i="1"/>
  <c r="G308" i="1" s="1"/>
  <c r="A308" i="1"/>
  <c r="I307" i="1"/>
  <c r="A307" i="1" s="1"/>
  <c r="G307" i="1"/>
  <c r="E307" i="1"/>
  <c r="B307" i="1"/>
  <c r="F307" i="1" s="1"/>
  <c r="I306" i="1"/>
  <c r="A306" i="1" s="1"/>
  <c r="G306" i="1"/>
  <c r="F306" i="1"/>
  <c r="E306" i="1"/>
  <c r="I305" i="1"/>
  <c r="G305" i="1"/>
  <c r="F305" i="1"/>
  <c r="E305" i="1"/>
  <c r="A305" i="1"/>
  <c r="I304" i="1"/>
  <c r="A304" i="1"/>
  <c r="I303" i="1"/>
  <c r="A303" i="1"/>
  <c r="I302" i="1"/>
  <c r="A302" i="1" s="1"/>
  <c r="G302" i="1"/>
  <c r="F302" i="1"/>
  <c r="I301" i="1"/>
  <c r="G301" i="1"/>
  <c r="F301" i="1"/>
  <c r="A301" i="1"/>
  <c r="I300" i="1"/>
  <c r="G300" i="1"/>
  <c r="F300" i="1"/>
  <c r="E300" i="1"/>
  <c r="A300" i="1"/>
  <c r="I299" i="1"/>
  <c r="A299" i="1"/>
  <c r="I298" i="1"/>
  <c r="A298" i="1"/>
  <c r="I297" i="1"/>
  <c r="G297" i="1"/>
  <c r="F297" i="1"/>
  <c r="A297" i="1"/>
  <c r="A296" i="1" s="1"/>
  <c r="I296" i="1"/>
  <c r="I295" i="1"/>
  <c r="A295" i="1" s="1"/>
  <c r="I294" i="1"/>
  <c r="G294" i="1"/>
  <c r="F294" i="1"/>
  <c r="E294" i="1"/>
  <c r="A294" i="1"/>
  <c r="I293" i="1"/>
  <c r="G293" i="1"/>
  <c r="F293" i="1"/>
  <c r="E293" i="1"/>
  <c r="A293" i="1"/>
  <c r="I292" i="1"/>
  <c r="G292" i="1"/>
  <c r="F292" i="1"/>
  <c r="E292" i="1"/>
  <c r="A292" i="1"/>
  <c r="I291" i="1"/>
  <c r="G291" i="1"/>
  <c r="F291" i="1"/>
  <c r="E291" i="1"/>
  <c r="A291" i="1"/>
  <c r="I290" i="1"/>
  <c r="A290" i="1" s="1"/>
  <c r="G290" i="1"/>
  <c r="F290" i="1"/>
  <c r="E290" i="1"/>
  <c r="I289" i="1"/>
  <c r="A289" i="1" s="1"/>
  <c r="G289" i="1"/>
  <c r="F289" i="1"/>
  <c r="E289" i="1"/>
  <c r="I288" i="1"/>
  <c r="G288" i="1"/>
  <c r="F288" i="1"/>
  <c r="E288" i="1"/>
  <c r="A288" i="1"/>
  <c r="I287" i="1"/>
  <c r="G287" i="1"/>
  <c r="F287" i="1"/>
  <c r="E287" i="1"/>
  <c r="A287" i="1"/>
  <c r="I286" i="1"/>
  <c r="A286" i="1" s="1"/>
  <c r="G286" i="1"/>
  <c r="F286" i="1"/>
  <c r="E286" i="1"/>
  <c r="I285" i="1"/>
  <c r="A285" i="1" s="1"/>
  <c r="G285" i="1"/>
  <c r="F285" i="1"/>
  <c r="E285" i="1"/>
  <c r="I284" i="1"/>
  <c r="G284" i="1"/>
  <c r="F284" i="1"/>
  <c r="E284" i="1"/>
  <c r="A284" i="1"/>
  <c r="I283" i="1"/>
  <c r="G283" i="1"/>
  <c r="F283" i="1"/>
  <c r="E283" i="1"/>
  <c r="D283" i="1"/>
  <c r="D284" i="1" s="1"/>
  <c r="D285" i="1" s="1"/>
  <c r="D286" i="1" s="1"/>
  <c r="A283" i="1"/>
  <c r="I282" i="1"/>
  <c r="G282" i="1"/>
  <c r="F282" i="1"/>
  <c r="E282" i="1"/>
  <c r="D282" i="1"/>
  <c r="A282" i="1"/>
  <c r="I281" i="1"/>
  <c r="A281" i="1"/>
  <c r="I280" i="1"/>
  <c r="A280" i="1"/>
  <c r="I279" i="1"/>
  <c r="H279" i="1"/>
  <c r="G279" i="1"/>
  <c r="F279" i="1"/>
  <c r="E279" i="1"/>
  <c r="A279" i="1"/>
  <c r="I278" i="1"/>
  <c r="H278" i="1"/>
  <c r="G278" i="1"/>
  <c r="F278" i="1"/>
  <c r="E278" i="1"/>
  <c r="A278" i="1"/>
  <c r="I277" i="1"/>
  <c r="G277" i="1"/>
  <c r="F277" i="1"/>
  <c r="E277" i="1"/>
  <c r="A277" i="1"/>
  <c r="I276" i="1"/>
  <c r="A276" i="1" s="1"/>
  <c r="G276" i="1"/>
  <c r="F276" i="1"/>
  <c r="E276" i="1"/>
  <c r="I275" i="1"/>
  <c r="A275" i="1" s="1"/>
  <c r="G275" i="1"/>
  <c r="F275" i="1"/>
  <c r="E275" i="1"/>
  <c r="I274" i="1"/>
  <c r="A274" i="1" s="1"/>
  <c r="G274" i="1"/>
  <c r="F274" i="1"/>
  <c r="E274" i="1"/>
  <c r="I273" i="1"/>
  <c r="A273" i="1" s="1"/>
  <c r="G273" i="1"/>
  <c r="F273" i="1"/>
  <c r="E273" i="1"/>
  <c r="I272" i="1"/>
  <c r="H272" i="1"/>
  <c r="H273" i="1" s="1"/>
  <c r="G272" i="1"/>
  <c r="F272" i="1"/>
  <c r="E272" i="1"/>
  <c r="A272" i="1"/>
  <c r="I271" i="1"/>
  <c r="A271" i="1" s="1"/>
  <c r="I270" i="1"/>
  <c r="A270" i="1" s="1"/>
  <c r="D270" i="1"/>
  <c r="I269" i="1"/>
  <c r="A269" i="1"/>
  <c r="I268" i="1"/>
  <c r="A268" i="1" s="1"/>
  <c r="I267" i="1"/>
  <c r="G267" i="1"/>
  <c r="F267" i="1"/>
  <c r="E267" i="1"/>
  <c r="A267" i="1"/>
  <c r="I266" i="1"/>
  <c r="A266" i="1" s="1"/>
  <c r="G266" i="1"/>
  <c r="F266" i="1"/>
  <c r="E266" i="1"/>
  <c r="I265" i="1"/>
  <c r="A265" i="1" s="1"/>
  <c r="G265" i="1"/>
  <c r="F265" i="1"/>
  <c r="E265" i="1"/>
  <c r="I264" i="1"/>
  <c r="A264" i="1" s="1"/>
  <c r="G264" i="1"/>
  <c r="F264" i="1"/>
  <c r="E264" i="1"/>
  <c r="I263" i="1"/>
  <c r="G263" i="1"/>
  <c r="F263" i="1"/>
  <c r="E263" i="1"/>
  <c r="A263" i="1"/>
  <c r="I262" i="1"/>
  <c r="A262" i="1" s="1"/>
  <c r="G262" i="1"/>
  <c r="F262" i="1"/>
  <c r="E262" i="1"/>
  <c r="I261" i="1"/>
  <c r="A261" i="1" s="1"/>
  <c r="G261" i="1"/>
  <c r="F261" i="1"/>
  <c r="E261" i="1"/>
  <c r="I260" i="1"/>
  <c r="A260" i="1" s="1"/>
  <c r="G260" i="1"/>
  <c r="F260" i="1"/>
  <c r="E260" i="1"/>
  <c r="I259" i="1"/>
  <c r="A259" i="1" s="1"/>
  <c r="G259" i="1"/>
  <c r="F259" i="1"/>
  <c r="E259" i="1"/>
  <c r="I258" i="1"/>
  <c r="G258" i="1"/>
  <c r="F258" i="1"/>
  <c r="E258" i="1"/>
  <c r="A258" i="1"/>
  <c r="I257" i="1"/>
  <c r="G257" i="1"/>
  <c r="F257" i="1"/>
  <c r="E257" i="1"/>
  <c r="A257" i="1"/>
  <c r="I256" i="1"/>
  <c r="A256" i="1" s="1"/>
  <c r="G256" i="1"/>
  <c r="F256" i="1"/>
  <c r="E256" i="1"/>
  <c r="I255" i="1"/>
  <c r="G255" i="1"/>
  <c r="F255" i="1"/>
  <c r="E255" i="1"/>
  <c r="A255" i="1"/>
  <c r="I254" i="1"/>
  <c r="G254" i="1"/>
  <c r="F254" i="1"/>
  <c r="E254" i="1"/>
  <c r="A254" i="1"/>
  <c r="I253" i="1"/>
  <c r="A253" i="1" s="1"/>
  <c r="G253" i="1"/>
  <c r="F253" i="1"/>
  <c r="E253" i="1"/>
  <c r="I252" i="1"/>
  <c r="A252" i="1" s="1"/>
  <c r="G252" i="1"/>
  <c r="F252" i="1"/>
  <c r="E252" i="1"/>
  <c r="I251" i="1"/>
  <c r="G251" i="1"/>
  <c r="F251" i="1"/>
  <c r="E251" i="1"/>
  <c r="A251" i="1"/>
  <c r="I250" i="1"/>
  <c r="I249" i="1"/>
  <c r="A249" i="1" s="1"/>
  <c r="A250" i="1" s="1"/>
  <c r="I248" i="1"/>
  <c r="A248" i="1" s="1"/>
  <c r="G248" i="1"/>
  <c r="F248" i="1"/>
  <c r="E248" i="1"/>
  <c r="I247" i="1"/>
  <c r="A247" i="1" s="1"/>
  <c r="G247" i="1"/>
  <c r="F247" i="1"/>
  <c r="E247" i="1"/>
  <c r="I246" i="1"/>
  <c r="G246" i="1"/>
  <c r="F246" i="1"/>
  <c r="E246" i="1"/>
  <c r="A246" i="1"/>
  <c r="I245" i="1"/>
  <c r="A245" i="1" s="1"/>
  <c r="G245" i="1"/>
  <c r="F245" i="1"/>
  <c r="E245" i="1"/>
  <c r="I244" i="1"/>
  <c r="I243" i="1"/>
  <c r="A243" i="1" s="1"/>
  <c r="A244" i="1" s="1"/>
  <c r="I242" i="1"/>
  <c r="A242" i="1" s="1"/>
  <c r="G242" i="1"/>
  <c r="F242" i="1"/>
  <c r="E242" i="1"/>
  <c r="I241" i="1"/>
  <c r="G241" i="1"/>
  <c r="F241" i="1"/>
  <c r="E241" i="1"/>
  <c r="A241" i="1"/>
  <c r="I240" i="1"/>
  <c r="A240" i="1" s="1"/>
  <c r="G240" i="1"/>
  <c r="F240" i="1"/>
  <c r="E240" i="1"/>
  <c r="I239" i="1"/>
  <c r="I238" i="1"/>
  <c r="A238" i="1" s="1"/>
  <c r="A239" i="1" s="1"/>
  <c r="I237" i="1"/>
  <c r="A237" i="1" s="1"/>
  <c r="G237" i="1"/>
  <c r="F237" i="1"/>
  <c r="E237" i="1"/>
  <c r="B237" i="1"/>
  <c r="I236" i="1"/>
  <c r="A236" i="1" s="1"/>
  <c r="F236" i="1"/>
  <c r="E236" i="1"/>
  <c r="B236" i="1"/>
  <c r="G236" i="1" s="1"/>
  <c r="I235" i="1"/>
  <c r="G235" i="1"/>
  <c r="F235" i="1"/>
  <c r="E235" i="1"/>
  <c r="A235" i="1"/>
  <c r="I234" i="1"/>
  <c r="A234" i="1" s="1"/>
  <c r="G234" i="1"/>
  <c r="F234" i="1"/>
  <c r="E234" i="1"/>
  <c r="I233" i="1"/>
  <c r="A233" i="1" s="1"/>
  <c r="G233" i="1"/>
  <c r="E233" i="1"/>
  <c r="I232" i="1"/>
  <c r="G232" i="1"/>
  <c r="F232" i="1"/>
  <c r="E232" i="1"/>
  <c r="A232" i="1"/>
  <c r="I231" i="1"/>
  <c r="G231" i="1"/>
  <c r="F231" i="1"/>
  <c r="E231" i="1"/>
  <c r="A231" i="1"/>
  <c r="I230" i="1"/>
  <c r="A230" i="1" s="1"/>
  <c r="G230" i="1"/>
  <c r="F230" i="1"/>
  <c r="E230" i="1"/>
  <c r="I229" i="1"/>
  <c r="G229" i="1"/>
  <c r="F229" i="1"/>
  <c r="E229" i="1"/>
  <c r="A229" i="1"/>
  <c r="I228" i="1"/>
  <c r="G228" i="1"/>
  <c r="F228" i="1"/>
  <c r="E228" i="1"/>
  <c r="A228" i="1"/>
  <c r="I227" i="1"/>
  <c r="G227" i="1"/>
  <c r="F227" i="1"/>
  <c r="E227" i="1"/>
  <c r="A227" i="1"/>
  <c r="I226" i="1"/>
  <c r="A226" i="1" s="1"/>
  <c r="G226" i="1"/>
  <c r="F226" i="1"/>
  <c r="E226" i="1"/>
  <c r="I225" i="1"/>
  <c r="G225" i="1"/>
  <c r="F225" i="1"/>
  <c r="E225" i="1"/>
  <c r="A225" i="1"/>
  <c r="I224" i="1"/>
  <c r="A224" i="1"/>
  <c r="I223" i="1"/>
  <c r="A223" i="1"/>
  <c r="I222" i="1"/>
  <c r="A222" i="1" s="1"/>
  <c r="G222" i="1"/>
  <c r="F222" i="1"/>
  <c r="I221" i="1"/>
  <c r="A221" i="1" s="1"/>
  <c r="H221" i="1"/>
  <c r="G221" i="1"/>
  <c r="F221" i="1"/>
  <c r="I220" i="1"/>
  <c r="G220" i="1"/>
  <c r="F220" i="1"/>
  <c r="E220" i="1"/>
  <c r="A220" i="1"/>
  <c r="I219" i="1"/>
  <c r="I218" i="1"/>
  <c r="H218" i="1"/>
  <c r="H238" i="1" s="1"/>
  <c r="A218" i="1"/>
  <c r="A219" i="1" s="1"/>
  <c r="I217" i="1"/>
  <c r="A217" i="1" s="1"/>
  <c r="B217" i="1"/>
  <c r="G217" i="1" s="1"/>
  <c r="I216" i="1"/>
  <c r="G216" i="1"/>
  <c r="B216" i="1"/>
  <c r="F216" i="1" s="1"/>
  <c r="A216" i="1"/>
  <c r="I215" i="1"/>
  <c r="G215" i="1"/>
  <c r="F215" i="1"/>
  <c r="E215" i="1"/>
  <c r="A215" i="1"/>
  <c r="I214" i="1"/>
  <c r="G214" i="1"/>
  <c r="F214" i="1"/>
  <c r="E214" i="1"/>
  <c r="A214" i="1"/>
  <c r="I213" i="1"/>
  <c r="I212" i="1"/>
  <c r="A212" i="1"/>
  <c r="A213" i="1" s="1"/>
  <c r="I211" i="1"/>
  <c r="A211" i="1" s="1"/>
  <c r="G211" i="1"/>
  <c r="F211" i="1"/>
  <c r="E211" i="1"/>
  <c r="I210" i="1"/>
  <c r="G210" i="1"/>
  <c r="F210" i="1"/>
  <c r="A210" i="1"/>
  <c r="I209" i="1"/>
  <c r="G209" i="1"/>
  <c r="F209" i="1"/>
  <c r="E209" i="1"/>
  <c r="A209" i="1"/>
  <c r="I208" i="1"/>
  <c r="I207" i="1"/>
  <c r="A207" i="1" s="1"/>
  <c r="A208" i="1" s="1"/>
  <c r="I206" i="1"/>
  <c r="A206" i="1" s="1"/>
  <c r="H206" i="1"/>
  <c r="G206" i="1"/>
  <c r="F206" i="1"/>
  <c r="I205" i="1"/>
  <c r="A205" i="1" s="1"/>
  <c r="I204" i="1"/>
  <c r="A204" i="1"/>
  <c r="I203" i="1"/>
  <c r="G203" i="1"/>
  <c r="F203" i="1"/>
  <c r="E203" i="1"/>
  <c r="A203" i="1"/>
  <c r="I202" i="1"/>
  <c r="A202" i="1" s="1"/>
  <c r="H202" i="1"/>
  <c r="G202" i="1"/>
  <c r="F202" i="1"/>
  <c r="E202" i="1"/>
  <c r="I201" i="1"/>
  <c r="H201" i="1"/>
  <c r="G201" i="1"/>
  <c r="F201" i="1"/>
  <c r="E201" i="1"/>
  <c r="A201" i="1"/>
  <c r="I200" i="1"/>
  <c r="G200" i="1"/>
  <c r="F200" i="1"/>
  <c r="E200" i="1"/>
  <c r="A200" i="1"/>
  <c r="I199" i="1"/>
  <c r="A199" i="1" s="1"/>
  <c r="G199" i="1"/>
  <c r="F199" i="1"/>
  <c r="E199" i="1"/>
  <c r="I198" i="1"/>
  <c r="A198" i="1" s="1"/>
  <c r="H198" i="1"/>
  <c r="D198" i="1" s="1"/>
  <c r="G198" i="1"/>
  <c r="F198" i="1"/>
  <c r="E198" i="1"/>
  <c r="I197" i="1"/>
  <c r="H197" i="1"/>
  <c r="H203" i="1" s="1"/>
  <c r="G197" i="1"/>
  <c r="F197" i="1"/>
  <c r="E197" i="1"/>
  <c r="D197" i="1"/>
  <c r="A197" i="1"/>
  <c r="I196" i="1"/>
  <c r="A196" i="1"/>
  <c r="I195" i="1"/>
  <c r="A195" i="1" s="1"/>
  <c r="D195" i="1"/>
  <c r="I194" i="1"/>
  <c r="A194" i="1"/>
  <c r="A193" i="1"/>
  <c r="I192" i="1"/>
  <c r="G192" i="1"/>
  <c r="F192" i="1"/>
  <c r="A192" i="1"/>
  <c r="I191" i="1"/>
  <c r="A191" i="1" s="1"/>
  <c r="G191" i="1"/>
  <c r="F191" i="1"/>
  <c r="E191" i="1"/>
  <c r="I190" i="1"/>
  <c r="H190" i="1"/>
  <c r="G190" i="1"/>
  <c r="F190" i="1"/>
  <c r="E190" i="1"/>
  <c r="A190" i="1"/>
  <c r="I189" i="1"/>
  <c r="G189" i="1"/>
  <c r="F189" i="1"/>
  <c r="E189" i="1"/>
  <c r="A189" i="1"/>
  <c r="I188" i="1"/>
  <c r="A188" i="1" s="1"/>
  <c r="G188" i="1"/>
  <c r="F188" i="1"/>
  <c r="E188" i="1"/>
  <c r="I187" i="1"/>
  <c r="A187" i="1" s="1"/>
  <c r="H187" i="1"/>
  <c r="G187" i="1"/>
  <c r="F187" i="1"/>
  <c r="E187" i="1"/>
  <c r="I186" i="1"/>
  <c r="A186" i="1" s="1"/>
  <c r="G186" i="1"/>
  <c r="F186" i="1"/>
  <c r="E186" i="1"/>
  <c r="I185" i="1"/>
  <c r="G185" i="1"/>
  <c r="F185" i="1"/>
  <c r="E185" i="1"/>
  <c r="A185" i="1"/>
  <c r="I184" i="1"/>
  <c r="G184" i="1"/>
  <c r="F184" i="1"/>
  <c r="E184" i="1"/>
  <c r="A184" i="1"/>
  <c r="I183" i="1"/>
  <c r="H183" i="1"/>
  <c r="G183" i="1"/>
  <c r="F183" i="1"/>
  <c r="E183" i="1"/>
  <c r="A183" i="1"/>
  <c r="I182" i="1"/>
  <c r="H182" i="1"/>
  <c r="G182" i="1"/>
  <c r="F182" i="1"/>
  <c r="E182" i="1"/>
  <c r="A182" i="1"/>
  <c r="I181" i="1"/>
  <c r="G181" i="1"/>
  <c r="F181" i="1"/>
  <c r="E181" i="1"/>
  <c r="A181" i="1"/>
  <c r="I180" i="1"/>
  <c r="A180" i="1" s="1"/>
  <c r="G180" i="1"/>
  <c r="F180" i="1"/>
  <c r="E180" i="1"/>
  <c r="I179" i="1"/>
  <c r="A179" i="1" s="1"/>
  <c r="G179" i="1"/>
  <c r="F179" i="1"/>
  <c r="E179" i="1"/>
  <c r="I178" i="1"/>
  <c r="F178" i="1"/>
  <c r="B178" i="1"/>
  <c r="G178" i="1" s="1"/>
  <c r="A178" i="1"/>
  <c r="I177" i="1"/>
  <c r="G177" i="1"/>
  <c r="F177" i="1"/>
  <c r="E177" i="1"/>
  <c r="B177" i="1"/>
  <c r="A177" i="1"/>
  <c r="I176" i="1"/>
  <c r="A176" i="1" s="1"/>
  <c r="G176" i="1"/>
  <c r="F176" i="1"/>
  <c r="E176" i="1"/>
  <c r="I175" i="1"/>
  <c r="G175" i="1"/>
  <c r="F175" i="1"/>
  <c r="E175" i="1"/>
  <c r="A175" i="1"/>
  <c r="I174" i="1"/>
  <c r="A174" i="1"/>
  <c r="I173" i="1"/>
  <c r="H173" i="1"/>
  <c r="H176" i="1" s="1"/>
  <c r="A173" i="1"/>
  <c r="I172" i="1"/>
  <c r="H172" i="1"/>
  <c r="G172" i="1"/>
  <c r="F172" i="1"/>
  <c r="E172" i="1"/>
  <c r="A172" i="1"/>
  <c r="I171" i="1"/>
  <c r="A171" i="1" s="1"/>
  <c r="G171" i="1"/>
  <c r="F171" i="1"/>
  <c r="E171" i="1"/>
  <c r="I170" i="1"/>
  <c r="H170" i="1"/>
  <c r="H171" i="1" s="1"/>
  <c r="G170" i="1"/>
  <c r="F170" i="1"/>
  <c r="E170" i="1"/>
  <c r="A170" i="1"/>
  <c r="I169" i="1"/>
  <c r="G169" i="1"/>
  <c r="F169" i="1"/>
  <c r="E169" i="1"/>
  <c r="A169" i="1"/>
  <c r="I168" i="1"/>
  <c r="A168" i="1" s="1"/>
  <c r="G168" i="1"/>
  <c r="F168" i="1"/>
  <c r="E168" i="1"/>
  <c r="I167" i="1"/>
  <c r="A167" i="1" s="1"/>
  <c r="G167" i="1"/>
  <c r="F167" i="1"/>
  <c r="E167" i="1"/>
  <c r="I166" i="1"/>
  <c r="H166" i="1"/>
  <c r="G166" i="1"/>
  <c r="F166" i="1"/>
  <c r="E166" i="1"/>
  <c r="A166" i="1"/>
  <c r="I165" i="1"/>
  <c r="G165" i="1"/>
  <c r="F165" i="1"/>
  <c r="E165" i="1"/>
  <c r="A165" i="1"/>
  <c r="I164" i="1"/>
  <c r="A164" i="1" s="1"/>
  <c r="G164" i="1"/>
  <c r="F164" i="1"/>
  <c r="E164" i="1"/>
  <c r="I163" i="1"/>
  <c r="H163" i="1"/>
  <c r="G163" i="1"/>
  <c r="F163" i="1"/>
  <c r="E163" i="1"/>
  <c r="A163" i="1"/>
  <c r="I162" i="1"/>
  <c r="G162" i="1"/>
  <c r="F162" i="1"/>
  <c r="E162" i="1"/>
  <c r="A162" i="1"/>
  <c r="I161" i="1"/>
  <c r="A161" i="1"/>
  <c r="I160" i="1"/>
  <c r="A160" i="1" s="1"/>
  <c r="H160" i="1"/>
  <c r="H168" i="1" s="1"/>
  <c r="I159" i="1"/>
  <c r="A159" i="1" s="1"/>
  <c r="G159" i="1"/>
  <c r="F159" i="1"/>
  <c r="E159" i="1"/>
  <c r="I158" i="1"/>
  <c r="A158" i="1" s="1"/>
  <c r="G158" i="1"/>
  <c r="F158" i="1"/>
  <c r="E158" i="1"/>
  <c r="I157" i="1"/>
  <c r="G157" i="1"/>
  <c r="F157" i="1"/>
  <c r="E157" i="1"/>
  <c r="A157" i="1"/>
  <c r="I156" i="1"/>
  <c r="A156" i="1" s="1"/>
  <c r="G156" i="1"/>
  <c r="F156" i="1"/>
  <c r="E156" i="1"/>
  <c r="I155" i="1"/>
  <c r="A155" i="1"/>
  <c r="I154" i="1"/>
  <c r="A154" i="1" s="1"/>
  <c r="I153" i="1"/>
  <c r="A153" i="1" s="1"/>
  <c r="H153" i="1"/>
  <c r="F153" i="1"/>
  <c r="E153" i="1"/>
  <c r="B153" i="1"/>
  <c r="G153" i="1" s="1"/>
  <c r="I152" i="1"/>
  <c r="F152" i="1"/>
  <c r="B152" i="1"/>
  <c r="G152" i="1" s="1"/>
  <c r="A152" i="1"/>
  <c r="I151" i="1"/>
  <c r="G151" i="1"/>
  <c r="F151" i="1"/>
  <c r="E151" i="1"/>
  <c r="A151" i="1"/>
  <c r="I150" i="1"/>
  <c r="G150" i="1"/>
  <c r="F150" i="1"/>
  <c r="E150" i="1"/>
  <c r="A150" i="1"/>
  <c r="I149" i="1"/>
  <c r="G149" i="1"/>
  <c r="F149" i="1"/>
  <c r="E149" i="1"/>
  <c r="A149" i="1"/>
  <c r="I148" i="1"/>
  <c r="G148" i="1"/>
  <c r="F148" i="1"/>
  <c r="E148" i="1"/>
  <c r="A148" i="1"/>
  <c r="I147" i="1"/>
  <c r="A147" i="1" s="1"/>
  <c r="G147" i="1"/>
  <c r="F147" i="1"/>
  <c r="E147" i="1"/>
  <c r="I146" i="1"/>
  <c r="G146" i="1"/>
  <c r="F146" i="1"/>
  <c r="E146" i="1"/>
  <c r="A146" i="1"/>
  <c r="I145" i="1"/>
  <c r="G145" i="1"/>
  <c r="F145" i="1"/>
  <c r="E145" i="1"/>
  <c r="A145" i="1"/>
  <c r="I144" i="1"/>
  <c r="G144" i="1"/>
  <c r="F144" i="1"/>
  <c r="E144" i="1"/>
  <c r="A144" i="1"/>
  <c r="I143" i="1"/>
  <c r="G143" i="1"/>
  <c r="F143" i="1"/>
  <c r="E143" i="1"/>
  <c r="A143" i="1"/>
  <c r="I142" i="1"/>
  <c r="G142" i="1"/>
  <c r="F142" i="1"/>
  <c r="E142" i="1"/>
  <c r="A142" i="1"/>
  <c r="I141" i="1"/>
  <c r="G141" i="1"/>
  <c r="F141" i="1"/>
  <c r="E141" i="1"/>
  <c r="A141" i="1"/>
  <c r="I140" i="1"/>
  <c r="A140" i="1" s="1"/>
  <c r="G140" i="1"/>
  <c r="F140" i="1"/>
  <c r="E140" i="1"/>
  <c r="I139" i="1"/>
  <c r="A139" i="1" s="1"/>
  <c r="G139" i="1"/>
  <c r="F139" i="1"/>
  <c r="E139" i="1"/>
  <c r="I138" i="1"/>
  <c r="G138" i="1"/>
  <c r="F138" i="1"/>
  <c r="E138" i="1"/>
  <c r="A138" i="1"/>
  <c r="I137" i="1"/>
  <c r="A137" i="1"/>
  <c r="I136" i="1"/>
  <c r="A136" i="1"/>
  <c r="I135" i="1"/>
  <c r="G135" i="1"/>
  <c r="F135" i="1"/>
  <c r="E135" i="1"/>
  <c r="A135" i="1"/>
  <c r="I134" i="1"/>
  <c r="G134" i="1"/>
  <c r="F134" i="1"/>
  <c r="E134" i="1"/>
  <c r="A134" i="1"/>
  <c r="I133" i="1"/>
  <c r="A133" i="1" s="1"/>
  <c r="G133" i="1"/>
  <c r="F133" i="1"/>
  <c r="E133" i="1"/>
  <c r="I132" i="1"/>
  <c r="A132" i="1" s="1"/>
  <c r="H132" i="1"/>
  <c r="G132" i="1"/>
  <c r="F132" i="1"/>
  <c r="E132" i="1"/>
  <c r="I131" i="1"/>
  <c r="A131" i="1" s="1"/>
  <c r="G131" i="1"/>
  <c r="F131" i="1"/>
  <c r="E131" i="1"/>
  <c r="I130" i="1"/>
  <c r="G130" i="1"/>
  <c r="F130" i="1"/>
  <c r="E130" i="1"/>
  <c r="A130" i="1"/>
  <c r="I129" i="1"/>
  <c r="A129" i="1"/>
  <c r="I128" i="1"/>
  <c r="A128" i="1" s="1"/>
  <c r="H128" i="1"/>
  <c r="H154" i="1" s="1"/>
  <c r="I127" i="1"/>
  <c r="G127" i="1"/>
  <c r="F127" i="1"/>
  <c r="B127" i="1"/>
  <c r="E127" i="1" s="1"/>
  <c r="A127" i="1"/>
  <c r="I126" i="1"/>
  <c r="G126" i="1"/>
  <c r="F126" i="1"/>
  <c r="E126" i="1"/>
  <c r="B126" i="1"/>
  <c r="A126" i="1"/>
  <c r="I125" i="1"/>
  <c r="A125" i="1" s="1"/>
  <c r="G125" i="1"/>
  <c r="F125" i="1"/>
  <c r="E125" i="1"/>
  <c r="I124" i="1"/>
  <c r="G124" i="1"/>
  <c r="F124" i="1"/>
  <c r="E124" i="1"/>
  <c r="A124" i="1"/>
  <c r="I123" i="1"/>
  <c r="I122" i="1"/>
  <c r="A122" i="1" s="1"/>
  <c r="I121" i="1"/>
  <c r="A121" i="1" s="1"/>
  <c r="G121" i="1"/>
  <c r="F121" i="1"/>
  <c r="I120" i="1"/>
  <c r="G120" i="1"/>
  <c r="F120" i="1"/>
  <c r="A120" i="1"/>
  <c r="I119" i="1"/>
  <c r="A119" i="1" s="1"/>
  <c r="G119" i="1"/>
  <c r="F119" i="1"/>
  <c r="E119" i="1"/>
  <c r="I118" i="1"/>
  <c r="I117" i="1"/>
  <c r="A117" i="1" s="1"/>
  <c r="H117" i="1"/>
  <c r="H119" i="1" s="1"/>
  <c r="I116" i="1"/>
  <c r="A116" i="1" s="1"/>
  <c r="G116" i="1"/>
  <c r="F116" i="1"/>
  <c r="E116" i="1"/>
  <c r="D116" i="1"/>
  <c r="I115" i="1"/>
  <c r="A115" i="1"/>
  <c r="I114" i="1"/>
  <c r="A114" i="1"/>
  <c r="I113" i="1"/>
  <c r="A113" i="1" s="1"/>
  <c r="G113" i="1"/>
  <c r="F113" i="1"/>
  <c r="E113" i="1"/>
  <c r="I112" i="1"/>
  <c r="G112" i="1"/>
  <c r="F112" i="1"/>
  <c r="E112" i="1"/>
  <c r="A112" i="1"/>
  <c r="I111" i="1"/>
  <c r="H111" i="1"/>
  <c r="G111" i="1"/>
  <c r="F111" i="1"/>
  <c r="E111" i="1"/>
  <c r="A111" i="1"/>
  <c r="I110" i="1"/>
  <c r="H110" i="1"/>
  <c r="G110" i="1"/>
  <c r="F110" i="1"/>
  <c r="E110" i="1"/>
  <c r="A110" i="1"/>
  <c r="I109" i="1"/>
  <c r="H109" i="1"/>
  <c r="G109" i="1"/>
  <c r="F109" i="1"/>
  <c r="E109" i="1"/>
  <c r="A109" i="1"/>
  <c r="I108" i="1"/>
  <c r="H108" i="1"/>
  <c r="G108" i="1"/>
  <c r="F108" i="1"/>
  <c r="E108" i="1"/>
  <c r="A108" i="1"/>
  <c r="I107" i="1"/>
  <c r="A107" i="1" s="1"/>
  <c r="B107" i="1"/>
  <c r="G107" i="1" s="1"/>
  <c r="I106" i="1"/>
  <c r="A106" i="1" s="1"/>
  <c r="G106" i="1"/>
  <c r="F106" i="1"/>
  <c r="E106" i="1"/>
  <c r="I105" i="1"/>
  <c r="A105" i="1" s="1"/>
  <c r="H105" i="1"/>
  <c r="H116" i="1" s="1"/>
  <c r="G105" i="1"/>
  <c r="F105" i="1"/>
  <c r="E105" i="1"/>
  <c r="D105" i="1"/>
  <c r="D106" i="1" s="1"/>
  <c r="D107" i="1" s="1"/>
  <c r="B105" i="1"/>
  <c r="I104" i="1"/>
  <c r="A104" i="1" s="1"/>
  <c r="I103" i="1"/>
  <c r="A103" i="1" s="1"/>
  <c r="D103" i="1"/>
  <c r="I102" i="1"/>
  <c r="A102" i="1" s="1"/>
  <c r="I101" i="1"/>
  <c r="A101" i="1"/>
  <c r="I100" i="1"/>
  <c r="G100" i="1"/>
  <c r="F100" i="1"/>
  <c r="A100" i="1"/>
  <c r="I99" i="1"/>
  <c r="G99" i="1"/>
  <c r="F99" i="1"/>
  <c r="E99" i="1"/>
  <c r="A99" i="1"/>
  <c r="I98" i="1"/>
  <c r="A98" i="1" s="1"/>
  <c r="G98" i="1"/>
  <c r="F98" i="1"/>
  <c r="E98" i="1"/>
  <c r="I97" i="1"/>
  <c r="A97" i="1" s="1"/>
  <c r="G97" i="1"/>
  <c r="F97" i="1"/>
  <c r="E97" i="1"/>
  <c r="I96" i="1"/>
  <c r="G96" i="1"/>
  <c r="F96" i="1"/>
  <c r="E96" i="1"/>
  <c r="A96" i="1"/>
  <c r="I95" i="1"/>
  <c r="G95" i="1"/>
  <c r="F95" i="1"/>
  <c r="E95" i="1"/>
  <c r="A95" i="1"/>
  <c r="I94" i="1"/>
  <c r="A94" i="1" s="1"/>
  <c r="G94" i="1"/>
  <c r="F94" i="1"/>
  <c r="E94" i="1"/>
  <c r="I93" i="1"/>
  <c r="A93" i="1" s="1"/>
  <c r="G93" i="1"/>
  <c r="F93" i="1"/>
  <c r="E93" i="1"/>
  <c r="I92" i="1"/>
  <c r="G92" i="1"/>
  <c r="F92" i="1"/>
  <c r="E92" i="1"/>
  <c r="A92" i="1"/>
  <c r="I91" i="1"/>
  <c r="G91" i="1"/>
  <c r="F91" i="1"/>
  <c r="E91" i="1"/>
  <c r="A91" i="1"/>
  <c r="I90" i="1"/>
  <c r="A90" i="1" s="1"/>
  <c r="G90" i="1"/>
  <c r="F90" i="1"/>
  <c r="E90" i="1"/>
  <c r="I89" i="1"/>
  <c r="A89" i="1" s="1"/>
  <c r="G89" i="1"/>
  <c r="F89" i="1"/>
  <c r="E89" i="1"/>
  <c r="I88" i="1"/>
  <c r="G88" i="1"/>
  <c r="F88" i="1"/>
  <c r="E88" i="1"/>
  <c r="A88" i="1"/>
  <c r="I87" i="1"/>
  <c r="G87" i="1"/>
  <c r="F87" i="1"/>
  <c r="E87" i="1"/>
  <c r="A87" i="1"/>
  <c r="I86" i="1"/>
  <c r="A86" i="1" s="1"/>
  <c r="G86" i="1"/>
  <c r="F86" i="1"/>
  <c r="E86" i="1"/>
  <c r="I85" i="1"/>
  <c r="A85" i="1" s="1"/>
  <c r="G85" i="1"/>
  <c r="F85" i="1"/>
  <c r="E85" i="1"/>
  <c r="I84" i="1"/>
  <c r="G84" i="1"/>
  <c r="F84" i="1"/>
  <c r="E84" i="1"/>
  <c r="A84" i="1"/>
  <c r="I83" i="1"/>
  <c r="G83" i="1"/>
  <c r="F83" i="1"/>
  <c r="E83" i="1"/>
  <c r="A83" i="1"/>
  <c r="I82" i="1"/>
  <c r="A82" i="1" s="1"/>
  <c r="G82" i="1"/>
  <c r="F82" i="1"/>
  <c r="E82" i="1"/>
  <c r="I81" i="1"/>
  <c r="A81" i="1" s="1"/>
  <c r="G81" i="1"/>
  <c r="F81" i="1"/>
  <c r="E81" i="1"/>
  <c r="I80" i="1"/>
  <c r="I79" i="1"/>
  <c r="A79" i="1" s="1"/>
  <c r="A80" i="1" s="1"/>
  <c r="I78" i="1"/>
  <c r="G78" i="1"/>
  <c r="F78" i="1"/>
  <c r="E78" i="1"/>
  <c r="A78" i="1"/>
  <c r="I77" i="1"/>
  <c r="A77" i="1" s="1"/>
  <c r="G77" i="1"/>
  <c r="F77" i="1"/>
  <c r="E77" i="1"/>
  <c r="I76" i="1"/>
  <c r="A76" i="1" s="1"/>
  <c r="G76" i="1"/>
  <c r="F76" i="1"/>
  <c r="E76" i="1"/>
  <c r="I75" i="1"/>
  <c r="G75" i="1"/>
  <c r="F75" i="1"/>
  <c r="E75" i="1"/>
  <c r="A75" i="1"/>
  <c r="I74" i="1"/>
  <c r="A74" i="1"/>
  <c r="I73" i="1"/>
  <c r="A73" i="1"/>
  <c r="I72" i="1"/>
  <c r="A72" i="1" s="1"/>
  <c r="G72" i="1"/>
  <c r="F72" i="1"/>
  <c r="I71" i="1"/>
  <c r="A71" i="1" s="1"/>
  <c r="G71" i="1"/>
  <c r="F71" i="1"/>
  <c r="I70" i="1"/>
  <c r="G70" i="1"/>
  <c r="F70" i="1"/>
  <c r="E70" i="1"/>
  <c r="A70" i="1"/>
  <c r="I69" i="1"/>
  <c r="I68" i="1"/>
  <c r="A68" i="1"/>
  <c r="A69" i="1" s="1"/>
  <c r="I67" i="1"/>
  <c r="A67" i="1" s="1"/>
  <c r="G67" i="1"/>
  <c r="F67" i="1"/>
  <c r="E67" i="1"/>
  <c r="I66" i="1"/>
  <c r="G66" i="1"/>
  <c r="F66" i="1"/>
  <c r="E66" i="1"/>
  <c r="A66" i="1"/>
  <c r="I65" i="1"/>
  <c r="G65" i="1"/>
  <c r="F65" i="1"/>
  <c r="E65" i="1"/>
  <c r="A65" i="1"/>
  <c r="I64" i="1"/>
  <c r="A64" i="1" s="1"/>
  <c r="G64" i="1"/>
  <c r="F64" i="1"/>
  <c r="E64" i="1"/>
  <c r="I63" i="1"/>
  <c r="A63" i="1" s="1"/>
  <c r="G63" i="1"/>
  <c r="F63" i="1"/>
  <c r="E63" i="1"/>
  <c r="I62" i="1"/>
  <c r="H62" i="1"/>
  <c r="G62" i="1"/>
  <c r="F62" i="1"/>
  <c r="E62" i="1"/>
  <c r="A62" i="1"/>
  <c r="I61" i="1"/>
  <c r="G61" i="1"/>
  <c r="F61" i="1"/>
  <c r="E61" i="1"/>
  <c r="A61" i="1"/>
  <c r="I60" i="1"/>
  <c r="A60" i="1" s="1"/>
  <c r="G60" i="1"/>
  <c r="F60" i="1"/>
  <c r="E60" i="1"/>
  <c r="I59" i="1"/>
  <c r="A59" i="1" s="1"/>
  <c r="G59" i="1"/>
  <c r="F59" i="1"/>
  <c r="E59" i="1"/>
  <c r="I58" i="1"/>
  <c r="G58" i="1"/>
  <c r="F58" i="1"/>
  <c r="E58" i="1"/>
  <c r="A58" i="1"/>
  <c r="I57" i="1"/>
  <c r="G57" i="1"/>
  <c r="F57" i="1"/>
  <c r="E57" i="1"/>
  <c r="A57" i="1"/>
  <c r="I56" i="1"/>
  <c r="A56" i="1" s="1"/>
  <c r="G56" i="1"/>
  <c r="F56" i="1"/>
  <c r="E56" i="1"/>
  <c r="I55" i="1"/>
  <c r="A55" i="1" s="1"/>
  <c r="G55" i="1"/>
  <c r="F55" i="1"/>
  <c r="E55" i="1"/>
  <c r="I54" i="1"/>
  <c r="G54" i="1"/>
  <c r="F54" i="1"/>
  <c r="E54" i="1"/>
  <c r="A54" i="1"/>
  <c r="I53" i="1"/>
  <c r="A53" i="1"/>
  <c r="I52" i="1"/>
  <c r="A52" i="1"/>
  <c r="I51" i="1"/>
  <c r="A51" i="1" s="1"/>
  <c r="G51" i="1"/>
  <c r="F51" i="1"/>
  <c r="I50" i="1"/>
  <c r="G50" i="1"/>
  <c r="F50" i="1"/>
  <c r="A50" i="1"/>
  <c r="I49" i="1"/>
  <c r="G49" i="1"/>
  <c r="F49" i="1"/>
  <c r="E49" i="1"/>
  <c r="A49" i="1"/>
  <c r="I48" i="1"/>
  <c r="A48" i="1"/>
  <c r="I47" i="1"/>
  <c r="A47" i="1"/>
  <c r="I46" i="1"/>
  <c r="A46" i="1" s="1"/>
  <c r="G46" i="1"/>
  <c r="F46" i="1"/>
  <c r="E46" i="1"/>
  <c r="I45" i="1"/>
  <c r="G45" i="1"/>
  <c r="F45" i="1"/>
  <c r="E45" i="1"/>
  <c r="A45" i="1"/>
  <c r="I44" i="1"/>
  <c r="G44" i="1"/>
  <c r="F44" i="1"/>
  <c r="E44" i="1"/>
  <c r="A44" i="1"/>
  <c r="I43" i="1"/>
  <c r="A43" i="1" s="1"/>
  <c r="G43" i="1"/>
  <c r="F43" i="1"/>
  <c r="E43" i="1"/>
  <c r="I42" i="1"/>
  <c r="I41" i="1"/>
  <c r="A41" i="1"/>
  <c r="A42" i="1" s="1"/>
  <c r="I40" i="1"/>
  <c r="G40" i="1"/>
  <c r="F40" i="1"/>
  <c r="A40" i="1"/>
  <c r="I39" i="1"/>
  <c r="A39" i="1" s="1"/>
  <c r="G39" i="1"/>
  <c r="F39" i="1"/>
  <c r="I38" i="1"/>
  <c r="A38" i="1" s="1"/>
  <c r="G38" i="1"/>
  <c r="F38" i="1"/>
  <c r="E38" i="1"/>
  <c r="I37" i="1"/>
  <c r="I36" i="1"/>
  <c r="A36" i="1" s="1"/>
  <c r="A37" i="1" s="1"/>
  <c r="I35" i="1"/>
  <c r="G35" i="1"/>
  <c r="F35" i="1"/>
  <c r="A35" i="1"/>
  <c r="I34" i="1"/>
  <c r="A34" i="1" s="1"/>
  <c r="I33" i="1"/>
  <c r="A33" i="1"/>
  <c r="I32" i="1"/>
  <c r="G32" i="1"/>
  <c r="F32" i="1"/>
  <c r="E32" i="1"/>
  <c r="A32" i="1"/>
  <c r="I31" i="1"/>
  <c r="A31" i="1" s="1"/>
  <c r="G31" i="1"/>
  <c r="F31" i="1"/>
  <c r="E31" i="1"/>
  <c r="I30" i="1"/>
  <c r="G30" i="1"/>
  <c r="F30" i="1"/>
  <c r="E30" i="1"/>
  <c r="A30" i="1"/>
  <c r="I29" i="1"/>
  <c r="G29" i="1"/>
  <c r="F29" i="1"/>
  <c r="E29" i="1"/>
  <c r="A29" i="1"/>
  <c r="I28" i="1"/>
  <c r="G28" i="1"/>
  <c r="F28" i="1"/>
  <c r="E28" i="1"/>
  <c r="A28" i="1"/>
  <c r="I27" i="1"/>
  <c r="A27" i="1" s="1"/>
  <c r="G27" i="1"/>
  <c r="F27" i="1"/>
  <c r="E27" i="1"/>
  <c r="I26" i="1"/>
  <c r="A26" i="1" s="1"/>
  <c r="G26" i="1"/>
  <c r="F26" i="1"/>
  <c r="E26" i="1"/>
  <c r="I25" i="1"/>
  <c r="H25" i="1"/>
  <c r="H79" i="1" s="1"/>
  <c r="G25" i="1"/>
  <c r="F25" i="1"/>
  <c r="E25" i="1"/>
  <c r="A25" i="1"/>
  <c r="D21" i="1"/>
  <c r="E8" i="2" s="1"/>
  <c r="D20" i="1"/>
  <c r="E7" i="2" s="1"/>
  <c r="M17" i="1"/>
  <c r="E17" i="1"/>
  <c r="M16" i="1"/>
  <c r="M15" i="1"/>
  <c r="M14" i="1"/>
  <c r="M13" i="1"/>
  <c r="M12" i="1"/>
  <c r="M11" i="1"/>
  <c r="J11" i="1"/>
  <c r="M10" i="1"/>
  <c r="J10" i="1"/>
  <c r="M9" i="1"/>
  <c r="J9" i="1"/>
  <c r="M8" i="1"/>
  <c r="M18" i="1" s="1"/>
  <c r="J8" i="1"/>
  <c r="J18" i="1" s="1"/>
  <c r="N9" i="1" s="1"/>
  <c r="M7" i="1"/>
  <c r="J7" i="1"/>
  <c r="N6" i="1"/>
  <c r="M6" i="1"/>
  <c r="J6" i="1"/>
  <c r="D290" i="1" l="1"/>
  <c r="D293" i="1" s="1"/>
  <c r="D287" i="1"/>
  <c r="D288" i="1"/>
  <c r="D292" i="1" s="1"/>
  <c r="D108" i="1"/>
  <c r="D109" i="1" s="1"/>
  <c r="D110" i="1" s="1"/>
  <c r="H344" i="1"/>
  <c r="H275" i="1"/>
  <c r="H274" i="1"/>
  <c r="D111" i="1"/>
  <c r="D112" i="1" s="1"/>
  <c r="D113" i="1" s="1"/>
  <c r="H156" i="1"/>
  <c r="H164" i="1" s="1"/>
  <c r="H159" i="1"/>
  <c r="H157" i="1"/>
  <c r="H243" i="1"/>
  <c r="H240" i="1"/>
  <c r="H241" i="1"/>
  <c r="H242" i="1"/>
  <c r="H121" i="1"/>
  <c r="A118" i="1"/>
  <c r="H120" i="1"/>
  <c r="H97" i="1"/>
  <c r="H93" i="1"/>
  <c r="H89" i="1"/>
  <c r="H85" i="1"/>
  <c r="H81" i="1"/>
  <c r="H83" i="1"/>
  <c r="H94" i="1"/>
  <c r="H90" i="1"/>
  <c r="H86" i="1"/>
  <c r="H82" i="1"/>
  <c r="H87" i="1"/>
  <c r="H95" i="1"/>
  <c r="H96" i="1"/>
  <c r="H92" i="1"/>
  <c r="H88" i="1"/>
  <c r="H98" i="1" s="1"/>
  <c r="H84" i="1"/>
  <c r="H835" i="1"/>
  <c r="H891" i="1"/>
  <c r="H859" i="1"/>
  <c r="D833" i="1"/>
  <c r="H836" i="1"/>
  <c r="I836" i="1" s="1"/>
  <c r="A836" i="1" s="1"/>
  <c r="H839" i="1"/>
  <c r="H837" i="1"/>
  <c r="I837" i="1" s="1"/>
  <c r="A837" i="1" s="1"/>
  <c r="H876" i="1"/>
  <c r="H850" i="1"/>
  <c r="H881" i="1"/>
  <c r="H52" i="1"/>
  <c r="H100" i="1"/>
  <c r="H175" i="1"/>
  <c r="H191" i="1" s="1"/>
  <c r="H200" i="1"/>
  <c r="D200" i="1" s="1"/>
  <c r="D201" i="1" s="1"/>
  <c r="D202" i="1" s="1"/>
  <c r="D203" i="1" s="1"/>
  <c r="H223" i="1"/>
  <c r="H496" i="1"/>
  <c r="H528" i="1"/>
  <c r="H743" i="1"/>
  <c r="H744" i="1"/>
  <c r="G670" i="1"/>
  <c r="F670" i="1"/>
  <c r="E670" i="1"/>
  <c r="H700" i="1"/>
  <c r="H696" i="1"/>
  <c r="H692" i="1"/>
  <c r="H694" i="1" s="1"/>
  <c r="H701" i="1"/>
  <c r="H689" i="1"/>
  <c r="H702" i="1"/>
  <c r="H698" i="1"/>
  <c r="H690" i="1"/>
  <c r="H699" i="1"/>
  <c r="E152" i="1"/>
  <c r="E178" i="1"/>
  <c r="H186" i="1"/>
  <c r="H199" i="1"/>
  <c r="D199" i="1" s="1"/>
  <c r="H385" i="1"/>
  <c r="F393" i="1"/>
  <c r="F411" i="1"/>
  <c r="H431" i="1"/>
  <c r="D625" i="1"/>
  <c r="D626" i="1" s="1"/>
  <c r="D627" i="1" s="1"/>
  <c r="D628" i="1" s="1"/>
  <c r="G689" i="1"/>
  <c r="F689" i="1"/>
  <c r="E689" i="1"/>
  <c r="H1046" i="1"/>
  <c r="H1037" i="1"/>
  <c r="H1120" i="1"/>
  <c r="H1144" i="1"/>
  <c r="H1087" i="1"/>
  <c r="H1079" i="1"/>
  <c r="H949" i="1"/>
  <c r="H962" i="1"/>
  <c r="H952" i="1"/>
  <c r="H953" i="1"/>
  <c r="D948" i="1"/>
  <c r="H958" i="1"/>
  <c r="H955" i="1"/>
  <c r="H1077" i="1"/>
  <c r="H1075" i="1"/>
  <c r="H1076" i="1"/>
  <c r="H220" i="1"/>
  <c r="H348" i="1"/>
  <c r="H346" i="1"/>
  <c r="H309" i="1"/>
  <c r="H388" i="1"/>
  <c r="G671" i="1"/>
  <c r="F671" i="1"/>
  <c r="H691" i="1"/>
  <c r="H693" i="1" s="1"/>
  <c r="H714" i="1"/>
  <c r="H715" i="1"/>
  <c r="D712" i="1"/>
  <c r="D713" i="1" s="1"/>
  <c r="H723" i="1"/>
  <c r="H629" i="1"/>
  <c r="H68" i="1"/>
  <c r="D25" i="1"/>
  <c r="H29" i="1"/>
  <c r="H122" i="1"/>
  <c r="H130" i="1"/>
  <c r="H185" i="1"/>
  <c r="H207" i="1"/>
  <c r="E217" i="1"/>
  <c r="H249" i="1"/>
  <c r="H267" i="1"/>
  <c r="H276" i="1"/>
  <c r="H297" i="1"/>
  <c r="H379" i="1"/>
  <c r="H491" i="1"/>
  <c r="H487" i="1"/>
  <c r="H493" i="1" s="1"/>
  <c r="H486" i="1"/>
  <c r="H492" i="1" s="1"/>
  <c r="E671" i="1"/>
  <c r="I829" i="1"/>
  <c r="A829" i="1" s="1"/>
  <c r="H30" i="1"/>
  <c r="E107" i="1"/>
  <c r="D117" i="1"/>
  <c r="H136" i="1"/>
  <c r="H165" i="1"/>
  <c r="H178" i="1"/>
  <c r="H181" i="1"/>
  <c r="H192" i="1"/>
  <c r="D206" i="1"/>
  <c r="E216" i="1"/>
  <c r="F217" i="1"/>
  <c r="H222" i="1"/>
  <c r="H437" i="1"/>
  <c r="H444" i="1"/>
  <c r="H469" i="1"/>
  <c r="H470" i="1"/>
  <c r="F476" i="1"/>
  <c r="H489" i="1"/>
  <c r="H695" i="1"/>
  <c r="H703" i="1" s="1"/>
  <c r="I833" i="1"/>
  <c r="A833" i="1" s="1"/>
  <c r="A834" i="1" s="1"/>
  <c r="H1028" i="1"/>
  <c r="H1025" i="1"/>
  <c r="H1022" i="1"/>
  <c r="H1023" i="1"/>
  <c r="H1024" i="1"/>
  <c r="H1027" i="1"/>
  <c r="H35" i="1"/>
  <c r="H47" i="1" s="1"/>
  <c r="F107" i="1"/>
  <c r="H177" i="1"/>
  <c r="H188" i="1"/>
  <c r="G331" i="1"/>
  <c r="E331" i="1"/>
  <c r="H449" i="1"/>
  <c r="H400" i="1"/>
  <c r="H396" i="1"/>
  <c r="H397" i="1" s="1"/>
  <c r="H399" i="1"/>
  <c r="H412" i="1"/>
  <c r="H433" i="1"/>
  <c r="H435" i="1" s="1"/>
  <c r="D456" i="1"/>
  <c r="D457" i="1" s="1"/>
  <c r="D458" i="1" s="1"/>
  <c r="D466" i="1"/>
  <c r="H471" i="1"/>
  <c r="G476" i="1"/>
  <c r="I350" i="1"/>
  <c r="A350" i="1" s="1"/>
  <c r="I356" i="1"/>
  <c r="A356" i="1" s="1"/>
  <c r="I355" i="1"/>
  <c r="A355" i="1" s="1"/>
  <c r="I354" i="1"/>
  <c r="A354" i="1" s="1"/>
  <c r="I353" i="1"/>
  <c r="A353" i="1" s="1"/>
  <c r="I352" i="1"/>
  <c r="A352" i="1" s="1"/>
  <c r="A348" i="1"/>
  <c r="A349" i="1" s="1"/>
  <c r="I362" i="1"/>
  <c r="A362" i="1" s="1"/>
  <c r="I361" i="1"/>
  <c r="A361" i="1" s="1"/>
  <c r="I360" i="1"/>
  <c r="A360" i="1" s="1"/>
  <c r="I359" i="1"/>
  <c r="A359" i="1" s="1"/>
  <c r="I358" i="1"/>
  <c r="A358" i="1" s="1"/>
  <c r="I363" i="1"/>
  <c r="A363" i="1" s="1"/>
  <c r="H26" i="1"/>
  <c r="H36" i="1"/>
  <c r="D272" i="1"/>
  <c r="D273" i="1" s="1"/>
  <c r="H298" i="1"/>
  <c r="H374" i="1"/>
  <c r="D372" i="1"/>
  <c r="D373" i="1" s="1"/>
  <c r="H430" i="1"/>
  <c r="H429" i="1"/>
  <c r="H448" i="1" s="1"/>
  <c r="H436" i="1"/>
  <c r="H447" i="1" s="1"/>
  <c r="H488" i="1"/>
  <c r="F494" i="1"/>
  <c r="E494" i="1"/>
  <c r="H595" i="1"/>
  <c r="H541" i="1"/>
  <c r="H534" i="1"/>
  <c r="H550" i="1"/>
  <c r="H680" i="1"/>
  <c r="H681" i="1"/>
  <c r="H688" i="1"/>
  <c r="H1029" i="1"/>
  <c r="H425" i="1"/>
  <c r="F749" i="1"/>
  <c r="H805" i="1"/>
  <c r="E825" i="1"/>
  <c r="H1003" i="1"/>
  <c r="H1002" i="1"/>
  <c r="G1229" i="1"/>
  <c r="F1229" i="1"/>
  <c r="E1229" i="1"/>
  <c r="E308" i="1"/>
  <c r="I311" i="1"/>
  <c r="E332" i="1"/>
  <c r="H510" i="1"/>
  <c r="H648" i="1"/>
  <c r="H750" i="1"/>
  <c r="H755" i="1"/>
  <c r="H827" i="1"/>
  <c r="H1017" i="1"/>
  <c r="H1013" i="1"/>
  <c r="H2069" i="1"/>
  <c r="H2070" i="1" s="1"/>
  <c r="H2072" i="1" s="1"/>
  <c r="H2065" i="1"/>
  <c r="H2067" i="1"/>
  <c r="H2068" i="1" s="1"/>
  <c r="H2064" i="1"/>
  <c r="H2071" i="1"/>
  <c r="H2074" i="1" s="1"/>
  <c r="H2063" i="1"/>
  <c r="H2075" i="1" s="1"/>
  <c r="H2066" i="1"/>
  <c r="E875" i="1"/>
  <c r="E899" i="1"/>
  <c r="F928" i="1"/>
  <c r="F933" i="1"/>
  <c r="D1909" i="1"/>
  <c r="D1910" i="1" s="1"/>
  <c r="D1915" i="1" s="1"/>
  <c r="D1916" i="1" s="1"/>
  <c r="D1917" i="1" s="1"/>
  <c r="D1918" i="1" s="1"/>
  <c r="H459" i="1"/>
  <c r="E555" i="1"/>
  <c r="H637" i="1"/>
  <c r="E646" i="1"/>
  <c r="H656" i="1"/>
  <c r="H748" i="1"/>
  <c r="H754" i="1"/>
  <c r="H758" i="1"/>
  <c r="I826" i="1"/>
  <c r="A826" i="1" s="1"/>
  <c r="E848" i="1"/>
  <c r="H889" i="1"/>
  <c r="I889" i="1" s="1"/>
  <c r="A889" i="1" s="1"/>
  <c r="E950" i="1"/>
  <c r="F975" i="1"/>
  <c r="H1011" i="1"/>
  <c r="H1206" i="1"/>
  <c r="D1203" i="1"/>
  <c r="D1204" i="1" s="1"/>
  <c r="H1348" i="1"/>
  <c r="H1207" i="1"/>
  <c r="H1296" i="1"/>
  <c r="H1217" i="1"/>
  <c r="H1208" i="1"/>
  <c r="H1362" i="1"/>
  <c r="H1287" i="1"/>
  <c r="H1209" i="1"/>
  <c r="H1231" i="1"/>
  <c r="H1329" i="1"/>
  <c r="H1279" i="1"/>
  <c r="H1808" i="1"/>
  <c r="H1804" i="1"/>
  <c r="H1823" i="1"/>
  <c r="H1805" i="1"/>
  <c r="H1810" i="1"/>
  <c r="H1806" i="1"/>
  <c r="H1811" i="1"/>
  <c r="H1807" i="1"/>
  <c r="H753" i="1"/>
  <c r="H823" i="1"/>
  <c r="E905" i="1"/>
  <c r="F927" i="1"/>
  <c r="F932" i="1"/>
  <c r="H1010" i="1"/>
  <c r="H1100" i="1"/>
  <c r="H1102" i="1"/>
  <c r="H1104" i="1" s="1"/>
  <c r="H1105" i="1"/>
  <c r="D1908" i="1"/>
  <c r="D1205" i="1"/>
  <c r="H1593" i="1"/>
  <c r="H1578" i="1"/>
  <c r="H1594" i="1"/>
  <c r="H1595" i="1"/>
  <c r="H1591" i="1"/>
  <c r="H1599" i="1" s="1"/>
  <c r="H1600" i="1"/>
  <c r="H1592" i="1"/>
  <c r="H1596" i="1" s="1"/>
  <c r="H1695" i="1"/>
  <c r="H1698" i="1"/>
  <c r="F1782" i="1"/>
  <c r="H1793" i="1"/>
  <c r="H1797" i="1"/>
  <c r="H1921" i="1"/>
  <c r="E1310" i="1"/>
  <c r="H1474" i="1"/>
  <c r="H1511" i="1"/>
  <c r="H1568" i="1"/>
  <c r="H1662" i="1"/>
  <c r="H1666" i="1"/>
  <c r="H1670" i="1"/>
  <c r="H1674" i="1"/>
  <c r="H1675" i="1" s="1"/>
  <c r="H1678" i="1"/>
  <c r="H1756" i="1"/>
  <c r="G1782" i="1"/>
  <c r="D1907" i="1"/>
  <c r="H1911" i="1"/>
  <c r="H1925" i="1"/>
  <c r="H2691" i="1"/>
  <c r="H2690" i="1"/>
  <c r="H1321" i="1"/>
  <c r="H1403" i="1"/>
  <c r="H1407" i="1"/>
  <c r="H1411" i="1"/>
  <c r="H1454" i="1"/>
  <c r="E1473" i="1"/>
  <c r="H1630" i="1"/>
  <c r="H1632" i="1" s="1"/>
  <c r="H1634" i="1"/>
  <c r="H1637" i="1"/>
  <c r="H1716" i="1"/>
  <c r="H1765" i="1"/>
  <c r="E1933" i="1"/>
  <c r="G1933" i="1"/>
  <c r="H2216" i="1"/>
  <c r="H2214" i="1"/>
  <c r="H2217" i="1"/>
  <c r="H2220" i="1"/>
  <c r="H2218" i="1"/>
  <c r="H2215" i="1"/>
  <c r="H2219" i="1"/>
  <c r="E1472" i="1"/>
  <c r="F1473" i="1"/>
  <c r="H1495" i="1"/>
  <c r="H1657" i="1"/>
  <c r="H1661" i="1"/>
  <c r="H1665" i="1"/>
  <c r="H1669" i="1"/>
  <c r="H1673" i="1"/>
  <c r="H1677" i="1"/>
  <c r="H1693" i="1"/>
  <c r="H1738" i="1"/>
  <c r="H1835" i="1"/>
  <c r="F1933" i="1"/>
  <c r="F1230" i="1"/>
  <c r="F1309" i="1"/>
  <c r="H1320" i="1"/>
  <c r="H1398" i="1"/>
  <c r="H1402" i="1"/>
  <c r="H1406" i="1"/>
  <c r="H1410" i="1"/>
  <c r="H1458" i="1"/>
  <c r="H1461" i="1"/>
  <c r="F1472" i="1"/>
  <c r="H1502" i="1"/>
  <c r="H1629" i="1"/>
  <c r="D1688" i="1"/>
  <c r="D1689" i="1" s="1"/>
  <c r="H1692" i="1"/>
  <c r="H1702" i="1"/>
  <c r="E1714" i="1"/>
  <c r="F1715" i="1"/>
  <c r="H1732" i="1"/>
  <c r="H1795" i="1"/>
  <c r="H1243" i="1"/>
  <c r="H1417" i="1"/>
  <c r="H1451" i="1"/>
  <c r="H1466" i="1"/>
  <c r="H1519" i="1"/>
  <c r="E1546" i="1"/>
  <c r="H1601" i="1"/>
  <c r="H1660" i="1"/>
  <c r="H1664" i="1"/>
  <c r="H1668" i="1"/>
  <c r="H1672" i="1"/>
  <c r="H1676" i="1"/>
  <c r="D1687" i="1"/>
  <c r="H1691" i="1"/>
  <c r="F1714" i="1"/>
  <c r="H1737" i="1"/>
  <c r="H1748" i="1"/>
  <c r="H1821" i="1"/>
  <c r="H2011" i="1"/>
  <c r="H2012" i="1"/>
  <c r="H2013" i="1"/>
  <c r="E1937" i="1"/>
  <c r="H2498" i="1"/>
  <c r="H2497" i="1"/>
  <c r="H2501" i="1"/>
  <c r="H2499" i="1"/>
  <c r="H2500" i="1" s="1"/>
  <c r="H1401" i="1"/>
  <c r="H1405" i="1"/>
  <c r="H1409" i="1"/>
  <c r="H1479" i="1"/>
  <c r="H1528" i="1"/>
  <c r="E1545" i="1"/>
  <c r="F1546" i="1"/>
  <c r="H1628" i="1"/>
  <c r="H1652" i="1" s="1"/>
  <c r="H1648" i="1"/>
  <c r="H1690" i="1"/>
  <c r="H2047" i="1"/>
  <c r="H2021" i="1"/>
  <c r="H1961" i="1"/>
  <c r="H1955" i="1"/>
  <c r="H1988" i="1"/>
  <c r="H1979" i="1"/>
  <c r="H1962" i="1"/>
  <c r="H1939" i="1"/>
  <c r="H2028" i="1"/>
  <c r="H1971" i="1"/>
  <c r="H1914" i="1"/>
  <c r="F1937" i="1"/>
  <c r="H1242" i="1"/>
  <c r="H1456" i="1"/>
  <c r="H1644" i="1"/>
  <c r="H1645" i="1" s="1"/>
  <c r="H1646" i="1" s="1"/>
  <c r="H1647" i="1" s="1"/>
  <c r="H1650" i="1" s="1"/>
  <c r="H1663" i="1"/>
  <c r="H1667" i="1"/>
  <c r="H1671" i="1"/>
  <c r="H1739" i="1"/>
  <c r="H2152" i="1"/>
  <c r="H2157" i="1"/>
  <c r="H2163" i="1"/>
  <c r="H2371" i="1"/>
  <c r="H2619" i="1"/>
  <c r="H2617" i="1"/>
  <c r="H2615" i="1"/>
  <c r="H2613" i="1"/>
  <c r="H2618" i="1"/>
  <c r="H2616" i="1"/>
  <c r="H2614" i="1"/>
  <c r="H2686" i="1"/>
  <c r="H78" i="2"/>
  <c r="C78" i="2" s="1"/>
  <c r="H77" i="2"/>
  <c r="C77" i="2" s="1"/>
  <c r="H80" i="2"/>
  <c r="C80" i="2" s="1"/>
  <c r="C75" i="2"/>
  <c r="H329" i="2"/>
  <c r="C329" i="2" s="1"/>
  <c r="C326" i="2"/>
  <c r="H328" i="2"/>
  <c r="C328" i="2" s="1"/>
  <c r="H327" i="2"/>
  <c r="C327" i="2" s="1"/>
  <c r="H2147" i="1"/>
  <c r="D2145" i="1"/>
  <c r="G2237" i="1"/>
  <c r="E2237" i="1"/>
  <c r="H2504" i="1"/>
  <c r="H156" i="2"/>
  <c r="K157" i="2"/>
  <c r="K158" i="2" s="1"/>
  <c r="H2188" i="1"/>
  <c r="F2237" i="1"/>
  <c r="H2377" i="1"/>
  <c r="H2662" i="1"/>
  <c r="H2673" i="1"/>
  <c r="H2680" i="1" s="1"/>
  <c r="H199" i="2"/>
  <c r="C199" i="2" s="1"/>
  <c r="C196" i="2"/>
  <c r="H198" i="2"/>
  <c r="C198" i="2" s="1"/>
  <c r="K352" i="2"/>
  <c r="K348" i="2"/>
  <c r="K342" i="2"/>
  <c r="H339" i="2"/>
  <c r="K345" i="2"/>
  <c r="K353" i="2"/>
  <c r="K349" i="2"/>
  <c r="K343" i="2"/>
  <c r="K354" i="2"/>
  <c r="K350" i="2"/>
  <c r="K346" i="2"/>
  <c r="K340" i="2"/>
  <c r="K351" i="2"/>
  <c r="K347" i="2"/>
  <c r="K341" i="2"/>
  <c r="K177" i="2"/>
  <c r="K179" i="2"/>
  <c r="K344" i="2"/>
  <c r="K176" i="2"/>
  <c r="K175" i="2"/>
  <c r="K355" i="2"/>
  <c r="K178" i="2"/>
  <c r="H413" i="2"/>
  <c r="K415" i="2"/>
  <c r="K414" i="2"/>
  <c r="H2221" i="1"/>
  <c r="H2260" i="1"/>
  <c r="H2195" i="1"/>
  <c r="H2159" i="1"/>
  <c r="H2148" i="1"/>
  <c r="D2144" i="1"/>
  <c r="H2279" i="1"/>
  <c r="H2149" i="1"/>
  <c r="H2293" i="1"/>
  <c r="H2173" i="1"/>
  <c r="H2193" i="1"/>
  <c r="G2580" i="1"/>
  <c r="E2580" i="1"/>
  <c r="H2682" i="1"/>
  <c r="H2678" i="1"/>
  <c r="H2674" i="1"/>
  <c r="H2681" i="1" s="1"/>
  <c r="H2696" i="1"/>
  <c r="H2675" i="1"/>
  <c r="H2679" i="1" s="1"/>
  <c r="F2580" i="1"/>
  <c r="H2687" i="1"/>
  <c r="H2688" i="1" s="1"/>
  <c r="H179" i="2"/>
  <c r="C179" i="2" s="1"/>
  <c r="C174" i="2"/>
  <c r="H176" i="2"/>
  <c r="C176" i="2" s="1"/>
  <c r="H177" i="2"/>
  <c r="C177" i="2" s="1"/>
  <c r="H178" i="2"/>
  <c r="C178" i="2" s="1"/>
  <c r="L268" i="2"/>
  <c r="L267" i="2"/>
  <c r="H266" i="2"/>
  <c r="H412" i="2"/>
  <c r="C412" i="2" s="1"/>
  <c r="H410" i="2"/>
  <c r="C410" i="2" s="1"/>
  <c r="C409" i="2"/>
  <c r="H411" i="2"/>
  <c r="C411" i="2" s="1"/>
  <c r="E2166" i="1"/>
  <c r="G2166" i="1"/>
  <c r="H2210" i="1"/>
  <c r="H2208" i="1"/>
  <c r="H2206" i="1"/>
  <c r="P65" i="2"/>
  <c r="P64" i="2"/>
  <c r="C64" i="2" s="1"/>
  <c r="C63" i="2"/>
  <c r="H128" i="2"/>
  <c r="C128" i="2" s="1"/>
  <c r="C125" i="2"/>
  <c r="H127" i="2"/>
  <c r="C127" i="2" s="1"/>
  <c r="H126" i="2"/>
  <c r="C126" i="2" s="1"/>
  <c r="H309" i="2"/>
  <c r="C309" i="2" s="1"/>
  <c r="H308" i="2"/>
  <c r="C308" i="2" s="1"/>
  <c r="C307" i="2"/>
  <c r="F2005" i="1"/>
  <c r="D2155" i="1"/>
  <c r="F2166" i="1"/>
  <c r="H2207" i="1"/>
  <c r="H2441" i="1"/>
  <c r="H2383" i="1"/>
  <c r="H2380" i="1"/>
  <c r="H2372" i="1"/>
  <c r="H2432" i="1"/>
  <c r="H2374" i="1"/>
  <c r="H2483" i="1"/>
  <c r="H2375" i="1"/>
  <c r="H2423" i="1"/>
  <c r="H2394" i="1"/>
  <c r="H2458" i="1"/>
  <c r="H2378" i="1"/>
  <c r="H2370" i="1"/>
  <c r="D2370" i="1" s="1"/>
  <c r="L424" i="2"/>
  <c r="L310" i="2"/>
  <c r="L498" i="2"/>
  <c r="L411" i="2"/>
  <c r="L154" i="2"/>
  <c r="L488" i="2"/>
  <c r="L259" i="2"/>
  <c r="L237" i="2"/>
  <c r="L56" i="2"/>
  <c r="L145" i="2"/>
  <c r="L20" i="2"/>
  <c r="H18" i="2"/>
  <c r="L227" i="2"/>
  <c r="L167" i="2"/>
  <c r="L19" i="2"/>
  <c r="H37" i="2"/>
  <c r="C134" i="2"/>
  <c r="H136" i="2"/>
  <c r="C136" i="2" s="1"/>
  <c r="H135" i="2"/>
  <c r="C135" i="2" s="1"/>
  <c r="H2146" i="1"/>
  <c r="D2146" i="1" s="1"/>
  <c r="G2172" i="1"/>
  <c r="F2172" i="1"/>
  <c r="E2172" i="1"/>
  <c r="H2209" i="1"/>
  <c r="H2253" i="1"/>
  <c r="H2564" i="1"/>
  <c r="L38" i="2"/>
  <c r="H110" i="2"/>
  <c r="C110" i="2" s="1"/>
  <c r="C109" i="2"/>
  <c r="H111" i="2"/>
  <c r="C111" i="2" s="1"/>
  <c r="H118" i="2"/>
  <c r="C118" i="2" s="1"/>
  <c r="C117" i="2"/>
  <c r="C142" i="2"/>
  <c r="H143" i="2"/>
  <c r="C143" i="2" s="1"/>
  <c r="K166" i="2"/>
  <c r="K165" i="2"/>
  <c r="H164" i="2"/>
  <c r="H197" i="2"/>
  <c r="C197" i="2" s="1"/>
  <c r="L215" i="2"/>
  <c r="L216" i="2"/>
  <c r="L258" i="2"/>
  <c r="L257" i="2"/>
  <c r="H256" i="2"/>
  <c r="H391" i="2"/>
  <c r="C391" i="2" s="1"/>
  <c r="H381" i="2"/>
  <c r="C381" i="2" s="1"/>
  <c r="H370" i="2"/>
  <c r="H371" i="2"/>
  <c r="H388" i="2"/>
  <c r="C388" i="2" s="1"/>
  <c r="H383" i="2"/>
  <c r="C383" i="2" s="1"/>
  <c r="H372" i="2"/>
  <c r="P356" i="2"/>
  <c r="H373" i="2"/>
  <c r="H389" i="2"/>
  <c r="C389" i="2" s="1"/>
  <c r="H374" i="2"/>
  <c r="H366" i="2"/>
  <c r="H365" i="2"/>
  <c r="H364" i="2"/>
  <c r="H363" i="2"/>
  <c r="H362" i="2"/>
  <c r="H361" i="2"/>
  <c r="H360" i="2"/>
  <c r="H357" i="2"/>
  <c r="H390" i="2"/>
  <c r="C390" i="2" s="1"/>
  <c r="H368" i="2"/>
  <c r="H358" i="2"/>
  <c r="H380" i="2"/>
  <c r="C380" i="2" s="1"/>
  <c r="H369" i="2"/>
  <c r="H394" i="2"/>
  <c r="C394" i="2" s="1"/>
  <c r="H378" i="2"/>
  <c r="C378" i="2" s="1"/>
  <c r="H367" i="2"/>
  <c r="H375" i="2"/>
  <c r="H359" i="2"/>
  <c r="K497" i="2"/>
  <c r="K496" i="2"/>
  <c r="H495" i="2"/>
  <c r="C526" i="2"/>
  <c r="H528" i="2"/>
  <c r="C528" i="2" s="1"/>
  <c r="H527" i="2"/>
  <c r="C527" i="2" s="1"/>
  <c r="H2562" i="1"/>
  <c r="H2620" i="1"/>
  <c r="K19" i="2"/>
  <c r="K38" i="2"/>
  <c r="L46" i="2"/>
  <c r="K69" i="2"/>
  <c r="H97" i="2"/>
  <c r="C97" i="2" s="1"/>
  <c r="L118" i="2"/>
  <c r="H213" i="2"/>
  <c r="H473" i="2"/>
  <c r="L487" i="2"/>
  <c r="L486" i="2"/>
  <c r="K517" i="2"/>
  <c r="K514" i="2"/>
  <c r="K516" i="2"/>
  <c r="H513" i="2"/>
  <c r="K675" i="2"/>
  <c r="J675" i="2"/>
  <c r="D676" i="2"/>
  <c r="I675" i="2"/>
  <c r="N675" i="2"/>
  <c r="M675" i="2"/>
  <c r="L675" i="2"/>
  <c r="H675" i="2"/>
  <c r="C675" i="2" s="1"/>
  <c r="H465" i="2"/>
  <c r="K467" i="2"/>
  <c r="K466" i="2"/>
  <c r="L475" i="2"/>
  <c r="L477" i="2"/>
  <c r="L476" i="2"/>
  <c r="L474" i="2"/>
  <c r="K488" i="2"/>
  <c r="K542" i="2"/>
  <c r="H534" i="2"/>
  <c r="K536" i="2"/>
  <c r="K535" i="2"/>
  <c r="L657" i="2"/>
  <c r="L656" i="2"/>
  <c r="L658" i="2"/>
  <c r="K819" i="2"/>
  <c r="K810" i="2"/>
  <c r="K821" i="2"/>
  <c r="K812" i="2"/>
  <c r="K822" i="2"/>
  <c r="H809" i="2"/>
  <c r="K820" i="2"/>
  <c r="K811" i="2"/>
  <c r="K813" i="2"/>
  <c r="H2560" i="1"/>
  <c r="H2568" i="1"/>
  <c r="H2571" i="1"/>
  <c r="H2629" i="1"/>
  <c r="H27" i="2"/>
  <c r="L29" i="2"/>
  <c r="K119" i="2"/>
  <c r="K144" i="2"/>
  <c r="H153" i="2"/>
  <c r="C153" i="2" s="1"/>
  <c r="C152" i="2"/>
  <c r="H154" i="2"/>
  <c r="C154" i="2" s="1"/>
  <c r="L197" i="2"/>
  <c r="L199" i="2"/>
  <c r="K410" i="2"/>
  <c r="H244" i="2"/>
  <c r="K153" i="2"/>
  <c r="K245" i="2"/>
  <c r="H248" i="2"/>
  <c r="K249" i="2"/>
  <c r="L304" i="2"/>
  <c r="L309" i="2"/>
  <c r="L303" i="2"/>
  <c r="H449" i="2"/>
  <c r="C449" i="2" s="1"/>
  <c r="C448" i="2"/>
  <c r="K977" i="2"/>
  <c r="H973" i="2"/>
  <c r="K976" i="2"/>
  <c r="K975" i="2"/>
  <c r="K974" i="2"/>
  <c r="H2559" i="1"/>
  <c r="K39" i="2"/>
  <c r="C45" i="2"/>
  <c r="H53" i="2"/>
  <c r="H96" i="2"/>
  <c r="C96" i="2" s="1"/>
  <c r="K97" i="2"/>
  <c r="H99" i="2"/>
  <c r="P99" i="2" s="1"/>
  <c r="C99" i="2" s="1"/>
  <c r="H103" i="2"/>
  <c r="C103" i="2" s="1"/>
  <c r="K111" i="2"/>
  <c r="K127" i="2"/>
  <c r="K128" i="2"/>
  <c r="L189" i="2"/>
  <c r="H188" i="2"/>
  <c r="L190" i="2"/>
  <c r="K207" i="2"/>
  <c r="K206" i="2"/>
  <c r="H205" i="2"/>
  <c r="H376" i="2"/>
  <c r="C376" i="2" s="1"/>
  <c r="H556" i="2"/>
  <c r="C556" i="2" s="1"/>
  <c r="H553" i="2"/>
  <c r="C553" i="2" s="1"/>
  <c r="H554" i="2"/>
  <c r="C554" i="2" s="1"/>
  <c r="C550" i="2"/>
  <c r="H585" i="2"/>
  <c r="P585" i="2" s="1"/>
  <c r="C585" i="2" s="1"/>
  <c r="H591" i="2"/>
  <c r="P591" i="2" s="1"/>
  <c r="C591" i="2" s="1"/>
  <c r="H589" i="2"/>
  <c r="P584" i="2"/>
  <c r="H590" i="2"/>
  <c r="P590" i="2" s="1"/>
  <c r="C590" i="2" s="1"/>
  <c r="H588" i="2"/>
  <c r="H609" i="2"/>
  <c r="C609" i="2" s="1"/>
  <c r="H611" i="2"/>
  <c r="C611" i="2" s="1"/>
  <c r="H607" i="2"/>
  <c r="C607" i="2" s="1"/>
  <c r="C602" i="2"/>
  <c r="H604" i="2"/>
  <c r="C604" i="2" s="1"/>
  <c r="H610" i="2"/>
  <c r="C610" i="2" s="1"/>
  <c r="H603" i="2"/>
  <c r="C603" i="2" s="1"/>
  <c r="H606" i="2"/>
  <c r="C606" i="2" s="1"/>
  <c r="K624" i="2"/>
  <c r="H622" i="2"/>
  <c r="K627" i="2"/>
  <c r="K626" i="2"/>
  <c r="K623" i="2"/>
  <c r="K625" i="2"/>
  <c r="I656" i="2"/>
  <c r="M656" i="2"/>
  <c r="D661" i="2"/>
  <c r="K656" i="2"/>
  <c r="J656" i="2"/>
  <c r="H2558" i="1"/>
  <c r="D2558" i="1" s="1"/>
  <c r="H2566" i="1"/>
  <c r="H2646" i="1"/>
  <c r="H16" i="2"/>
  <c r="P16" i="2" s="1"/>
  <c r="C16" i="2" s="1"/>
  <c r="H65" i="2"/>
  <c r="H98" i="2"/>
  <c r="P98" i="2" s="1"/>
  <c r="C98" i="2" s="1"/>
  <c r="H95" i="2"/>
  <c r="P95" i="2" s="1"/>
  <c r="C95" i="2" s="1"/>
  <c r="H93" i="2"/>
  <c r="P93" i="2" s="1"/>
  <c r="C93" i="2" s="1"/>
  <c r="H102" i="2"/>
  <c r="C102" i="2" s="1"/>
  <c r="C283" i="2"/>
  <c r="H285" i="2"/>
  <c r="C285" i="2" s="1"/>
  <c r="H291" i="2"/>
  <c r="K293" i="2"/>
  <c r="K294" i="2"/>
  <c r="K292" i="2"/>
  <c r="H398" i="2"/>
  <c r="C398" i="2" s="1"/>
  <c r="H399" i="2"/>
  <c r="C399" i="2" s="1"/>
  <c r="H397" i="2"/>
  <c r="C397" i="2" s="1"/>
  <c r="H507" i="2"/>
  <c r="C507" i="2" s="1"/>
  <c r="C505" i="2"/>
  <c r="L528" i="2"/>
  <c r="L527" i="2"/>
  <c r="L536" i="2"/>
  <c r="D545" i="2"/>
  <c r="J536" i="2"/>
  <c r="I536" i="2"/>
  <c r="N536" i="2"/>
  <c r="H733" i="2"/>
  <c r="C733" i="2" s="1"/>
  <c r="C730" i="2"/>
  <c r="H731" i="2"/>
  <c r="C731" i="2" s="1"/>
  <c r="H734" i="2"/>
  <c r="C734" i="2" s="1"/>
  <c r="D1040" i="2"/>
  <c r="D1039" i="2" s="1"/>
  <c r="L1034" i="2"/>
  <c r="J1034" i="2"/>
  <c r="I1034" i="2"/>
  <c r="K1034" i="2"/>
  <c r="H1046" i="2"/>
  <c r="C1046" i="2" s="1"/>
  <c r="H1044" i="2"/>
  <c r="C1044" i="2" s="1"/>
  <c r="P1042" i="2"/>
  <c r="C1042" i="2" s="1"/>
  <c r="H1043" i="2"/>
  <c r="C1043" i="2" s="1"/>
  <c r="H1045" i="2"/>
  <c r="C1045" i="2" s="1"/>
  <c r="H1047" i="2"/>
  <c r="C1047" i="2" s="1"/>
  <c r="H2565" i="1"/>
  <c r="H106" i="2"/>
  <c r="C106" i="2" s="1"/>
  <c r="H234" i="2"/>
  <c r="L327" i="2"/>
  <c r="L329" i="2"/>
  <c r="H423" i="2"/>
  <c r="C423" i="2" s="1"/>
  <c r="H422" i="2"/>
  <c r="C422" i="2" s="1"/>
  <c r="C421" i="2"/>
  <c r="K666" i="2"/>
  <c r="J666" i="2"/>
  <c r="I666" i="2"/>
  <c r="N666" i="2"/>
  <c r="M666" i="2"/>
  <c r="L666" i="2"/>
  <c r="H1120" i="2"/>
  <c r="C1120" i="2" s="1"/>
  <c r="H1122" i="2"/>
  <c r="C1122" i="2" s="1"/>
  <c r="H1117" i="2"/>
  <c r="C1117" i="2" s="1"/>
  <c r="P1115" i="2"/>
  <c r="C1115" i="2" s="1"/>
  <c r="H1118" i="2"/>
  <c r="C1118" i="2" s="1"/>
  <c r="H1116" i="2"/>
  <c r="C1116" i="2" s="1"/>
  <c r="H1121" i="2"/>
  <c r="C1121" i="2" s="1"/>
  <c r="H1119" i="2"/>
  <c r="C1119" i="2" s="1"/>
  <c r="H2582" i="1"/>
  <c r="K227" i="2"/>
  <c r="K424" i="2"/>
  <c r="K310" i="2"/>
  <c r="K145" i="2"/>
  <c r="K498" i="2"/>
  <c r="K411" i="2"/>
  <c r="K154" i="2"/>
  <c r="K246" i="2"/>
  <c r="K167" i="2"/>
  <c r="K30" i="2"/>
  <c r="H101" i="2"/>
  <c r="C101" i="2" s="1"/>
  <c r="H225" i="2"/>
  <c r="C225" i="2" s="1"/>
  <c r="C224" i="2"/>
  <c r="L235" i="2"/>
  <c r="K237" i="2"/>
  <c r="L285" i="2"/>
  <c r="L284" i="2"/>
  <c r="C485" i="2"/>
  <c r="H487" i="2"/>
  <c r="C487" i="2" s="1"/>
  <c r="K537" i="2"/>
  <c r="H763" i="2"/>
  <c r="L765" i="2"/>
  <c r="L771" i="2"/>
  <c r="L764" i="2"/>
  <c r="D1722" i="2"/>
  <c r="K214" i="2"/>
  <c r="L225" i="2"/>
  <c r="K235" i="2"/>
  <c r="L250" i="2"/>
  <c r="L275" i="2"/>
  <c r="K303" i="2"/>
  <c r="L318" i="2"/>
  <c r="K377" i="2"/>
  <c r="K380" i="2"/>
  <c r="K386" i="2"/>
  <c r="K434" i="2"/>
  <c r="L449" i="2"/>
  <c r="K474" i="2"/>
  <c r="L515" i="2"/>
  <c r="I615" i="2"/>
  <c r="P634" i="2"/>
  <c r="H645" i="2"/>
  <c r="J646" i="2"/>
  <c r="C777" i="2"/>
  <c r="H777" i="2"/>
  <c r="D777" i="2" s="1"/>
  <c r="J819" i="2"/>
  <c r="N819" i="2"/>
  <c r="M819" i="2"/>
  <c r="I819" i="2"/>
  <c r="L1122" i="2"/>
  <c r="L1117" i="2"/>
  <c r="L1121" i="2"/>
  <c r="L1116" i="2"/>
  <c r="L1120" i="2"/>
  <c r="L1118" i="2"/>
  <c r="L344" i="2"/>
  <c r="J354" i="2"/>
  <c r="L355" i="2"/>
  <c r="K359" i="2"/>
  <c r="K378" i="2"/>
  <c r="K436" i="2"/>
  <c r="K458" i="2"/>
  <c r="K477" i="2"/>
  <c r="K527" i="2"/>
  <c r="L535" i="2"/>
  <c r="L537" i="2"/>
  <c r="H577" i="2"/>
  <c r="C577" i="2" s="1"/>
  <c r="H576" i="2"/>
  <c r="C576" i="2" s="1"/>
  <c r="H575" i="2"/>
  <c r="C575" i="2" s="1"/>
  <c r="D598" i="2"/>
  <c r="N595" i="2"/>
  <c r="J603" i="2"/>
  <c r="O603" i="2"/>
  <c r="L615" i="2"/>
  <c r="K616" i="2"/>
  <c r="D618" i="2"/>
  <c r="L627" i="2"/>
  <c r="L623" i="2"/>
  <c r="H639" i="2"/>
  <c r="M646" i="2"/>
  <c r="H684" i="2"/>
  <c r="C684" i="2" s="1"/>
  <c r="H667" i="2"/>
  <c r="C667" i="2" s="1"/>
  <c r="H689" i="2"/>
  <c r="C689" i="2" s="1"/>
  <c r="H678" i="2"/>
  <c r="C678" i="2" s="1"/>
  <c r="H686" i="2"/>
  <c r="C686" i="2" s="1"/>
  <c r="H685" i="2"/>
  <c r="C685" i="2" s="1"/>
  <c r="H668" i="2"/>
  <c r="C668" i="2" s="1"/>
  <c r="H666" i="2"/>
  <c r="C666" i="2" s="1"/>
  <c r="H688" i="2"/>
  <c r="C688" i="2" s="1"/>
  <c r="H720" i="2"/>
  <c r="C719" i="2"/>
  <c r="P746" i="2"/>
  <c r="H934" i="2"/>
  <c r="H937" i="2"/>
  <c r="H935" i="2"/>
  <c r="C935" i="2" s="1"/>
  <c r="P932" i="2"/>
  <c r="H936" i="2"/>
  <c r="H933" i="2"/>
  <c r="K956" i="2"/>
  <c r="K954" i="2"/>
  <c r="K955" i="2"/>
  <c r="H953" i="2"/>
  <c r="J1004" i="2"/>
  <c r="K1004" i="2"/>
  <c r="D1011" i="2"/>
  <c r="D1010" i="2" s="1"/>
  <c r="I1004" i="2"/>
  <c r="K1075" i="2"/>
  <c r="K1073" i="2"/>
  <c r="K1074" i="2"/>
  <c r="H1072" i="2"/>
  <c r="P1107" i="2"/>
  <c r="P1106" i="2"/>
  <c r="C1102" i="2"/>
  <c r="P1105" i="2"/>
  <c r="P1104" i="2"/>
  <c r="C1104" i="2" s="1"/>
  <c r="P1108" i="2"/>
  <c r="P1103" i="2"/>
  <c r="L226" i="2"/>
  <c r="K236" i="2"/>
  <c r="K304" i="2"/>
  <c r="L340" i="2"/>
  <c r="L346" i="2"/>
  <c r="L350" i="2"/>
  <c r="K360" i="2"/>
  <c r="K361" i="2"/>
  <c r="K362" i="2"/>
  <c r="K363" i="2"/>
  <c r="K364" i="2"/>
  <c r="K384" i="2"/>
  <c r="H431" i="2"/>
  <c r="K433" i="2"/>
  <c r="L450" i="2"/>
  <c r="H456" i="2"/>
  <c r="M537" i="2"/>
  <c r="I613" i="2"/>
  <c r="L616" i="2"/>
  <c r="H674" i="2"/>
  <c r="C674" i="2" s="1"/>
  <c r="H676" i="2"/>
  <c r="C676" i="2" s="1"/>
  <c r="H677" i="2"/>
  <c r="C677" i="2" s="1"/>
  <c r="K727" i="2"/>
  <c r="C736" i="2"/>
  <c r="H798" i="2"/>
  <c r="N851" i="2"/>
  <c r="J851" i="2"/>
  <c r="M851" i="2"/>
  <c r="I851" i="2"/>
  <c r="H851" i="2"/>
  <c r="C851" i="2" s="1"/>
  <c r="K992" i="2"/>
  <c r="J992" i="2"/>
  <c r="I992" i="2"/>
  <c r="R992" i="2"/>
  <c r="L992" i="2"/>
  <c r="H992" i="2"/>
  <c r="J1035" i="2"/>
  <c r="L1035" i="2"/>
  <c r="K1035" i="2"/>
  <c r="I1035" i="2"/>
  <c r="H1066" i="2"/>
  <c r="C1066" i="2" s="1"/>
  <c r="H1065" i="2"/>
  <c r="C1065" i="2" s="1"/>
  <c r="P1062" i="2"/>
  <c r="C1062" i="2" s="1"/>
  <c r="H1064" i="2"/>
  <c r="C1064" i="2" s="1"/>
  <c r="H1067" i="2"/>
  <c r="C1067" i="2" s="1"/>
  <c r="H1114" i="2"/>
  <c r="C1114" i="2" s="1"/>
  <c r="P1111" i="2"/>
  <c r="C1111" i="2" s="1"/>
  <c r="H1113" i="2"/>
  <c r="C1113" i="2" s="1"/>
  <c r="H1112" i="2"/>
  <c r="C1112" i="2" s="1"/>
  <c r="K215" i="2"/>
  <c r="H274" i="2"/>
  <c r="H317" i="2"/>
  <c r="L354" i="2"/>
  <c r="K475" i="2"/>
  <c r="H596" i="2"/>
  <c r="C596" i="2" s="1"/>
  <c r="H597" i="2"/>
  <c r="C597" i="2" s="1"/>
  <c r="N615" i="2"/>
  <c r="K615" i="2"/>
  <c r="H690" i="2"/>
  <c r="C690" i="2" s="1"/>
  <c r="C726" i="2"/>
  <c r="H727" i="2"/>
  <c r="C727" i="2" s="1"/>
  <c r="H761" i="2"/>
  <c r="C761" i="2" s="1"/>
  <c r="H760" i="2"/>
  <c r="C760" i="2" s="1"/>
  <c r="C759" i="2"/>
  <c r="H860" i="2"/>
  <c r="H861" i="2"/>
  <c r="H858" i="2"/>
  <c r="H856" i="2"/>
  <c r="H859" i="2"/>
  <c r="H855" i="2"/>
  <c r="H857" i="2"/>
  <c r="H1024" i="2"/>
  <c r="C1024" i="2" s="1"/>
  <c r="H1028" i="2"/>
  <c r="C1028" i="2" s="1"/>
  <c r="H1027" i="2"/>
  <c r="C1027" i="2" s="1"/>
  <c r="H1026" i="2"/>
  <c r="C1026" i="2" s="1"/>
  <c r="P1023" i="2"/>
  <c r="C1023" i="2" s="1"/>
  <c r="H1025" i="2"/>
  <c r="C1025" i="2" s="1"/>
  <c r="P1109" i="2"/>
  <c r="H302" i="2"/>
  <c r="L343" i="2"/>
  <c r="L349" i="2"/>
  <c r="H595" i="2"/>
  <c r="C595" i="2" s="1"/>
  <c r="D608" i="2"/>
  <c r="H608" i="2" s="1"/>
  <c r="C608" i="2" s="1"/>
  <c r="L650" i="2"/>
  <c r="L660" i="2"/>
  <c r="L647" i="2"/>
  <c r="L614" i="2"/>
  <c r="L607" i="2"/>
  <c r="H612" i="2"/>
  <c r="L613" i="2"/>
  <c r="K613" i="2"/>
  <c r="L617" i="2"/>
  <c r="L624" i="2"/>
  <c r="H644" i="2"/>
  <c r="H643" i="2"/>
  <c r="H642" i="2"/>
  <c r="H641" i="2"/>
  <c r="H637" i="2"/>
  <c r="H635" i="2"/>
  <c r="H679" i="2"/>
  <c r="C679" i="2" s="1"/>
  <c r="K683" i="2"/>
  <c r="J683" i="2"/>
  <c r="I683" i="2"/>
  <c r="D691" i="2"/>
  <c r="N683" i="2"/>
  <c r="K700" i="2"/>
  <c r="K706" i="2"/>
  <c r="K707" i="2"/>
  <c r="H705" i="2"/>
  <c r="K760" i="2"/>
  <c r="K761" i="2"/>
  <c r="P779" i="2"/>
  <c r="P782" i="2"/>
  <c r="P780" i="2"/>
  <c r="P784" i="2"/>
  <c r="P781" i="2"/>
  <c r="P783" i="2"/>
  <c r="L871" i="2"/>
  <c r="L856" i="2"/>
  <c r="L872" i="2"/>
  <c r="L884" i="2"/>
  <c r="L880" i="2"/>
  <c r="L857" i="2"/>
  <c r="L803" i="2"/>
  <c r="L799" i="2"/>
  <c r="L873" i="2"/>
  <c r="L869" i="2"/>
  <c r="L860" i="2"/>
  <c r="L870" i="2"/>
  <c r="L858" i="2"/>
  <c r="L883" i="2"/>
  <c r="L804" i="2"/>
  <c r="L802" i="2"/>
  <c r="L800" i="2"/>
  <c r="L882" i="2"/>
  <c r="L879" i="2"/>
  <c r="L859" i="2"/>
  <c r="L801" i="2"/>
  <c r="P854" i="2"/>
  <c r="K914" i="2"/>
  <c r="I914" i="2"/>
  <c r="N914" i="2"/>
  <c r="M914" i="2"/>
  <c r="L914" i="2"/>
  <c r="J914" i="2"/>
  <c r="H566" i="2"/>
  <c r="K605" i="2"/>
  <c r="K603" i="2"/>
  <c r="K604" i="2"/>
  <c r="J616" i="2"/>
  <c r="I616" i="2"/>
  <c r="N616" i="2"/>
  <c r="L700" i="2"/>
  <c r="L706" i="2"/>
  <c r="L699" i="2"/>
  <c r="K720" i="2"/>
  <c r="K714" i="2"/>
  <c r="H712" i="2"/>
  <c r="K713" i="2"/>
  <c r="D806" i="2"/>
  <c r="R806" i="2" s="1"/>
  <c r="R807" i="2"/>
  <c r="H820" i="2"/>
  <c r="C820" i="2" s="1"/>
  <c r="H822" i="2"/>
  <c r="C822" i="2" s="1"/>
  <c r="P818" i="2"/>
  <c r="C818" i="2" s="1"/>
  <c r="H823" i="2"/>
  <c r="C823" i="2" s="1"/>
  <c r="H821" i="2"/>
  <c r="C821" i="2" s="1"/>
  <c r="H819" i="2"/>
  <c r="C819" i="2" s="1"/>
  <c r="H824" i="2"/>
  <c r="C824" i="2" s="1"/>
  <c r="K923" i="2"/>
  <c r="I923" i="2"/>
  <c r="N923" i="2"/>
  <c r="M923" i="2"/>
  <c r="L923" i="2"/>
  <c r="J923" i="2"/>
  <c r="I977" i="2"/>
  <c r="L977" i="2"/>
  <c r="J977" i="2"/>
  <c r="H1090" i="2"/>
  <c r="H1092" i="2"/>
  <c r="H1093" i="2"/>
  <c r="P1087" i="2"/>
  <c r="H1088" i="2"/>
  <c r="H1089" i="2"/>
  <c r="I640" i="2"/>
  <c r="Q640" i="2"/>
  <c r="K646" i="2"/>
  <c r="K659" i="2"/>
  <c r="K667" i="2"/>
  <c r="J674" i="2"/>
  <c r="L678" i="2"/>
  <c r="K684" i="2"/>
  <c r="L689" i="2"/>
  <c r="K731" i="2"/>
  <c r="K738" i="2"/>
  <c r="K753" i="2"/>
  <c r="K784" i="2"/>
  <c r="K802" i="2"/>
  <c r="K803" i="2"/>
  <c r="K799" i="2"/>
  <c r="L810" i="2"/>
  <c r="L812" i="2"/>
  <c r="N810" i="2"/>
  <c r="K823" i="2"/>
  <c r="D847" i="2"/>
  <c r="H847" i="2" s="1"/>
  <c r="C847" i="2" s="1"/>
  <c r="J841" i="2"/>
  <c r="I841" i="2"/>
  <c r="H843" i="2"/>
  <c r="C843" i="2" s="1"/>
  <c r="K873" i="2"/>
  <c r="L975" i="2"/>
  <c r="L974" i="2"/>
  <c r="H996" i="2"/>
  <c r="I1006" i="2"/>
  <c r="L1044" i="2"/>
  <c r="K1066" i="2"/>
  <c r="K1092" i="2"/>
  <c r="K1105" i="2"/>
  <c r="L1132" i="2"/>
  <c r="L1131" i="2"/>
  <c r="H1126" i="2"/>
  <c r="L1128" i="2"/>
  <c r="L1127" i="2"/>
  <c r="L1129" i="2"/>
  <c r="H835" i="2"/>
  <c r="H836" i="2"/>
  <c r="H831" i="2"/>
  <c r="H849" i="2"/>
  <c r="P849" i="2" s="1"/>
  <c r="C849" i="2" s="1"/>
  <c r="K851" i="2"/>
  <c r="L954" i="2"/>
  <c r="L957" i="2"/>
  <c r="H981" i="2"/>
  <c r="C981" i="2" s="1"/>
  <c r="H985" i="2"/>
  <c r="C985" i="2" s="1"/>
  <c r="H1056" i="2"/>
  <c r="C1056" i="2" s="1"/>
  <c r="H1055" i="2"/>
  <c r="C1055" i="2" s="1"/>
  <c r="P1052" i="2"/>
  <c r="C1052" i="2" s="1"/>
  <c r="H1054" i="2"/>
  <c r="C1054" i="2" s="1"/>
  <c r="H1053" i="2"/>
  <c r="C1053" i="2" s="1"/>
  <c r="K1065" i="2"/>
  <c r="K1063" i="2"/>
  <c r="L1174" i="2"/>
  <c r="L1178" i="2"/>
  <c r="L1180" i="2"/>
  <c r="H1172" i="2"/>
  <c r="L1177" i="2"/>
  <c r="L1175" i="2"/>
  <c r="L1162" i="2"/>
  <c r="L1179" i="2"/>
  <c r="L1173" i="2"/>
  <c r="H1341" i="2"/>
  <c r="C1341" i="2" s="1"/>
  <c r="H1346" i="2"/>
  <c r="C1346" i="2" s="1"/>
  <c r="H1338" i="2"/>
  <c r="C1338" i="2" s="1"/>
  <c r="H1343" i="2"/>
  <c r="C1343" i="2" s="1"/>
  <c r="H1340" i="2"/>
  <c r="C1340" i="2" s="1"/>
  <c r="H1345" i="2"/>
  <c r="C1345" i="2" s="1"/>
  <c r="H1337" i="2"/>
  <c r="C1337" i="2" s="1"/>
  <c r="P1335" i="2"/>
  <c r="C1335" i="2" s="1"/>
  <c r="H1342" i="2"/>
  <c r="C1342" i="2" s="1"/>
  <c r="H1339" i="2"/>
  <c r="C1339" i="2" s="1"/>
  <c r="H1420" i="2"/>
  <c r="C1420" i="2" s="1"/>
  <c r="P1418" i="2"/>
  <c r="C1418" i="2" s="1"/>
  <c r="H1421" i="2"/>
  <c r="C1421" i="2" s="1"/>
  <c r="H1419" i="2"/>
  <c r="C1419" i="2" s="1"/>
  <c r="D1605" i="2"/>
  <c r="D1589" i="2"/>
  <c r="D1503" i="2"/>
  <c r="K637" i="2"/>
  <c r="L640" i="2"/>
  <c r="K641" i="2"/>
  <c r="K642" i="2"/>
  <c r="K643" i="2"/>
  <c r="K644" i="2"/>
  <c r="K668" i="2"/>
  <c r="M674" i="2"/>
  <c r="K685" i="2"/>
  <c r="K793" i="2"/>
  <c r="K791" i="2"/>
  <c r="K789" i="2"/>
  <c r="M789" i="2"/>
  <c r="K843" i="2"/>
  <c r="K834" i="2"/>
  <c r="K841" i="2"/>
  <c r="L851" i="2"/>
  <c r="L955" i="2"/>
  <c r="K967" i="2"/>
  <c r="L1026" i="2"/>
  <c r="L1025" i="2"/>
  <c r="L1024" i="2"/>
  <c r="J1026" i="2"/>
  <c r="I1026" i="2"/>
  <c r="K1055" i="2"/>
  <c r="K1053" i="2"/>
  <c r="K1107" i="2"/>
  <c r="K1122" i="2"/>
  <c r="H1135" i="2"/>
  <c r="K1137" i="2"/>
  <c r="K1142" i="2"/>
  <c r="K1139" i="2"/>
  <c r="K1136" i="2"/>
  <c r="K1140" i="2"/>
  <c r="H1344" i="2"/>
  <c r="C1344" i="2" s="1"/>
  <c r="L637" i="2"/>
  <c r="L641" i="2"/>
  <c r="L642" i="2"/>
  <c r="L643" i="2"/>
  <c r="H655" i="2"/>
  <c r="L668" i="2"/>
  <c r="K677" i="2"/>
  <c r="H745" i="2"/>
  <c r="K785" i="2"/>
  <c r="L789" i="2"/>
  <c r="N789" i="2"/>
  <c r="L841" i="2"/>
  <c r="L834" i="2"/>
  <c r="L842" i="2"/>
  <c r="K830" i="2"/>
  <c r="H842" i="2"/>
  <c r="C842" i="2" s="1"/>
  <c r="H844" i="2"/>
  <c r="C844" i="2" s="1"/>
  <c r="P840" i="2"/>
  <c r="C840" i="2" s="1"/>
  <c r="H841" i="2"/>
  <c r="C841" i="2" s="1"/>
  <c r="K842" i="2"/>
  <c r="K844" i="2"/>
  <c r="H845" i="2"/>
  <c r="C845" i="2" s="1"/>
  <c r="K850" i="2"/>
  <c r="K890" i="2"/>
  <c r="I890" i="2"/>
  <c r="K899" i="2"/>
  <c r="D906" i="2"/>
  <c r="D905" i="2" s="1"/>
  <c r="I899" i="2"/>
  <c r="L933" i="2"/>
  <c r="H962" i="2"/>
  <c r="L983" i="2"/>
  <c r="L982" i="2"/>
  <c r="L981" i="2"/>
  <c r="L1007" i="2"/>
  <c r="L1006" i="2"/>
  <c r="L1005" i="2"/>
  <c r="L1004" i="2"/>
  <c r="K1017" i="2"/>
  <c r="H1013" i="2"/>
  <c r="K1016" i="2"/>
  <c r="K1015" i="2"/>
  <c r="K1018" i="2"/>
  <c r="L1140" i="2"/>
  <c r="L1142" i="2"/>
  <c r="L1139" i="2"/>
  <c r="L1136" i="2"/>
  <c r="L1141" i="2"/>
  <c r="H1155" i="2"/>
  <c r="H1222" i="2"/>
  <c r="K1227" i="2"/>
  <c r="K1224" i="2"/>
  <c r="K1226" i="2"/>
  <c r="K1223" i="2"/>
  <c r="K1225" i="2"/>
  <c r="J1581" i="2"/>
  <c r="H1581" i="2"/>
  <c r="P1581" i="2" s="1"/>
  <c r="C1581" i="2" s="1"/>
  <c r="H752" i="2"/>
  <c r="C770" i="2"/>
  <c r="H771" i="2"/>
  <c r="C771" i="2" s="1"/>
  <c r="K786" i="2"/>
  <c r="K780" i="2"/>
  <c r="H778" i="2"/>
  <c r="K783" i="2"/>
  <c r="K781" i="2"/>
  <c r="O789" i="2"/>
  <c r="L824" i="2"/>
  <c r="L819" i="2"/>
  <c r="L821" i="2"/>
  <c r="P829" i="2"/>
  <c r="H867" i="2"/>
  <c r="L944" i="2"/>
  <c r="L945" i="2"/>
  <c r="L948" i="2"/>
  <c r="L943" i="2"/>
  <c r="L956" i="2"/>
  <c r="K968" i="2"/>
  <c r="P980" i="2"/>
  <c r="C980" i="2" s="1"/>
  <c r="H984" i="2"/>
  <c r="C984" i="2" s="1"/>
  <c r="P998" i="2"/>
  <c r="C998" i="2" s="1"/>
  <c r="P997" i="2"/>
  <c r="C997" i="2" s="1"/>
  <c r="P1000" i="2"/>
  <c r="C1000" i="2" s="1"/>
  <c r="P996" i="2"/>
  <c r="D1031" i="2"/>
  <c r="D1030" i="2" s="1"/>
  <c r="J1025" i="2"/>
  <c r="H1037" i="2"/>
  <c r="C1037" i="2" s="1"/>
  <c r="H1035" i="2"/>
  <c r="C1035" i="2" s="1"/>
  <c r="P1033" i="2"/>
  <c r="C1033" i="2" s="1"/>
  <c r="H1034" i="2"/>
  <c r="C1034" i="2" s="1"/>
  <c r="L1043" i="2"/>
  <c r="J1043" i="2"/>
  <c r="I1043" i="2"/>
  <c r="H1094" i="2"/>
  <c r="H1107" i="2"/>
  <c r="H1105" i="2"/>
  <c r="H1103" i="2"/>
  <c r="H1108" i="2"/>
  <c r="H1106" i="2"/>
  <c r="H1104" i="2"/>
  <c r="K1103" i="2"/>
  <c r="K1108" i="2"/>
  <c r="L1156" i="2"/>
  <c r="K1330" i="2"/>
  <c r="H1322" i="2"/>
  <c r="K1327" i="2"/>
  <c r="K1324" i="2"/>
  <c r="K1329" i="2"/>
  <c r="K1326" i="2"/>
  <c r="K1331" i="2"/>
  <c r="K1323" i="2"/>
  <c r="K1328" i="2"/>
  <c r="L783" i="2"/>
  <c r="L787" i="2"/>
  <c r="L784" i="2"/>
  <c r="L781" i="2"/>
  <c r="I810" i="2"/>
  <c r="K882" i="2"/>
  <c r="K883" i="2"/>
  <c r="K879" i="2"/>
  <c r="K872" i="2"/>
  <c r="K884" i="2"/>
  <c r="K880" i="2"/>
  <c r="K868" i="2"/>
  <c r="K881" i="2"/>
  <c r="H988" i="2"/>
  <c r="P988" i="2" s="1"/>
  <c r="H1057" i="2"/>
  <c r="C1057" i="2" s="1"/>
  <c r="K1093" i="2"/>
  <c r="K1088" i="2"/>
  <c r="K1089" i="2"/>
  <c r="K1090" i="2"/>
  <c r="K1096" i="2"/>
  <c r="K1100" i="2"/>
  <c r="K1095" i="2"/>
  <c r="K1098" i="2"/>
  <c r="K1099" i="2"/>
  <c r="L1108" i="2"/>
  <c r="L1106" i="2"/>
  <c r="L1104" i="2"/>
  <c r="L1107" i="2"/>
  <c r="L1105" i="2"/>
  <c r="L1103" i="2"/>
  <c r="H1109" i="2"/>
  <c r="K1119" i="2"/>
  <c r="K1121" i="2"/>
  <c r="K1116" i="2"/>
  <c r="K1117" i="2"/>
  <c r="L1189" i="2"/>
  <c r="L1186" i="2"/>
  <c r="L1185" i="2"/>
  <c r="L1190" i="2"/>
  <c r="L1188" i="2"/>
  <c r="L1187" i="2"/>
  <c r="H1159" i="2"/>
  <c r="H1199" i="2"/>
  <c r="C1199" i="2" s="1"/>
  <c r="H1196" i="2"/>
  <c r="C1196" i="2" s="1"/>
  <c r="H1286" i="2"/>
  <c r="C1286" i="2" s="1"/>
  <c r="H1283" i="2"/>
  <c r="C1283" i="2" s="1"/>
  <c r="H1288" i="2"/>
  <c r="C1288" i="2" s="1"/>
  <c r="H1285" i="2"/>
  <c r="C1285" i="2" s="1"/>
  <c r="H1282" i="2"/>
  <c r="C1282" i="2" s="1"/>
  <c r="P1280" i="2"/>
  <c r="C1280" i="2" s="1"/>
  <c r="H1287" i="2"/>
  <c r="C1287" i="2" s="1"/>
  <c r="H1284" i="2"/>
  <c r="C1284" i="2" s="1"/>
  <c r="L1386" i="2"/>
  <c r="L1383" i="2"/>
  <c r="L1380" i="2"/>
  <c r="L1385" i="2"/>
  <c r="L1382" i="2"/>
  <c r="L1379" i="2"/>
  <c r="L1384" i="2"/>
  <c r="M790" i="2"/>
  <c r="K857" i="2"/>
  <c r="H892" i="2"/>
  <c r="C892" i="2" s="1"/>
  <c r="H901" i="2"/>
  <c r="C901" i="2" s="1"/>
  <c r="H916" i="2"/>
  <c r="C916" i="2" s="1"/>
  <c r="H925" i="2"/>
  <c r="C925" i="2" s="1"/>
  <c r="I963" i="2"/>
  <c r="L964" i="2"/>
  <c r="L966" i="2"/>
  <c r="K982" i="2"/>
  <c r="I1053" i="2"/>
  <c r="I1063" i="2"/>
  <c r="I1073" i="2"/>
  <c r="L1090" i="2"/>
  <c r="L1099" i="2"/>
  <c r="I1119" i="2"/>
  <c r="H1147" i="2"/>
  <c r="C1147" i="2" s="1"/>
  <c r="K1164" i="2"/>
  <c r="H1166" i="2"/>
  <c r="K1198" i="2"/>
  <c r="K1195" i="2"/>
  <c r="K1199" i="2"/>
  <c r="L1235" i="2"/>
  <c r="L1232" i="2"/>
  <c r="L1234" i="2"/>
  <c r="L1231" i="2"/>
  <c r="H1289" i="2"/>
  <c r="C1289" i="2" s="1"/>
  <c r="H1436" i="2"/>
  <c r="K1438" i="2"/>
  <c r="K1439" i="2"/>
  <c r="K1437" i="2"/>
  <c r="H1484" i="2"/>
  <c r="C1484" i="2" s="1"/>
  <c r="H1482" i="2"/>
  <c r="C1482" i="2" s="1"/>
  <c r="H1483" i="2"/>
  <c r="C1483" i="2" s="1"/>
  <c r="P1481" i="2"/>
  <c r="C1481" i="2" s="1"/>
  <c r="H1713" i="2"/>
  <c r="P1713" i="2" s="1"/>
  <c r="C1713" i="2" s="1"/>
  <c r="I1713" i="2"/>
  <c r="N790" i="2"/>
  <c r="M842" i="2"/>
  <c r="L900" i="2"/>
  <c r="L924" i="2"/>
  <c r="H942" i="2"/>
  <c r="K945" i="2"/>
  <c r="J963" i="2"/>
  <c r="K983" i="2"/>
  <c r="Q996" i="2"/>
  <c r="H1003" i="2"/>
  <c r="K1007" i="2"/>
  <c r="L1015" i="2"/>
  <c r="K1025" i="2"/>
  <c r="L1047" i="2"/>
  <c r="L1089" i="2"/>
  <c r="J1119" i="2"/>
  <c r="K1149" i="2"/>
  <c r="H1161" i="2"/>
  <c r="H1163" i="2"/>
  <c r="L1164" i="2"/>
  <c r="K1169" i="2"/>
  <c r="K1194" i="2"/>
  <c r="H1195" i="2"/>
  <c r="C1195" i="2" s="1"/>
  <c r="H1207" i="2"/>
  <c r="C1207" i="2" s="1"/>
  <c r="H1204" i="2"/>
  <c r="C1204" i="2" s="1"/>
  <c r="P1202" i="2"/>
  <c r="C1202" i="2" s="1"/>
  <c r="H1209" i="2"/>
  <c r="C1209" i="2" s="1"/>
  <c r="H1206" i="2"/>
  <c r="C1206" i="2" s="1"/>
  <c r="H1208" i="2"/>
  <c r="C1208" i="2" s="1"/>
  <c r="H1205" i="2"/>
  <c r="C1205" i="2" s="1"/>
  <c r="L1233" i="2"/>
  <c r="L1483" i="2"/>
  <c r="L1484" i="2"/>
  <c r="L1482" i="2"/>
  <c r="J1508" i="2"/>
  <c r="H1508" i="2"/>
  <c r="P1508" i="2" s="1"/>
  <c r="C1508" i="2" s="1"/>
  <c r="K984" i="2"/>
  <c r="L1016" i="2"/>
  <c r="L1095" i="2"/>
  <c r="P1158" i="2"/>
  <c r="P1193" i="2"/>
  <c r="C1193" i="2" s="1"/>
  <c r="K1206" i="2"/>
  <c r="K1203" i="2"/>
  <c r="K1208" i="2"/>
  <c r="K1205" i="2"/>
  <c r="K1207" i="2"/>
  <c r="H1160" i="2"/>
  <c r="K1187" i="2"/>
  <c r="H1184" i="2"/>
  <c r="K1189" i="2"/>
  <c r="K1188" i="2"/>
  <c r="L1227" i="2"/>
  <c r="L1224" i="2"/>
  <c r="L1226" i="2"/>
  <c r="L1223" i="2"/>
  <c r="H1368" i="2"/>
  <c r="C1368" i="2" s="1"/>
  <c r="H1369" i="2"/>
  <c r="C1369" i="2" s="1"/>
  <c r="H1370" i="2"/>
  <c r="C1370" i="2" s="1"/>
  <c r="H1371" i="2"/>
  <c r="C1371" i="2" s="1"/>
  <c r="P1365" i="2"/>
  <c r="C1365" i="2" s="1"/>
  <c r="H1372" i="2"/>
  <c r="C1372" i="2" s="1"/>
  <c r="H1373" i="2"/>
  <c r="C1373" i="2" s="1"/>
  <c r="H1374" i="2"/>
  <c r="C1374" i="2" s="1"/>
  <c r="H1366" i="2"/>
  <c r="C1366" i="2" s="1"/>
  <c r="L1381" i="2"/>
  <c r="J1523" i="2"/>
  <c r="H1523" i="2"/>
  <c r="P1523" i="2" s="1"/>
  <c r="C1523" i="2" s="1"/>
  <c r="H1447" i="2"/>
  <c r="C1447" i="2" s="1"/>
  <c r="P1445" i="2"/>
  <c r="C1445" i="2" s="1"/>
  <c r="H1448" i="2"/>
  <c r="C1448" i="2" s="1"/>
  <c r="H1446" i="2"/>
  <c r="C1446" i="2" s="1"/>
  <c r="H1465" i="2"/>
  <c r="C1465" i="2" s="1"/>
  <c r="P1463" i="2"/>
  <c r="C1463" i="2" s="1"/>
  <c r="H1492" i="2"/>
  <c r="P1492" i="2" s="1"/>
  <c r="C1492" i="2" s="1"/>
  <c r="H1271" i="2"/>
  <c r="C1271" i="2" s="1"/>
  <c r="L1275" i="2"/>
  <c r="K1283" i="2"/>
  <c r="H1293" i="2"/>
  <c r="L1298" i="2"/>
  <c r="L1315" i="2"/>
  <c r="K1318" i="2"/>
  <c r="L1325" i="2"/>
  <c r="K1338" i="2"/>
  <c r="L1343" i="2"/>
  <c r="K1346" i="2"/>
  <c r="L1352" i="2"/>
  <c r="K1355" i="2"/>
  <c r="H1356" i="2"/>
  <c r="C1356" i="2" s="1"/>
  <c r="L1360" i="2"/>
  <c r="K1379" i="2"/>
  <c r="L1394" i="2"/>
  <c r="K1397" i="2"/>
  <c r="H1398" i="2"/>
  <c r="C1398" i="2" s="1"/>
  <c r="H1402" i="2"/>
  <c r="H1410" i="2"/>
  <c r="K1447" i="2"/>
  <c r="L1455" i="2"/>
  <c r="H1456" i="2"/>
  <c r="C1456" i="2" s="1"/>
  <c r="K1482" i="2"/>
  <c r="K1484" i="2"/>
  <c r="D1502" i="2"/>
  <c r="D1606" i="2"/>
  <c r="D1507" i="2"/>
  <c r="J1521" i="2"/>
  <c r="H1521" i="2"/>
  <c r="P1521" i="2" s="1"/>
  <c r="C1521" i="2" s="1"/>
  <c r="D1601" i="2"/>
  <c r="I1656" i="2"/>
  <c r="H1656" i="2"/>
  <c r="P1656" i="2" s="1"/>
  <c r="C1656" i="2" s="1"/>
  <c r="L1204" i="2"/>
  <c r="L1217" i="2"/>
  <c r="K1234" i="2"/>
  <c r="L1242" i="2"/>
  <c r="K1245" i="2"/>
  <c r="L1255" i="2"/>
  <c r="K1258" i="2"/>
  <c r="L1270" i="2"/>
  <c r="H1274" i="2"/>
  <c r="C1274" i="2" s="1"/>
  <c r="L1283" i="2"/>
  <c r="K1286" i="2"/>
  <c r="K1296" i="2"/>
  <c r="L1301" i="2"/>
  <c r="K1313" i="2"/>
  <c r="L1318" i="2"/>
  <c r="L1328" i="2"/>
  <c r="L1338" i="2"/>
  <c r="K1341" i="2"/>
  <c r="L1346" i="2"/>
  <c r="L1355" i="2"/>
  <c r="H1359" i="2"/>
  <c r="C1359" i="2" s="1"/>
  <c r="K1382" i="2"/>
  <c r="K1392" i="2"/>
  <c r="H1393" i="2"/>
  <c r="C1393" i="2" s="1"/>
  <c r="L1447" i="2"/>
  <c r="K1474" i="2"/>
  <c r="H1653" i="2"/>
  <c r="P1653" i="2" s="1"/>
  <c r="C1653" i="2" s="1"/>
  <c r="L1258" i="2"/>
  <c r="H1269" i="2"/>
  <c r="C1269" i="2" s="1"/>
  <c r="L1273" i="2"/>
  <c r="K1289" i="2"/>
  <c r="L1296" i="2"/>
  <c r="H1308" i="2"/>
  <c r="L1313" i="2"/>
  <c r="K1316" i="2"/>
  <c r="L1323" i="2"/>
  <c r="L1331" i="2"/>
  <c r="K1344" i="2"/>
  <c r="H1354" i="2"/>
  <c r="C1354" i="2" s="1"/>
  <c r="L1358" i="2"/>
  <c r="K1385" i="2"/>
  <c r="K1395" i="2"/>
  <c r="H1396" i="2"/>
  <c r="C1396" i="2" s="1"/>
  <c r="K1429" i="2"/>
  <c r="L1437" i="2"/>
  <c r="H1472" i="2"/>
  <c r="L1474" i="2"/>
  <c r="D1493" i="2"/>
  <c r="D1496" i="2"/>
  <c r="D1597" i="2"/>
  <c r="D1588" i="2"/>
  <c r="D1596" i="2"/>
  <c r="D1587" i="2"/>
  <c r="D1500" i="2"/>
  <c r="D1608" i="2"/>
  <c r="J1504" i="2"/>
  <c r="H1525" i="2"/>
  <c r="P1525" i="2" s="1"/>
  <c r="C1525" i="2" s="1"/>
  <c r="D1528" i="2"/>
  <c r="D1527" i="2"/>
  <c r="D1526" i="2"/>
  <c r="D1636" i="2"/>
  <c r="D1729" i="2"/>
  <c r="D1721" i="2" s="1"/>
  <c r="D1719" i="2"/>
  <c r="D1661" i="2"/>
  <c r="D1660" i="2"/>
  <c r="D1659" i="2"/>
  <c r="D1737" i="2"/>
  <c r="I1658" i="2"/>
  <c r="H1658" i="2"/>
  <c r="P1658" i="2" s="1"/>
  <c r="C1658" i="2" s="1"/>
  <c r="H1717" i="2"/>
  <c r="P1717" i="2" s="1"/>
  <c r="C1717" i="2" s="1"/>
  <c r="I1717" i="2"/>
  <c r="K1311" i="2"/>
  <c r="L1316" i="2"/>
  <c r="H1357" i="2"/>
  <c r="C1357" i="2" s="1"/>
  <c r="H1391" i="2"/>
  <c r="C1391" i="2" s="1"/>
  <c r="K1398" i="2"/>
  <c r="H1427" i="2"/>
  <c r="D1602" i="2"/>
  <c r="D1592" i="2"/>
  <c r="J1520" i="2"/>
  <c r="H1520" i="2"/>
  <c r="P1520" i="2" s="1"/>
  <c r="C1520" i="2" s="1"/>
  <c r="J1591" i="2"/>
  <c r="I1696" i="2"/>
  <c r="H1696" i="2"/>
  <c r="P1696" i="2" s="1"/>
  <c r="C1696" i="2" s="1"/>
  <c r="H1766" i="2"/>
  <c r="P1766" i="2" s="1"/>
  <c r="C1766" i="2" s="1"/>
  <c r="K1766" i="2"/>
  <c r="L1205" i="2"/>
  <c r="H1213" i="2"/>
  <c r="L1218" i="2"/>
  <c r="K1235" i="2"/>
  <c r="H1238" i="2"/>
  <c r="L1243" i="2"/>
  <c r="H1251" i="2"/>
  <c r="L1256" i="2"/>
  <c r="H1267" i="2"/>
  <c r="C1267" i="2" s="1"/>
  <c r="H1275" i="2"/>
  <c r="C1275" i="2" s="1"/>
  <c r="K1287" i="2"/>
  <c r="L1302" i="2"/>
  <c r="L1311" i="2"/>
  <c r="K1314" i="2"/>
  <c r="L1329" i="2"/>
  <c r="H1352" i="2"/>
  <c r="C1352" i="2" s="1"/>
  <c r="H1360" i="2"/>
  <c r="C1360" i="2" s="1"/>
  <c r="K1393" i="2"/>
  <c r="H1394" i="2"/>
  <c r="C1394" i="2" s="1"/>
  <c r="H1455" i="2"/>
  <c r="C1455" i="2" s="1"/>
  <c r="H1506" i="2"/>
  <c r="P1506" i="2" s="1"/>
  <c r="C1506" i="2" s="1"/>
  <c r="I1701" i="2"/>
  <c r="H1701" i="2"/>
  <c r="P1701" i="2" s="1"/>
  <c r="C1701" i="2" s="1"/>
  <c r="D1846" i="2"/>
  <c r="H1846" i="2"/>
  <c r="L1208" i="2"/>
  <c r="H1230" i="2"/>
  <c r="L1246" i="2"/>
  <c r="L1259" i="2"/>
  <c r="H1270" i="2"/>
  <c r="C1270" i="2" s="1"/>
  <c r="L1274" i="2"/>
  <c r="K1282" i="2"/>
  <c r="L1297" i="2"/>
  <c r="K1300" i="2"/>
  <c r="K1309" i="2"/>
  <c r="L1314" i="2"/>
  <c r="K1317" i="2"/>
  <c r="L1324" i="2"/>
  <c r="K1337" i="2"/>
  <c r="L1342" i="2"/>
  <c r="K1345" i="2"/>
  <c r="H1355" i="2"/>
  <c r="C1355" i="2" s="1"/>
  <c r="L1359" i="2"/>
  <c r="H1378" i="2"/>
  <c r="K1386" i="2"/>
  <c r="K1396" i="2"/>
  <c r="H1397" i="2"/>
  <c r="C1397" i="2" s="1"/>
  <c r="L1446" i="2"/>
  <c r="K1473" i="2"/>
  <c r="D1505" i="2"/>
  <c r="D1603" i="2"/>
  <c r="D1613" i="2"/>
  <c r="H1613" i="2" s="1"/>
  <c r="P1613" i="2" s="1"/>
  <c r="C1613" i="2" s="1"/>
  <c r="J1522" i="2"/>
  <c r="H1522" i="2"/>
  <c r="P1522" i="2" s="1"/>
  <c r="C1522" i="2" s="1"/>
  <c r="D1524" i="2"/>
  <c r="J1578" i="2"/>
  <c r="H1578" i="2"/>
  <c r="P1578" i="2" s="1"/>
  <c r="C1578" i="2" s="1"/>
  <c r="K1792" i="2"/>
  <c r="H1792" i="2"/>
  <c r="P1792" i="2" s="1"/>
  <c r="C1792" i="2" s="1"/>
  <c r="K1813" i="2"/>
  <c r="H1813" i="2"/>
  <c r="P1813" i="2" s="1"/>
  <c r="C1813" i="2" s="1"/>
  <c r="L1309" i="2"/>
  <c r="P1390" i="2"/>
  <c r="C1390" i="2" s="1"/>
  <c r="K1428" i="2"/>
  <c r="L1473" i="2"/>
  <c r="H1509" i="2"/>
  <c r="P1509" i="2" s="1"/>
  <c r="C1509" i="2" s="1"/>
  <c r="D1512" i="2"/>
  <c r="D1511" i="2"/>
  <c r="D1510" i="2"/>
  <c r="J1519" i="2"/>
  <c r="H1519" i="2"/>
  <c r="P1519" i="2" s="1"/>
  <c r="C1519" i="2" s="1"/>
  <c r="D1622" i="2"/>
  <c r="C1622" i="2"/>
  <c r="I1637" i="2"/>
  <c r="H1637" i="2"/>
  <c r="P1637" i="2" s="1"/>
  <c r="C1637" i="2" s="1"/>
  <c r="I1689" i="2"/>
  <c r="H1689" i="2"/>
  <c r="P1689" i="2" s="1"/>
  <c r="C1689" i="2" s="1"/>
  <c r="H1843" i="2"/>
  <c r="D1843" i="2"/>
  <c r="K1831" i="2"/>
  <c r="D1831" i="2" s="1"/>
  <c r="H1855" i="2"/>
  <c r="D1855" i="2"/>
  <c r="H1577" i="2"/>
  <c r="P1577" i="2" s="1"/>
  <c r="C1577" i="2" s="1"/>
  <c r="I1651" i="2"/>
  <c r="D1657" i="2"/>
  <c r="I1667" i="2"/>
  <c r="H1673" i="2"/>
  <c r="P1673" i="2" s="1"/>
  <c r="C1673" i="2" s="1"/>
  <c r="H1674" i="2"/>
  <c r="P1674" i="2" s="1"/>
  <c r="C1674" i="2" s="1"/>
  <c r="H1697" i="2"/>
  <c r="P1697" i="2" s="1"/>
  <c r="C1697" i="2" s="1"/>
  <c r="D1714" i="2"/>
  <c r="I1715" i="2"/>
  <c r="H1852" i="2"/>
  <c r="D1852" i="2"/>
  <c r="D1514" i="2"/>
  <c r="D1515" i="2"/>
  <c r="D1530" i="2"/>
  <c r="D1531" i="2"/>
  <c r="D1590" i="2"/>
  <c r="H1635" i="2"/>
  <c r="P1635" i="2" s="1"/>
  <c r="C1635" i="2" s="1"/>
  <c r="I1712" i="2"/>
  <c r="I1720" i="2"/>
  <c r="H1754" i="2"/>
  <c r="P1754" i="2" s="1"/>
  <c r="C1754" i="2" s="1"/>
  <c r="K1776" i="2"/>
  <c r="H1776" i="2"/>
  <c r="P1776" i="2" s="1"/>
  <c r="C1776" i="2" s="1"/>
  <c r="K1787" i="2"/>
  <c r="K1800" i="2"/>
  <c r="H1800" i="2"/>
  <c r="P1800" i="2" s="1"/>
  <c r="C1800" i="2" s="1"/>
  <c r="D1847" i="2"/>
  <c r="D1851" i="2"/>
  <c r="D1856" i="2"/>
  <c r="D1644" i="2"/>
  <c r="D1645" i="2"/>
  <c r="D1649" i="2"/>
  <c r="D1648" i="2"/>
  <c r="D1716" i="2"/>
  <c r="D1903" i="2"/>
  <c r="H1903" i="2" s="1"/>
  <c r="P1903" i="2" s="1"/>
  <c r="C1903" i="2" s="1"/>
  <c r="D1881" i="2"/>
  <c r="H1881" i="2" s="1"/>
  <c r="H1783" i="2"/>
  <c r="P1783" i="2" s="1"/>
  <c r="C1783" i="2" s="1"/>
  <c r="P1782" i="2"/>
  <c r="C1782" i="2" s="1"/>
  <c r="H1795" i="2"/>
  <c r="L1795" i="2" s="1"/>
  <c r="P1794" i="2"/>
  <c r="C1849" i="2"/>
  <c r="D1853" i="2"/>
  <c r="D1861" i="2"/>
  <c r="D1633" i="2"/>
  <c r="H1646" i="2"/>
  <c r="P1646" i="2" s="1"/>
  <c r="C1646" i="2" s="1"/>
  <c r="H1753" i="2"/>
  <c r="P1753" i="2" s="1"/>
  <c r="C1753" i="2" s="1"/>
  <c r="K1768" i="2"/>
  <c r="K1789" i="2"/>
  <c r="D1798" i="2"/>
  <c r="D1925" i="2"/>
  <c r="H1925" i="2" s="1"/>
  <c r="P1925" i="2" s="1"/>
  <c r="C1925" i="2" s="1"/>
  <c r="D1839" i="2"/>
  <c r="D1858" i="2"/>
  <c r="D1634" i="2"/>
  <c r="D1736" i="2"/>
  <c r="I1655" i="2"/>
  <c r="I1704" i="2"/>
  <c r="H1704" i="2"/>
  <c r="P1704" i="2" s="1"/>
  <c r="C1704" i="2" s="1"/>
  <c r="D1718" i="2"/>
  <c r="K1817" i="2"/>
  <c r="H1814" i="2"/>
  <c r="K1816" i="2"/>
  <c r="P1986" i="2"/>
  <c r="C1986" i="2" s="1"/>
  <c r="L1986" i="2"/>
  <c r="D1665" i="2"/>
  <c r="D1664" i="2"/>
  <c r="D1663" i="2"/>
  <c r="D1740" i="2"/>
  <c r="D1679" i="2"/>
  <c r="D1678" i="2"/>
  <c r="D1677" i="2"/>
  <c r="D1676" i="2"/>
  <c r="I1703" i="2"/>
  <c r="D1708" i="2"/>
  <c r="D1860" i="2"/>
  <c r="I1643" i="2"/>
  <c r="H1662" i="2"/>
  <c r="P1662" i="2" s="1"/>
  <c r="C1662" i="2" s="1"/>
  <c r="H1675" i="2"/>
  <c r="P1675" i="2" s="1"/>
  <c r="C1675" i="2" s="1"/>
  <c r="D1749" i="2"/>
  <c r="K1750" i="2"/>
  <c r="K1749" i="2" s="1"/>
  <c r="P1769" i="2"/>
  <c r="H1773" i="2"/>
  <c r="P1773" i="2" s="1"/>
  <c r="C1773" i="2" s="1"/>
  <c r="H1771" i="2"/>
  <c r="C1772" i="2"/>
  <c r="H1803" i="2"/>
  <c r="P1803" i="2" s="1"/>
  <c r="C1803" i="2" s="1"/>
  <c r="P1979" i="2"/>
  <c r="C1979" i="2" s="1"/>
  <c r="L1979" i="2"/>
  <c r="P1990" i="2"/>
  <c r="C1990" i="2" s="1"/>
  <c r="L1990" i="2"/>
  <c r="H1777" i="2"/>
  <c r="P1777" i="2" s="1"/>
  <c r="C1777" i="2" s="1"/>
  <c r="H1793" i="2"/>
  <c r="P1793" i="2" s="1"/>
  <c r="C1793" i="2" s="1"/>
  <c r="H1802" i="2"/>
  <c r="P1802" i="2" s="1"/>
  <c r="C1802" i="2" s="1"/>
  <c r="H2033" i="2"/>
  <c r="P2033" i="2" s="1"/>
  <c r="C2033" i="2" s="1"/>
  <c r="D2028" i="2"/>
  <c r="H2028" i="2" s="1"/>
  <c r="P2028" i="2" s="1"/>
  <c r="C2028" i="2" s="1"/>
  <c r="D2041" i="2"/>
  <c r="H2041" i="2" s="1"/>
  <c r="P2041" i="2" s="1"/>
  <c r="C2041" i="2" s="1"/>
  <c r="H1959" i="2"/>
  <c r="L1963" i="2"/>
  <c r="P1963" i="2"/>
  <c r="C1963" i="2" s="1"/>
  <c r="P1998" i="2"/>
  <c r="C1998" i="2" s="1"/>
  <c r="L1998" i="2"/>
  <c r="P2156" i="2"/>
  <c r="C2156" i="2" s="1"/>
  <c r="M2156" i="2"/>
  <c r="D1865" i="2"/>
  <c r="D1867" i="2"/>
  <c r="K1955" i="2"/>
  <c r="D1966" i="2"/>
  <c r="D1967" i="2"/>
  <c r="K1965" i="2"/>
  <c r="H1965" i="2"/>
  <c r="P1965" i="2" s="1"/>
  <c r="C1965" i="2" s="1"/>
  <c r="P1988" i="2"/>
  <c r="C1988" i="2" s="1"/>
  <c r="L1988" i="2"/>
  <c r="P1982" i="2"/>
  <c r="C1982" i="2" s="1"/>
  <c r="L1982" i="2"/>
  <c r="D1992" i="2"/>
  <c r="D2040" i="2"/>
  <c r="H2040" i="2" s="1"/>
  <c r="P2040" i="2" s="1"/>
  <c r="C2040" i="2" s="1"/>
  <c r="D1995" i="2"/>
  <c r="H1995" i="2" s="1"/>
  <c r="H1991" i="2"/>
  <c r="P1991" i="2" s="1"/>
  <c r="C1991" i="2" s="1"/>
  <c r="H1868" i="2"/>
  <c r="P1868" i="2" s="1"/>
  <c r="C1868" i="2" s="1"/>
  <c r="P1960" i="2"/>
  <c r="C1960" i="2" s="1"/>
  <c r="L1960" i="2"/>
  <c r="D1969" i="2"/>
  <c r="D1976" i="2"/>
  <c r="H1976" i="2" s="1"/>
  <c r="D1975" i="2"/>
  <c r="D1974" i="2"/>
  <c r="H1974" i="2" s="1"/>
  <c r="H1973" i="2"/>
  <c r="P1973" i="2" s="1"/>
  <c r="C1973" i="2" s="1"/>
  <c r="P1985" i="2"/>
  <c r="C1985" i="2" s="1"/>
  <c r="L1985" i="2"/>
  <c r="P2000" i="2"/>
  <c r="C2000" i="2" s="1"/>
  <c r="L2000" i="2"/>
  <c r="P1999" i="2"/>
  <c r="C1999" i="2" s="1"/>
  <c r="L1999" i="2"/>
  <c r="P1984" i="2"/>
  <c r="C1984" i="2" s="1"/>
  <c r="L1984" i="2"/>
  <c r="L1989" i="2"/>
  <c r="K1989" i="2"/>
  <c r="N2090" i="2"/>
  <c r="H2090" i="2"/>
  <c r="P2090" i="2" s="1"/>
  <c r="C2090" i="2" s="1"/>
  <c r="D2226" i="2"/>
  <c r="H2226" i="2" s="1"/>
  <c r="P2226" i="2" s="1"/>
  <c r="C2226" i="2" s="1"/>
  <c r="H2188" i="2"/>
  <c r="P2188" i="2" s="1"/>
  <c r="C2188" i="2" s="1"/>
  <c r="N2050" i="2"/>
  <c r="H2093" i="2"/>
  <c r="P2093" i="2" s="1"/>
  <c r="C2093" i="2" s="1"/>
  <c r="N2093" i="2"/>
  <c r="D2056" i="2"/>
  <c r="P2162" i="2"/>
  <c r="C2162" i="2" s="1"/>
  <c r="M2162" i="2"/>
  <c r="D1956" i="2"/>
  <c r="D2036" i="2"/>
  <c r="H2036" i="2" s="1"/>
  <c r="P2036" i="2" s="1"/>
  <c r="C2036" i="2" s="1"/>
  <c r="L1980" i="2"/>
  <c r="K2003" i="2"/>
  <c r="D2055" i="2"/>
  <c r="H2085" i="2"/>
  <c r="P2085" i="2" s="1"/>
  <c r="C2085" i="2" s="1"/>
  <c r="D2172" i="2"/>
  <c r="D2154" i="2"/>
  <c r="H2154" i="2" s="1"/>
  <c r="P2155" i="2"/>
  <c r="C2155" i="2" s="1"/>
  <c r="M2155" i="2"/>
  <c r="M2167" i="2"/>
  <c r="P2167" i="2"/>
  <c r="C2167" i="2" s="1"/>
  <c r="D1957" i="2"/>
  <c r="D2046" i="2"/>
  <c r="D2019" i="2"/>
  <c r="H2019" i="2" s="1"/>
  <c r="P2019" i="2" s="1"/>
  <c r="C2019" i="2" s="1"/>
  <c r="D2133" i="2"/>
  <c r="D2129" i="2" s="1"/>
  <c r="D2051" i="2"/>
  <c r="H2053" i="2"/>
  <c r="P2053" i="2" s="1"/>
  <c r="C2053" i="2" s="1"/>
  <c r="H2127" i="2"/>
  <c r="P2127" i="2" s="1"/>
  <c r="C2127" i="2" s="1"/>
  <c r="P2158" i="2"/>
  <c r="C2158" i="2" s="1"/>
  <c r="M2158" i="2"/>
  <c r="P2161" i="2"/>
  <c r="C2161" i="2" s="1"/>
  <c r="M2161" i="2"/>
  <c r="P1983" i="2"/>
  <c r="C1983" i="2" s="1"/>
  <c r="L1983" i="2"/>
  <c r="H2092" i="2"/>
  <c r="P2092" i="2" s="1"/>
  <c r="C2092" i="2" s="1"/>
  <c r="N2092" i="2"/>
  <c r="P2163" i="2"/>
  <c r="C2163" i="2" s="1"/>
  <c r="M2163" i="2"/>
  <c r="P2164" i="2"/>
  <c r="C2164" i="2" s="1"/>
  <c r="M2164" i="2"/>
  <c r="L1964" i="2"/>
  <c r="H1971" i="2"/>
  <c r="L1972" i="2"/>
  <c r="C2042" i="2"/>
  <c r="H2068" i="2"/>
  <c r="P2068" i="2" s="1"/>
  <c r="C2068" i="2" s="1"/>
  <c r="N2083" i="2"/>
  <c r="H2083" i="2"/>
  <c r="P2083" i="2" s="1"/>
  <c r="C2083" i="2" s="1"/>
  <c r="H2091" i="2"/>
  <c r="P2091" i="2" s="1"/>
  <c r="C2091" i="2" s="1"/>
  <c r="N2091" i="2"/>
  <c r="N2095" i="2"/>
  <c r="D2145" i="2"/>
  <c r="H2107" i="2"/>
  <c r="P2107" i="2" s="1"/>
  <c r="C2107" i="2" s="1"/>
  <c r="P2157" i="2"/>
  <c r="C2157" i="2" s="1"/>
  <c r="M2157" i="2"/>
  <c r="H2203" i="2"/>
  <c r="P2203" i="2" s="1"/>
  <c r="C2203" i="2" s="1"/>
  <c r="D2004" i="2"/>
  <c r="H2020" i="2"/>
  <c r="P2020" i="2" s="1"/>
  <c r="C2020" i="2" s="1"/>
  <c r="D2138" i="2"/>
  <c r="H2138" i="2" s="1"/>
  <c r="P2138" i="2" s="1"/>
  <c r="C2138" i="2" s="1"/>
  <c r="D2054" i="2"/>
  <c r="H2076" i="2"/>
  <c r="P2076" i="2" s="1"/>
  <c r="C2076" i="2" s="1"/>
  <c r="N2076" i="2"/>
  <c r="N2103" i="2"/>
  <c r="H2103" i="2"/>
  <c r="P2103" i="2" s="1"/>
  <c r="C2103" i="2" s="1"/>
  <c r="D2153" i="2"/>
  <c r="D2173" i="2"/>
  <c r="D2171" i="2" s="1"/>
  <c r="H2171" i="2" s="1"/>
  <c r="D2175" i="2"/>
  <c r="H2159" i="2"/>
  <c r="P2160" i="2"/>
  <c r="C2160" i="2" s="1"/>
  <c r="M2160" i="2"/>
  <c r="D2228" i="2"/>
  <c r="H2228" i="2" s="1"/>
  <c r="P2228" i="2" s="1"/>
  <c r="C2228" i="2" s="1"/>
  <c r="D2191" i="2"/>
  <c r="H2191" i="2" s="1"/>
  <c r="P2191" i="2" s="1"/>
  <c r="C2191" i="2" s="1"/>
  <c r="D2206" i="2"/>
  <c r="H2194" i="2"/>
  <c r="P2194" i="2" s="1"/>
  <c r="C2194" i="2" s="1"/>
  <c r="H2192" i="2"/>
  <c r="P2192" i="2" s="1"/>
  <c r="C2192" i="2" s="1"/>
  <c r="D2224" i="2"/>
  <c r="H2224" i="2" s="1"/>
  <c r="P2224" i="2" s="1"/>
  <c r="C2224" i="2" s="1"/>
  <c r="H2198" i="2"/>
  <c r="P2198" i="2" s="1"/>
  <c r="C2198" i="2" s="1"/>
  <c r="D2227" i="2"/>
  <c r="H2227" i="2" s="1"/>
  <c r="P2227" i="2" s="1"/>
  <c r="C2227" i="2" s="1"/>
  <c r="H2201" i="2"/>
  <c r="P2201" i="2" s="1"/>
  <c r="C2201" i="2" s="1"/>
  <c r="D2263" i="2"/>
  <c r="C2263" i="2" s="1"/>
  <c r="D2208" i="2"/>
  <c r="H2208" i="2" s="1"/>
  <c r="P2208" i="2" s="1"/>
  <c r="C2208" i="2" s="1"/>
  <c r="M2170" i="2"/>
  <c r="D2229" i="2"/>
  <c r="H2229" i="2" s="1"/>
  <c r="P2229" i="2" s="1"/>
  <c r="C2229" i="2" s="1"/>
  <c r="H2196" i="2"/>
  <c r="P2196" i="2" s="1"/>
  <c r="C2196" i="2" s="1"/>
  <c r="H2353" i="2"/>
  <c r="H2357" i="2"/>
  <c r="H2324" i="2"/>
  <c r="H2328" i="2"/>
  <c r="H2333" i="2"/>
  <c r="H2337" i="2"/>
  <c r="H2341" i="2"/>
  <c r="H2345" i="2"/>
  <c r="H2350" i="2"/>
  <c r="H2354" i="2"/>
  <c r="H2360" i="2"/>
  <c r="P2360" i="2" s="1"/>
  <c r="C2360" i="2" s="1"/>
  <c r="H2332" i="2"/>
  <c r="P2332" i="2" s="1"/>
  <c r="C2332" i="2" s="1"/>
  <c r="H2359" i="2"/>
  <c r="P2359" i="2" s="1"/>
  <c r="C2359" i="2" s="1"/>
  <c r="P2320" i="2"/>
  <c r="L2323" i="2"/>
  <c r="H2325" i="2"/>
  <c r="L2327" i="2"/>
  <c r="H2329" i="2"/>
  <c r="L2331" i="2"/>
  <c r="L2336" i="2"/>
  <c r="H2338" i="2"/>
  <c r="L2340" i="2"/>
  <c r="H2342" i="2"/>
  <c r="L2344" i="2"/>
  <c r="H2347" i="2"/>
  <c r="H2351" i="2"/>
  <c r="H2355" i="2"/>
  <c r="H2358" i="2"/>
  <c r="P2358" i="2" s="1"/>
  <c r="C2358" i="2" s="1"/>
  <c r="H2334" i="2"/>
  <c r="P2334" i="2" s="1"/>
  <c r="C2334" i="2" s="1"/>
  <c r="H2346" i="2"/>
  <c r="P2346" i="2" s="1"/>
  <c r="C2346" i="2" s="1"/>
  <c r="H2322" i="2"/>
  <c r="H2326" i="2"/>
  <c r="H2330" i="2"/>
  <c r="H2339" i="2"/>
  <c r="H2343" i="2"/>
  <c r="H2352" i="2"/>
  <c r="H2356" i="2"/>
  <c r="H2129" i="2" l="1"/>
  <c r="P2129" i="2" s="1"/>
  <c r="C2129" i="2" s="1"/>
  <c r="N2129" i="2"/>
  <c r="H1721" i="2"/>
  <c r="P1721" i="2" s="1"/>
  <c r="C1721" i="2" s="1"/>
  <c r="I1721" i="2"/>
  <c r="P2171" i="2"/>
  <c r="C2171" i="2" s="1"/>
  <c r="M2171" i="2"/>
  <c r="I859" i="1"/>
  <c r="A859" i="1" s="1"/>
  <c r="A860" i="1" s="1"/>
  <c r="P2322" i="2"/>
  <c r="C2322" i="2" s="1"/>
  <c r="L2322" i="2"/>
  <c r="P2342" i="2"/>
  <c r="C2342" i="2" s="1"/>
  <c r="L2342" i="2"/>
  <c r="P2341" i="2"/>
  <c r="C2341" i="2" s="1"/>
  <c r="L2341" i="2"/>
  <c r="P2159" i="2"/>
  <c r="C2159" i="2" s="1"/>
  <c r="M2159" i="2"/>
  <c r="N2054" i="2"/>
  <c r="H2054" i="2"/>
  <c r="P2054" i="2" s="1"/>
  <c r="C2054" i="2" s="1"/>
  <c r="D2049" i="2"/>
  <c r="C2049" i="2" s="1"/>
  <c r="P1974" i="2"/>
  <c r="C1974" i="2" s="1"/>
  <c r="L1974" i="2"/>
  <c r="L1995" i="2"/>
  <c r="P1995" i="2"/>
  <c r="C1995" i="2" s="1"/>
  <c r="I1678" i="2"/>
  <c r="H1678" i="2"/>
  <c r="P1678" i="2" s="1"/>
  <c r="C1678" i="2" s="1"/>
  <c r="I1634" i="2"/>
  <c r="H1634" i="2"/>
  <c r="P1634" i="2" s="1"/>
  <c r="C1634" i="2" s="1"/>
  <c r="D1516" i="2"/>
  <c r="J1514" i="2"/>
  <c r="H1514" i="2"/>
  <c r="P1514" i="2" s="1"/>
  <c r="C1514" i="2" s="1"/>
  <c r="J1524" i="2"/>
  <c r="H1524" i="2"/>
  <c r="P1524" i="2" s="1"/>
  <c r="C1524" i="2" s="1"/>
  <c r="H1258" i="2"/>
  <c r="C1258" i="2" s="1"/>
  <c r="H1255" i="2"/>
  <c r="C1255" i="2" s="1"/>
  <c r="H1260" i="2"/>
  <c r="C1260" i="2" s="1"/>
  <c r="H1252" i="2"/>
  <c r="C1252" i="2" s="1"/>
  <c r="H1257" i="2"/>
  <c r="C1257" i="2" s="1"/>
  <c r="H1254" i="2"/>
  <c r="C1254" i="2" s="1"/>
  <c r="H1259" i="2"/>
  <c r="C1259" i="2" s="1"/>
  <c r="H1256" i="2"/>
  <c r="C1256" i="2" s="1"/>
  <c r="H1253" i="2"/>
  <c r="C1253" i="2" s="1"/>
  <c r="H1261" i="2"/>
  <c r="C1261" i="2" s="1"/>
  <c r="P1251" i="2"/>
  <c r="C1251" i="2" s="1"/>
  <c r="P1427" i="2"/>
  <c r="C1427" i="2" s="1"/>
  <c r="H1430" i="2"/>
  <c r="C1430" i="2" s="1"/>
  <c r="H1428" i="2"/>
  <c r="C1428" i="2" s="1"/>
  <c r="H1429" i="2"/>
  <c r="C1429" i="2" s="1"/>
  <c r="I1636" i="2"/>
  <c r="H1636" i="2"/>
  <c r="P1636" i="2" s="1"/>
  <c r="C1636" i="2" s="1"/>
  <c r="H1587" i="2"/>
  <c r="P1587" i="2" s="1"/>
  <c r="C1587" i="2" s="1"/>
  <c r="J1587" i="2"/>
  <c r="H1005" i="2"/>
  <c r="C1005" i="2" s="1"/>
  <c r="P1003" i="2"/>
  <c r="C1003" i="2" s="1"/>
  <c r="H1004" i="2"/>
  <c r="C1004" i="2" s="1"/>
  <c r="H1007" i="2"/>
  <c r="C1007" i="2" s="1"/>
  <c r="H1008" i="2"/>
  <c r="C1008" i="2" s="1"/>
  <c r="H1006" i="2"/>
  <c r="C1006" i="2" s="1"/>
  <c r="H1156" i="2"/>
  <c r="C1156" i="2" s="1"/>
  <c r="H1157" i="2"/>
  <c r="C1157" i="2" s="1"/>
  <c r="P1155" i="2"/>
  <c r="C1155" i="2" s="1"/>
  <c r="H746" i="2"/>
  <c r="C746" i="2" s="1"/>
  <c r="H747" i="2"/>
  <c r="C747" i="2" s="1"/>
  <c r="H1128" i="2"/>
  <c r="C1128" i="2" s="1"/>
  <c r="P1126" i="2"/>
  <c r="C1126" i="2" s="1"/>
  <c r="H1130" i="2"/>
  <c r="C1130" i="2" s="1"/>
  <c r="H1127" i="2"/>
  <c r="C1127" i="2" s="1"/>
  <c r="H1132" i="2"/>
  <c r="C1132" i="2" s="1"/>
  <c r="H1129" i="2"/>
  <c r="C1129" i="2" s="1"/>
  <c r="H1131" i="2"/>
  <c r="C1131" i="2" s="1"/>
  <c r="P857" i="2"/>
  <c r="C857" i="2" s="1"/>
  <c r="P855" i="2"/>
  <c r="C855" i="2" s="1"/>
  <c r="C854" i="2"/>
  <c r="P858" i="2"/>
  <c r="C858" i="2" s="1"/>
  <c r="P860" i="2"/>
  <c r="C860" i="2" s="1"/>
  <c r="P861" i="2"/>
  <c r="C861" i="2" s="1"/>
  <c r="P856" i="2"/>
  <c r="C856" i="2" s="1"/>
  <c r="P859" i="2"/>
  <c r="C859" i="2" s="1"/>
  <c r="H707" i="2"/>
  <c r="H708" i="2"/>
  <c r="P705" i="2"/>
  <c r="H706" i="2"/>
  <c r="H700" i="2"/>
  <c r="C700" i="2" s="1"/>
  <c r="H699" i="2"/>
  <c r="C699" i="2" s="1"/>
  <c r="H2633" i="1"/>
  <c r="H2638" i="1"/>
  <c r="H2637" i="1" s="1"/>
  <c r="H2634" i="1"/>
  <c r="H2639" i="1"/>
  <c r="H2635" i="1"/>
  <c r="H2631" i="1"/>
  <c r="H2645" i="1"/>
  <c r="H2642" i="1"/>
  <c r="H2643" i="1" s="1"/>
  <c r="H2636" i="1"/>
  <c r="H2632" i="1"/>
  <c r="H2379" i="1"/>
  <c r="H2373" i="1"/>
  <c r="H2168" i="1"/>
  <c r="D2159" i="1"/>
  <c r="H2160" i="1"/>
  <c r="H1957" i="1"/>
  <c r="H1959" i="1"/>
  <c r="H1958" i="1"/>
  <c r="H2502" i="1"/>
  <c r="H2503" i="1"/>
  <c r="H1467" i="1"/>
  <c r="H1468" i="1"/>
  <c r="H1724" i="1"/>
  <c r="H1720" i="1"/>
  <c r="H1721" i="1"/>
  <c r="H1850" i="1"/>
  <c r="H1722" i="1"/>
  <c r="H1718" i="1"/>
  <c r="H1723" i="1"/>
  <c r="H1719" i="1"/>
  <c r="H1516" i="1"/>
  <c r="H1514" i="1"/>
  <c r="H1517" i="1"/>
  <c r="H1515" i="1"/>
  <c r="H1518" i="1"/>
  <c r="H1513" i="1"/>
  <c r="D1698" i="1"/>
  <c r="H1699" i="1"/>
  <c r="H1706" i="1"/>
  <c r="H1584" i="1"/>
  <c r="H1580" i="1"/>
  <c r="H1581" i="1"/>
  <c r="H1586" i="1"/>
  <c r="H1582" i="1"/>
  <c r="H1583" i="1"/>
  <c r="H1350" i="1"/>
  <c r="H1332" i="1"/>
  <c r="H1337" i="1"/>
  <c r="H1333" i="1"/>
  <c r="H1338" i="1"/>
  <c r="H1334" i="1"/>
  <c r="H1335" i="1"/>
  <c r="H1331" i="1"/>
  <c r="D1207" i="1"/>
  <c r="D374" i="1"/>
  <c r="D375" i="1" s="1"/>
  <c r="D376" i="1" s="1"/>
  <c r="D377" i="1" s="1"/>
  <c r="D378" i="1" s="1"/>
  <c r="H424" i="1"/>
  <c r="H722" i="1"/>
  <c r="D714" i="1"/>
  <c r="H1125" i="1"/>
  <c r="H1126" i="1"/>
  <c r="H1127" i="1" s="1"/>
  <c r="H1122" i="1"/>
  <c r="H1133" i="1"/>
  <c r="H1136" i="1" s="1"/>
  <c r="H1123" i="1"/>
  <c r="H1124" i="1"/>
  <c r="H245" i="1"/>
  <c r="H248" i="1" s="1"/>
  <c r="H246" i="1"/>
  <c r="H247" i="1"/>
  <c r="P2356" i="2"/>
  <c r="C2356" i="2" s="1"/>
  <c r="L2356" i="2"/>
  <c r="P2154" i="2"/>
  <c r="C2154" i="2" s="1"/>
  <c r="M2154" i="2"/>
  <c r="P2337" i="2"/>
  <c r="C2337" i="2" s="1"/>
  <c r="L2337" i="2"/>
  <c r="D2230" i="2"/>
  <c r="H2230" i="2" s="1"/>
  <c r="P2230" i="2" s="1"/>
  <c r="C2230" i="2" s="1"/>
  <c r="L1971" i="2"/>
  <c r="P1971" i="2"/>
  <c r="C1971" i="2" s="1"/>
  <c r="D2126" i="2"/>
  <c r="H2051" i="2"/>
  <c r="P2051" i="2" s="1"/>
  <c r="C2051" i="2" s="1"/>
  <c r="N2051" i="2"/>
  <c r="D2026" i="2"/>
  <c r="H2026" i="2" s="1"/>
  <c r="P2026" i="2" s="1"/>
  <c r="C2026" i="2" s="1"/>
  <c r="H1956" i="2"/>
  <c r="P1956" i="2" s="1"/>
  <c r="C1956" i="2" s="1"/>
  <c r="D2037" i="2"/>
  <c r="H2037" i="2" s="1"/>
  <c r="P2037" i="2" s="1"/>
  <c r="C2037" i="2" s="1"/>
  <c r="H1975" i="2"/>
  <c r="I1679" i="2"/>
  <c r="H1679" i="2"/>
  <c r="P1679" i="2" s="1"/>
  <c r="C1679" i="2" s="1"/>
  <c r="H1816" i="2"/>
  <c r="H1819" i="2"/>
  <c r="P1819" i="2" s="1"/>
  <c r="C1819" i="2" s="1"/>
  <c r="H1820" i="2"/>
  <c r="P1820" i="2" s="1"/>
  <c r="C1820" i="2" s="1"/>
  <c r="H1815" i="2"/>
  <c r="D1814" i="2"/>
  <c r="D1929" i="2" s="1"/>
  <c r="H1929" i="2" s="1"/>
  <c r="P1929" i="2" s="1"/>
  <c r="C1929" i="2" s="1"/>
  <c r="P1814" i="2"/>
  <c r="H1817" i="2"/>
  <c r="P1817" i="2" s="1"/>
  <c r="C1817" i="2" s="1"/>
  <c r="I1633" i="2"/>
  <c r="H1633" i="2"/>
  <c r="P1633" i="2" s="1"/>
  <c r="C1633" i="2" s="1"/>
  <c r="I1657" i="2"/>
  <c r="H1657" i="2"/>
  <c r="P1657" i="2" s="1"/>
  <c r="C1657" i="2" s="1"/>
  <c r="H1526" i="2"/>
  <c r="P1526" i="2" s="1"/>
  <c r="C1526" i="2" s="1"/>
  <c r="J1526" i="2"/>
  <c r="H1188" i="2"/>
  <c r="C1188" i="2" s="1"/>
  <c r="H1185" i="2"/>
  <c r="C1185" i="2" s="1"/>
  <c r="H1190" i="2"/>
  <c r="C1190" i="2" s="1"/>
  <c r="H1189" i="2"/>
  <c r="C1189" i="2" s="1"/>
  <c r="H1187" i="2"/>
  <c r="C1187" i="2" s="1"/>
  <c r="H1186" i="2"/>
  <c r="C1186" i="2" s="1"/>
  <c r="P1184" i="2"/>
  <c r="C1184" i="2" s="1"/>
  <c r="H1331" i="2"/>
  <c r="C1331" i="2" s="1"/>
  <c r="H1323" i="2"/>
  <c r="C1323" i="2" s="1"/>
  <c r="H1328" i="2"/>
  <c r="C1328" i="2" s="1"/>
  <c r="H1325" i="2"/>
  <c r="C1325" i="2" s="1"/>
  <c r="H1330" i="2"/>
  <c r="C1330" i="2" s="1"/>
  <c r="H1327" i="2"/>
  <c r="C1327" i="2" s="1"/>
  <c r="H1324" i="2"/>
  <c r="C1324" i="2" s="1"/>
  <c r="P1322" i="2"/>
  <c r="C1322" i="2" s="1"/>
  <c r="H1329" i="2"/>
  <c r="C1329" i="2" s="1"/>
  <c r="H1326" i="2"/>
  <c r="C1326" i="2" s="1"/>
  <c r="H1018" i="2"/>
  <c r="C1018" i="2" s="1"/>
  <c r="P1013" i="2"/>
  <c r="C1013" i="2" s="1"/>
  <c r="H1015" i="2"/>
  <c r="C1015" i="2" s="1"/>
  <c r="H1016" i="2"/>
  <c r="C1016" i="2" s="1"/>
  <c r="H1014" i="2"/>
  <c r="C1014" i="2" s="1"/>
  <c r="H1017" i="2"/>
  <c r="C1017" i="2" s="1"/>
  <c r="H1181" i="2"/>
  <c r="H1178" i="2"/>
  <c r="H1173" i="2"/>
  <c r="H1176" i="2"/>
  <c r="H1174" i="2"/>
  <c r="H1180" i="2"/>
  <c r="P1172" i="2"/>
  <c r="H1179" i="2"/>
  <c r="H1175" i="2"/>
  <c r="H1162" i="2"/>
  <c r="H1177" i="2"/>
  <c r="H567" i="2"/>
  <c r="H570" i="2"/>
  <c r="H571" i="2"/>
  <c r="H569" i="2"/>
  <c r="C569" i="2" s="1"/>
  <c r="H568" i="2"/>
  <c r="P566" i="2"/>
  <c r="C784" i="2"/>
  <c r="H444" i="2"/>
  <c r="C444" i="2" s="1"/>
  <c r="H440" i="2"/>
  <c r="C440" i="2" s="1"/>
  <c r="H434" i="2"/>
  <c r="C434" i="2" s="1"/>
  <c r="H445" i="2"/>
  <c r="C445" i="2" s="1"/>
  <c r="H441" i="2"/>
  <c r="C441" i="2" s="1"/>
  <c r="H437" i="2"/>
  <c r="C437" i="2" s="1"/>
  <c r="H446" i="2"/>
  <c r="C446" i="2" s="1"/>
  <c r="H432" i="2"/>
  <c r="C432" i="2" s="1"/>
  <c r="H442" i="2"/>
  <c r="C442" i="2" s="1"/>
  <c r="H438" i="2"/>
  <c r="C438" i="2" s="1"/>
  <c r="H435" i="2"/>
  <c r="C435" i="2" s="1"/>
  <c r="C431" i="2"/>
  <c r="H443" i="2"/>
  <c r="C443" i="2" s="1"/>
  <c r="H439" i="2"/>
  <c r="C439" i="2" s="1"/>
  <c r="H433" i="2"/>
  <c r="C433" i="2" s="1"/>
  <c r="H436" i="2"/>
  <c r="C436" i="2" s="1"/>
  <c r="H447" i="2"/>
  <c r="C447" i="2" s="1"/>
  <c r="C1105" i="2"/>
  <c r="H623" i="2"/>
  <c r="H628" i="2"/>
  <c r="H626" i="2"/>
  <c r="C626" i="2" s="1"/>
  <c r="H632" i="2"/>
  <c r="H625" i="2"/>
  <c r="H627" i="2"/>
  <c r="C627" i="2" s="1"/>
  <c r="P622" i="2"/>
  <c r="H633" i="2"/>
  <c r="C633" i="2" s="1"/>
  <c r="H629" i="2"/>
  <c r="H624" i="2"/>
  <c r="H630" i="2"/>
  <c r="H631" i="2"/>
  <c r="H2576" i="1"/>
  <c r="H2577" i="1"/>
  <c r="H2575" i="1"/>
  <c r="D2571" i="1"/>
  <c r="H2572" i="1"/>
  <c r="N676" i="2"/>
  <c r="M676" i="2"/>
  <c r="J676" i="2"/>
  <c r="L676" i="2"/>
  <c r="K676" i="2"/>
  <c r="I676" i="2"/>
  <c r="H384" i="2"/>
  <c r="C384" i="2" s="1"/>
  <c r="H392" i="2"/>
  <c r="C392" i="2" s="1"/>
  <c r="C256" i="2"/>
  <c r="H258" i="2"/>
  <c r="C258" i="2" s="1"/>
  <c r="H257" i="2"/>
  <c r="C257" i="2" s="1"/>
  <c r="H2461" i="1"/>
  <c r="H2462" i="1"/>
  <c r="H2463" i="1"/>
  <c r="H2460" i="1"/>
  <c r="C65" i="2"/>
  <c r="H2308" i="1"/>
  <c r="H2181" i="1"/>
  <c r="H2178" i="1"/>
  <c r="H2180" i="1"/>
  <c r="H2177" i="1"/>
  <c r="H2175" i="1"/>
  <c r="H2179" i="1"/>
  <c r="H2176" i="1"/>
  <c r="H2197" i="1"/>
  <c r="H2202" i="1"/>
  <c r="H2199" i="1"/>
  <c r="H2200" i="1"/>
  <c r="H2203" i="1"/>
  <c r="H2198" i="1"/>
  <c r="H355" i="2"/>
  <c r="H344" i="2"/>
  <c r="C344" i="2" s="1"/>
  <c r="H351" i="2"/>
  <c r="H347" i="2"/>
  <c r="H341" i="2"/>
  <c r="H352" i="2"/>
  <c r="H348" i="2"/>
  <c r="H342" i="2"/>
  <c r="H354" i="2"/>
  <c r="H353" i="2"/>
  <c r="H350" i="2"/>
  <c r="P339" i="2"/>
  <c r="H349" i="2"/>
  <c r="H346" i="2"/>
  <c r="H340" i="2"/>
  <c r="H343" i="2"/>
  <c r="C343" i="2" s="1"/>
  <c r="H2665" i="1"/>
  <c r="H2670" i="1"/>
  <c r="H2666" i="1"/>
  <c r="H2668" i="1"/>
  <c r="H2667" i="1"/>
  <c r="H2669" i="1" s="1"/>
  <c r="H2664" i="1"/>
  <c r="H1741" i="1"/>
  <c r="H1742" i="1"/>
  <c r="H1746" i="1"/>
  <c r="H1743" i="1"/>
  <c r="H1747" i="1"/>
  <c r="H1744" i="1"/>
  <c r="H1530" i="1"/>
  <c r="H1534" i="1"/>
  <c r="H1531" i="1"/>
  <c r="H1535" i="1"/>
  <c r="H1544" i="1"/>
  <c r="H1541" i="1"/>
  <c r="H1545" i="1"/>
  <c r="H1546" i="1" s="1"/>
  <c r="H1834" i="1"/>
  <c r="H1826" i="1"/>
  <c r="H1830" i="1" s="1"/>
  <c r="H1827" i="1"/>
  <c r="H1831" i="1" s="1"/>
  <c r="H1812" i="1"/>
  <c r="H1828" i="1"/>
  <c r="H1829" i="1"/>
  <c r="H1825" i="1"/>
  <c r="H1833" i="1" s="1"/>
  <c r="H1452" i="1"/>
  <c r="D1452" i="1" s="1"/>
  <c r="H1453" i="1"/>
  <c r="H1500" i="1"/>
  <c r="D1451" i="1"/>
  <c r="H1711" i="1"/>
  <c r="D1702" i="1"/>
  <c r="H1703" i="1"/>
  <c r="H1839" i="1"/>
  <c r="H1840" i="1"/>
  <c r="H1841" i="1"/>
  <c r="H1837" i="1"/>
  <c r="H1849" i="1" s="1"/>
  <c r="H1838" i="1"/>
  <c r="H1845" i="1"/>
  <c r="H1848" i="1" s="1"/>
  <c r="H1761" i="1"/>
  <c r="H1764" i="1"/>
  <c r="H1759" i="1"/>
  <c r="H1762" i="1"/>
  <c r="H1760" i="1"/>
  <c r="H1763" i="1"/>
  <c r="H1758" i="1"/>
  <c r="H1475" i="1"/>
  <c r="H1478" i="1"/>
  <c r="D1474" i="1"/>
  <c r="H1237" i="1"/>
  <c r="H1234" i="1"/>
  <c r="H1238" i="1"/>
  <c r="H1236" i="1"/>
  <c r="H1233" i="1"/>
  <c r="D1231" i="1"/>
  <c r="D1240" i="1" s="1"/>
  <c r="D1247" i="1" s="1"/>
  <c r="D1254" i="1" s="1"/>
  <c r="D1263" i="1" s="1"/>
  <c r="D1270" i="1" s="1"/>
  <c r="H1239" i="1"/>
  <c r="H1235" i="1"/>
  <c r="H1354" i="1"/>
  <c r="H1339" i="1"/>
  <c r="H1355" i="1"/>
  <c r="H1356" i="1"/>
  <c r="H1352" i="1"/>
  <c r="H1360" i="1" s="1"/>
  <c r="H1361" i="1"/>
  <c r="H1353" i="1"/>
  <c r="H1357" i="1" s="1"/>
  <c r="B516" i="1"/>
  <c r="D459" i="1"/>
  <c r="D460" i="1" s="1"/>
  <c r="D461" i="1" s="1"/>
  <c r="D462" i="1" s="1"/>
  <c r="H303" i="1"/>
  <c r="H300" i="1"/>
  <c r="H362" i="1"/>
  <c r="H361" i="1"/>
  <c r="H360" i="1"/>
  <c r="H359" i="1"/>
  <c r="H355" i="1"/>
  <c r="H356" i="1"/>
  <c r="H354" i="1"/>
  <c r="H363" i="1"/>
  <c r="H352" i="1"/>
  <c r="H353" i="1"/>
  <c r="H1041" i="1"/>
  <c r="H1044" i="1"/>
  <c r="H1039" i="1"/>
  <c r="H1045" i="1"/>
  <c r="H1042" i="1"/>
  <c r="H1040" i="1"/>
  <c r="H1043" i="1"/>
  <c r="H63" i="1"/>
  <c r="H59" i="1"/>
  <c r="H55" i="1"/>
  <c r="H64" i="1" s="1"/>
  <c r="H60" i="1"/>
  <c r="H56" i="1"/>
  <c r="H61" i="1"/>
  <c r="H65" i="1"/>
  <c r="H57" i="1"/>
  <c r="H66" i="1"/>
  <c r="H67" i="1" s="1"/>
  <c r="H58" i="1"/>
  <c r="H54" i="1"/>
  <c r="H345" i="1"/>
  <c r="H1527" i="2"/>
  <c r="P1527" i="2" s="1"/>
  <c r="C1527" i="2" s="1"/>
  <c r="J1527" i="2"/>
  <c r="H1412" i="2"/>
  <c r="H1414" i="2"/>
  <c r="H1413" i="2"/>
  <c r="P1410" i="2"/>
  <c r="H1411" i="2"/>
  <c r="H785" i="2"/>
  <c r="C785" i="2" s="1"/>
  <c r="H779" i="2"/>
  <c r="C779" i="2" s="1"/>
  <c r="H782" i="2"/>
  <c r="C782" i="2" s="1"/>
  <c r="H786" i="2"/>
  <c r="C786" i="2" s="1"/>
  <c r="H784" i="2"/>
  <c r="H783" i="2"/>
  <c r="H781" i="2"/>
  <c r="H787" i="2"/>
  <c r="C787" i="2" s="1"/>
  <c r="H780" i="2"/>
  <c r="H2628" i="1"/>
  <c r="H2626" i="1"/>
  <c r="H2624" i="1"/>
  <c r="H2622" i="1"/>
  <c r="H2627" i="1"/>
  <c r="H2625" i="1"/>
  <c r="H2623" i="1"/>
  <c r="H1059" i="1"/>
  <c r="H1055" i="1"/>
  <c r="H1056" i="1" s="1"/>
  <c r="H1049" i="1"/>
  <c r="H1060" i="1"/>
  <c r="H1053" i="1"/>
  <c r="H1050" i="1"/>
  <c r="H1057" i="1"/>
  <c r="H1061" i="1"/>
  <c r="H1054" i="1"/>
  <c r="H1058" i="1"/>
  <c r="H1062" i="1"/>
  <c r="P2352" i="2"/>
  <c r="C2352" i="2" s="1"/>
  <c r="L2352" i="2"/>
  <c r="P2328" i="2"/>
  <c r="C2328" i="2" s="1"/>
  <c r="L2328" i="2"/>
  <c r="D2231" i="2"/>
  <c r="H2231" i="2" s="1"/>
  <c r="P2231" i="2" s="1"/>
  <c r="C2231" i="2" s="1"/>
  <c r="H2206" i="2"/>
  <c r="P2206" i="2" s="1"/>
  <c r="C2206" i="2" s="1"/>
  <c r="D2183" i="2"/>
  <c r="H2153" i="2"/>
  <c r="D2169" i="2"/>
  <c r="H2169" i="2" s="1"/>
  <c r="D2039" i="2"/>
  <c r="H2039" i="2" s="1"/>
  <c r="P2039" i="2" s="1"/>
  <c r="C2039" i="2" s="1"/>
  <c r="H2004" i="2"/>
  <c r="P2004" i="2" s="1"/>
  <c r="C2004" i="2" s="1"/>
  <c r="K1969" i="2"/>
  <c r="H1969" i="2"/>
  <c r="P1969" i="2" s="1"/>
  <c r="C1969" i="2" s="1"/>
  <c r="D1968" i="2"/>
  <c r="K1966" i="2"/>
  <c r="H1966" i="2"/>
  <c r="P1966" i="2" s="1"/>
  <c r="C1966" i="2" s="1"/>
  <c r="I1663" i="2"/>
  <c r="H1663" i="2"/>
  <c r="P1663" i="2" s="1"/>
  <c r="C1663" i="2" s="1"/>
  <c r="H1718" i="2"/>
  <c r="P1718" i="2" s="1"/>
  <c r="C1718" i="2" s="1"/>
  <c r="I1718" i="2"/>
  <c r="H1716" i="2"/>
  <c r="P1716" i="2" s="1"/>
  <c r="C1716" i="2" s="1"/>
  <c r="I1716" i="2"/>
  <c r="H1511" i="2"/>
  <c r="P1511" i="2" s="1"/>
  <c r="C1511" i="2" s="1"/>
  <c r="J1511" i="2"/>
  <c r="H1382" i="2"/>
  <c r="C1382" i="2" s="1"/>
  <c r="H1379" i="2"/>
  <c r="C1379" i="2" s="1"/>
  <c r="H1384" i="2"/>
  <c r="C1384" i="2" s="1"/>
  <c r="H1381" i="2"/>
  <c r="C1381" i="2" s="1"/>
  <c r="H1386" i="2"/>
  <c r="C1386" i="2" s="1"/>
  <c r="H1383" i="2"/>
  <c r="C1383" i="2" s="1"/>
  <c r="H1380" i="2"/>
  <c r="C1380" i="2" s="1"/>
  <c r="P1378" i="2"/>
  <c r="C1378" i="2" s="1"/>
  <c r="H1385" i="2"/>
  <c r="C1385" i="2" s="1"/>
  <c r="I1659" i="2"/>
  <c r="H1659" i="2"/>
  <c r="P1659" i="2" s="1"/>
  <c r="C1659" i="2" s="1"/>
  <c r="H1528" i="2"/>
  <c r="P1528" i="2" s="1"/>
  <c r="C1528" i="2" s="1"/>
  <c r="J1528" i="2"/>
  <c r="H1404" i="2"/>
  <c r="H1406" i="2"/>
  <c r="H1405" i="2"/>
  <c r="P1402" i="2"/>
  <c r="H1403" i="2"/>
  <c r="H1296" i="2"/>
  <c r="C1296" i="2" s="1"/>
  <c r="H1301" i="2"/>
  <c r="C1301" i="2" s="1"/>
  <c r="H1298" i="2"/>
  <c r="C1298" i="2" s="1"/>
  <c r="H1303" i="2"/>
  <c r="C1303" i="2" s="1"/>
  <c r="H1295" i="2"/>
  <c r="C1295" i="2" s="1"/>
  <c r="P1293" i="2"/>
  <c r="C1293" i="2" s="1"/>
  <c r="H1300" i="2"/>
  <c r="C1300" i="2" s="1"/>
  <c r="H1297" i="2"/>
  <c r="C1297" i="2" s="1"/>
  <c r="H1302" i="2"/>
  <c r="C1302" i="2" s="1"/>
  <c r="H1294" i="2"/>
  <c r="C1294" i="2" s="1"/>
  <c r="H1299" i="2"/>
  <c r="C1299" i="2" s="1"/>
  <c r="H1439" i="2"/>
  <c r="C1439" i="2" s="1"/>
  <c r="H1437" i="2"/>
  <c r="C1437" i="2" s="1"/>
  <c r="H1438" i="2"/>
  <c r="C1438" i="2" s="1"/>
  <c r="P1436" i="2"/>
  <c r="C1436" i="2" s="1"/>
  <c r="P830" i="2"/>
  <c r="C830" i="2" s="1"/>
  <c r="C829" i="2"/>
  <c r="P836" i="2"/>
  <c r="C836" i="2" s="1"/>
  <c r="P835" i="2"/>
  <c r="C835" i="2" s="1"/>
  <c r="P834" i="2"/>
  <c r="C834" i="2" s="1"/>
  <c r="P831" i="2"/>
  <c r="C831" i="2" s="1"/>
  <c r="H661" i="2"/>
  <c r="C661" i="2" s="1"/>
  <c r="H659" i="2"/>
  <c r="C659" i="2" s="1"/>
  <c r="H656" i="2"/>
  <c r="C656" i="2" s="1"/>
  <c r="H662" i="2"/>
  <c r="C662" i="2" s="1"/>
  <c r="C655" i="2"/>
  <c r="H660" i="2"/>
  <c r="C660" i="2" s="1"/>
  <c r="H658" i="2"/>
  <c r="C658" i="2" s="1"/>
  <c r="H657" i="2"/>
  <c r="C657" i="2" s="1"/>
  <c r="H663" i="2"/>
  <c r="C663" i="2" s="1"/>
  <c r="H664" i="2"/>
  <c r="C664" i="2" s="1"/>
  <c r="J1503" i="2"/>
  <c r="H1503" i="2"/>
  <c r="P1503" i="2" s="1"/>
  <c r="C1503" i="2" s="1"/>
  <c r="C778" i="2"/>
  <c r="H275" i="2"/>
  <c r="C275" i="2" s="1"/>
  <c r="H277" i="2"/>
  <c r="C277" i="2" s="1"/>
  <c r="C274" i="2"/>
  <c r="H276" i="2"/>
  <c r="C276" i="2" s="1"/>
  <c r="C1106" i="2"/>
  <c r="P936" i="2"/>
  <c r="C936" i="2" s="1"/>
  <c r="C932" i="2"/>
  <c r="P934" i="2"/>
  <c r="C934" i="2" s="1"/>
  <c r="P937" i="2"/>
  <c r="C937" i="2" s="1"/>
  <c r="P933" i="2"/>
  <c r="C933" i="2" s="1"/>
  <c r="H646" i="2"/>
  <c r="C645" i="2"/>
  <c r="H235" i="2"/>
  <c r="C235" i="2" s="1"/>
  <c r="C234" i="2"/>
  <c r="H236" i="2"/>
  <c r="C236" i="2" s="1"/>
  <c r="H55" i="2"/>
  <c r="C55" i="2" s="1"/>
  <c r="H54" i="2"/>
  <c r="C54" i="2" s="1"/>
  <c r="C53" i="2"/>
  <c r="H2561" i="1"/>
  <c r="H466" i="2"/>
  <c r="C466" i="2" s="1"/>
  <c r="C465" i="2"/>
  <c r="H467" i="2"/>
  <c r="C467" i="2" s="1"/>
  <c r="H214" i="2"/>
  <c r="C214" i="2" s="1"/>
  <c r="H216" i="2"/>
  <c r="C216" i="2" s="1"/>
  <c r="C213" i="2"/>
  <c r="H215" i="2"/>
  <c r="C215" i="2" s="1"/>
  <c r="H395" i="2"/>
  <c r="C395" i="2" s="1"/>
  <c r="H393" i="2"/>
  <c r="C393" i="2" s="1"/>
  <c r="H377" i="2"/>
  <c r="C377" i="2" s="1"/>
  <c r="H488" i="2"/>
  <c r="C488" i="2" s="1"/>
  <c r="H259" i="2"/>
  <c r="C259" i="2" s="1"/>
  <c r="H167" i="2"/>
  <c r="C167" i="2" s="1"/>
  <c r="H237" i="2"/>
  <c r="C237" i="2" s="1"/>
  <c r="H227" i="2"/>
  <c r="C227" i="2" s="1"/>
  <c r="H424" i="2"/>
  <c r="C424" i="2" s="1"/>
  <c r="H310" i="2"/>
  <c r="C310" i="2" s="1"/>
  <c r="H145" i="2"/>
  <c r="C145" i="2" s="1"/>
  <c r="H498" i="2"/>
  <c r="C498" i="2" s="1"/>
  <c r="H19" i="2"/>
  <c r="C19" i="2" s="1"/>
  <c r="C18" i="2"/>
  <c r="H30" i="2"/>
  <c r="C30" i="2" s="1"/>
  <c r="H56" i="2"/>
  <c r="C56" i="2" s="1"/>
  <c r="H20" i="2"/>
  <c r="C20" i="2" s="1"/>
  <c r="H2430" i="1"/>
  <c r="H2428" i="1"/>
  <c r="H2426" i="1"/>
  <c r="H2431" i="1"/>
  <c r="H2429" i="1"/>
  <c r="H2427" i="1"/>
  <c r="H2425" i="1"/>
  <c r="H2451" i="1"/>
  <c r="H2447" i="1"/>
  <c r="H2443" i="1"/>
  <c r="H2457" i="1"/>
  <c r="H2454" i="1"/>
  <c r="H2455" i="1" s="1"/>
  <c r="H2448" i="1"/>
  <c r="H2444" i="1"/>
  <c r="H2445" i="1"/>
  <c r="H2450" i="1"/>
  <c r="H2449" i="1" s="1"/>
  <c r="H2446" i="1"/>
  <c r="H2296" i="1"/>
  <c r="H2301" i="1"/>
  <c r="H2302" i="1" s="1"/>
  <c r="H2304" i="1" s="1"/>
  <c r="H2297" i="1"/>
  <c r="H2298" i="1"/>
  <c r="H2303" i="1"/>
  <c r="H2306" i="1" s="1"/>
  <c r="H2299" i="1"/>
  <c r="H2300" i="1" s="1"/>
  <c r="H2295" i="1"/>
  <c r="H2307" i="1" s="1"/>
  <c r="H2240" i="1"/>
  <c r="H2235" i="1"/>
  <c r="H2231" i="1"/>
  <c r="H2227" i="1"/>
  <c r="H2223" i="1"/>
  <c r="H2236" i="1"/>
  <c r="H2232" i="1"/>
  <c r="H2228" i="1"/>
  <c r="H2224" i="1"/>
  <c r="H2237" i="1"/>
  <c r="H2238" i="1" s="1"/>
  <c r="H2233" i="1"/>
  <c r="H2229" i="1"/>
  <c r="H2230" i="1" s="1"/>
  <c r="H2225" i="1"/>
  <c r="H2239" i="1" s="1"/>
  <c r="H2226" i="1"/>
  <c r="D2147" i="1"/>
  <c r="H2049" i="1"/>
  <c r="H2031" i="1"/>
  <c r="H2036" i="1"/>
  <c r="H2032" i="1"/>
  <c r="H2037" i="1"/>
  <c r="H2033" i="1"/>
  <c r="H2034" i="1"/>
  <c r="H2030" i="1"/>
  <c r="H2060" i="1"/>
  <c r="H2053" i="1"/>
  <c r="H2038" i="1"/>
  <c r="H2054" i="1"/>
  <c r="H2055" i="1"/>
  <c r="H2051" i="1"/>
  <c r="H2059" i="1" s="1"/>
  <c r="H2052" i="1"/>
  <c r="H2056" i="1" s="1"/>
  <c r="H1929" i="1"/>
  <c r="D1921" i="1"/>
  <c r="H1922" i="1"/>
  <c r="H1824" i="1"/>
  <c r="H1832" i="1" s="1"/>
  <c r="H1293" i="1"/>
  <c r="H1291" i="1"/>
  <c r="H1294" i="1"/>
  <c r="H1292" i="1"/>
  <c r="H1295" i="1"/>
  <c r="H1290" i="1"/>
  <c r="H1289" i="1"/>
  <c r="D1206" i="1"/>
  <c r="I827" i="1"/>
  <c r="A827" i="1" s="1"/>
  <c r="H38" i="1"/>
  <c r="D36" i="1"/>
  <c r="H41" i="1"/>
  <c r="D35" i="1"/>
  <c r="D471" i="1"/>
  <c r="D477" i="1" s="1"/>
  <c r="D484" i="1" s="1"/>
  <c r="H475" i="1"/>
  <c r="H476" i="1"/>
  <c r="H473" i="1"/>
  <c r="H474" i="1"/>
  <c r="H971" i="1"/>
  <c r="D962" i="1"/>
  <c r="H963" i="1"/>
  <c r="H884" i="1"/>
  <c r="I884" i="1" s="1"/>
  <c r="A884" i="1" s="1"/>
  <c r="H886" i="1"/>
  <c r="I886" i="1" s="1"/>
  <c r="A886" i="1" s="1"/>
  <c r="I881" i="1"/>
  <c r="A881" i="1" s="1"/>
  <c r="A882" i="1" s="1"/>
  <c r="H912" i="1"/>
  <c r="I912" i="1" s="1"/>
  <c r="A912" i="1" s="1"/>
  <c r="I891" i="1"/>
  <c r="A891" i="1" s="1"/>
  <c r="A892" i="1" s="1"/>
  <c r="H899" i="1"/>
  <c r="H913" i="1"/>
  <c r="I913" i="1" s="1"/>
  <c r="A913" i="1" s="1"/>
  <c r="L1976" i="2"/>
  <c r="P1976" i="2"/>
  <c r="C1976" i="2" s="1"/>
  <c r="H1588" i="2"/>
  <c r="P1588" i="2" s="1"/>
  <c r="C1588" i="2" s="1"/>
  <c r="J1588" i="2"/>
  <c r="H2387" i="1"/>
  <c r="H2384" i="1"/>
  <c r="D2383" i="1"/>
  <c r="H2389" i="1"/>
  <c r="H2388" i="1"/>
  <c r="H1487" i="1"/>
  <c r="H1484" i="1"/>
  <c r="H1488" i="1"/>
  <c r="H1485" i="1"/>
  <c r="H1486" i="1"/>
  <c r="P2343" i="2"/>
  <c r="C2343" i="2" s="1"/>
  <c r="L2343" i="2"/>
  <c r="P2355" i="2"/>
  <c r="C2355" i="2" s="1"/>
  <c r="L2355" i="2"/>
  <c r="P2324" i="2"/>
  <c r="C2324" i="2" s="1"/>
  <c r="L2324" i="2"/>
  <c r="H2046" i="2"/>
  <c r="P2046" i="2" s="1"/>
  <c r="C2046" i="2" s="1"/>
  <c r="D2045" i="2"/>
  <c r="H2045" i="2" s="1"/>
  <c r="P2045" i="2" s="1"/>
  <c r="C2045" i="2" s="1"/>
  <c r="H2056" i="2"/>
  <c r="N2056" i="2"/>
  <c r="H1708" i="2"/>
  <c r="P1708" i="2" s="1"/>
  <c r="C1708" i="2" s="1"/>
  <c r="I1708" i="2"/>
  <c r="I1664" i="2"/>
  <c r="H1664" i="2"/>
  <c r="P1664" i="2" s="1"/>
  <c r="C1664" i="2" s="1"/>
  <c r="K1798" i="2"/>
  <c r="H1798" i="2"/>
  <c r="P1798" i="2" s="1"/>
  <c r="C1798" i="2" s="1"/>
  <c r="I1648" i="2"/>
  <c r="H1648" i="2"/>
  <c r="P1648" i="2" s="1"/>
  <c r="C1648" i="2" s="1"/>
  <c r="H1590" i="2"/>
  <c r="P1590" i="2" s="1"/>
  <c r="C1590" i="2" s="1"/>
  <c r="J1590" i="2"/>
  <c r="H1714" i="2"/>
  <c r="P1714" i="2" s="1"/>
  <c r="C1714" i="2" s="1"/>
  <c r="I1714" i="2"/>
  <c r="H1512" i="2"/>
  <c r="P1512" i="2" s="1"/>
  <c r="C1512" i="2" s="1"/>
  <c r="J1512" i="2"/>
  <c r="H1234" i="2"/>
  <c r="C1234" i="2" s="1"/>
  <c r="H1231" i="2"/>
  <c r="C1231" i="2" s="1"/>
  <c r="H1233" i="2"/>
  <c r="C1233" i="2" s="1"/>
  <c r="H1235" i="2"/>
  <c r="C1235" i="2" s="1"/>
  <c r="P1230" i="2"/>
  <c r="C1230" i="2" s="1"/>
  <c r="H1232" i="2"/>
  <c r="C1232" i="2" s="1"/>
  <c r="I1660" i="2"/>
  <c r="H1660" i="2"/>
  <c r="P1660" i="2" s="1"/>
  <c r="C1660" i="2" s="1"/>
  <c r="J1496" i="2"/>
  <c r="H1496" i="2"/>
  <c r="P1496" i="2" s="1"/>
  <c r="C1496" i="2" s="1"/>
  <c r="H1313" i="2"/>
  <c r="C1313" i="2" s="1"/>
  <c r="H1318" i="2"/>
  <c r="C1318" i="2" s="1"/>
  <c r="P1308" i="2"/>
  <c r="C1308" i="2" s="1"/>
  <c r="H1315" i="2"/>
  <c r="C1315" i="2" s="1"/>
  <c r="H1312" i="2"/>
  <c r="C1312" i="2" s="1"/>
  <c r="H1317" i="2"/>
  <c r="C1317" i="2" s="1"/>
  <c r="H1309" i="2"/>
  <c r="C1309" i="2" s="1"/>
  <c r="H1314" i="2"/>
  <c r="C1314" i="2" s="1"/>
  <c r="H1311" i="2"/>
  <c r="C1311" i="2" s="1"/>
  <c r="H1316" i="2"/>
  <c r="C1316" i="2" s="1"/>
  <c r="J1502" i="2"/>
  <c r="H1502" i="2"/>
  <c r="P1502" i="2" s="1"/>
  <c r="C1502" i="2" s="1"/>
  <c r="P992" i="2"/>
  <c r="C992" i="2" s="1"/>
  <c r="P991" i="2"/>
  <c r="C991" i="2" s="1"/>
  <c r="P990" i="2"/>
  <c r="C990" i="2" s="1"/>
  <c r="P989" i="2"/>
  <c r="C989" i="2" s="1"/>
  <c r="C988" i="2"/>
  <c r="H1099" i="2"/>
  <c r="H1098" i="2"/>
  <c r="P1094" i="2"/>
  <c r="H1101" i="2"/>
  <c r="H1097" i="2"/>
  <c r="H1095" i="2"/>
  <c r="H1100" i="2"/>
  <c r="H1589" i="2"/>
  <c r="P1589" i="2" s="1"/>
  <c r="C1589" i="2" s="1"/>
  <c r="J1589" i="2"/>
  <c r="H613" i="2"/>
  <c r="H620" i="2"/>
  <c r="C620" i="2" s="1"/>
  <c r="H619" i="2"/>
  <c r="H618" i="2"/>
  <c r="H614" i="2"/>
  <c r="P612" i="2"/>
  <c r="P618" i="2" s="1"/>
  <c r="C618" i="2" s="1"/>
  <c r="H615" i="2"/>
  <c r="H616" i="2"/>
  <c r="C616" i="2" s="1"/>
  <c r="H621" i="2"/>
  <c r="C621" i="2" s="1"/>
  <c r="H617" i="2"/>
  <c r="C1107" i="2"/>
  <c r="P644" i="2"/>
  <c r="C644" i="2" s="1"/>
  <c r="P643" i="2"/>
  <c r="C643" i="2" s="1"/>
  <c r="P642" i="2"/>
  <c r="C642" i="2" s="1"/>
  <c r="P641" i="2"/>
  <c r="C641" i="2" s="1"/>
  <c r="P637" i="2"/>
  <c r="C637" i="2" s="1"/>
  <c r="P635" i="2"/>
  <c r="C635" i="2" s="1"/>
  <c r="P638" i="2"/>
  <c r="C638" i="2" s="1"/>
  <c r="C634" i="2"/>
  <c r="P636" i="2"/>
  <c r="C636" i="2" s="1"/>
  <c r="P639" i="2"/>
  <c r="C639" i="2" s="1"/>
  <c r="P640" i="2"/>
  <c r="C640" i="2" s="1"/>
  <c r="H292" i="2"/>
  <c r="C292" i="2" s="1"/>
  <c r="H294" i="2"/>
  <c r="C294" i="2" s="1"/>
  <c r="C291" i="2"/>
  <c r="H293" i="2"/>
  <c r="C293" i="2" s="1"/>
  <c r="H515" i="2"/>
  <c r="C515" i="2" s="1"/>
  <c r="H517" i="2"/>
  <c r="C517" i="2" s="1"/>
  <c r="H514" i="2"/>
  <c r="C514" i="2" s="1"/>
  <c r="H516" i="2"/>
  <c r="C516" i="2" s="1"/>
  <c r="C513" i="2"/>
  <c r="H382" i="2"/>
  <c r="C382" i="2" s="1"/>
  <c r="H2257" i="1"/>
  <c r="H2258" i="1"/>
  <c r="H2259" i="1"/>
  <c r="H2255" i="1"/>
  <c r="H2314" i="1"/>
  <c r="H2376" i="1"/>
  <c r="H2241" i="1"/>
  <c r="H2192" i="1"/>
  <c r="H2190" i="1"/>
  <c r="H2191" i="1"/>
  <c r="H2076" i="1"/>
  <c r="H1947" i="1"/>
  <c r="H1943" i="1"/>
  <c r="H1948" i="1"/>
  <c r="H1945" i="1"/>
  <c r="H1941" i="1"/>
  <c r="H1946" i="1"/>
  <c r="H1942" i="1"/>
  <c r="H1944" i="1"/>
  <c r="D1690" i="1"/>
  <c r="H1926" i="1"/>
  <c r="H1934" i="1"/>
  <c r="D1925" i="1"/>
  <c r="I823" i="1"/>
  <c r="A823" i="1" s="1"/>
  <c r="H825" i="1"/>
  <c r="D823" i="1"/>
  <c r="D824" i="1" s="1"/>
  <c r="H887" i="1"/>
  <c r="I887" i="1" s="1"/>
  <c r="A887" i="1" s="1"/>
  <c r="H1379" i="1"/>
  <c r="H1366" i="1"/>
  <c r="H1367" i="1" s="1"/>
  <c r="H1380" i="1"/>
  <c r="H1376" i="1"/>
  <c r="H1381" i="1"/>
  <c r="D534" i="1"/>
  <c r="H535" i="1"/>
  <c r="H536" i="1"/>
  <c r="H27" i="1"/>
  <c r="H28" i="1"/>
  <c r="D26" i="1"/>
  <c r="H209" i="1"/>
  <c r="H212" i="1"/>
  <c r="D207" i="1"/>
  <c r="D629" i="1"/>
  <c r="H950" i="1"/>
  <c r="D950" i="1" s="1"/>
  <c r="H951" i="1"/>
  <c r="D951" i="1" s="1"/>
  <c r="D949" i="1"/>
  <c r="H498" i="1"/>
  <c r="H505" i="1" s="1"/>
  <c r="H499" i="1"/>
  <c r="H501" i="1"/>
  <c r="D496" i="1"/>
  <c r="H854" i="1"/>
  <c r="I854" i="1" s="1"/>
  <c r="A854" i="1" s="1"/>
  <c r="I850" i="1"/>
  <c r="A850" i="1" s="1"/>
  <c r="A851" i="1" s="1"/>
  <c r="H858" i="1"/>
  <c r="I858" i="1" s="1"/>
  <c r="A858" i="1" s="1"/>
  <c r="H855" i="1"/>
  <c r="I855" i="1" s="1"/>
  <c r="A855" i="1" s="1"/>
  <c r="H918" i="1"/>
  <c r="I835" i="1"/>
  <c r="A835" i="1" s="1"/>
  <c r="H99" i="1"/>
  <c r="P2338" i="2"/>
  <c r="C2338" i="2" s="1"/>
  <c r="L2338" i="2"/>
  <c r="P2333" i="2"/>
  <c r="C2333" i="2" s="1"/>
  <c r="L2333" i="2"/>
  <c r="I1852" i="2"/>
  <c r="I1831" i="2" s="1"/>
  <c r="P1852" i="2"/>
  <c r="C1852" i="2" s="1"/>
  <c r="H1510" i="2"/>
  <c r="P1510" i="2" s="1"/>
  <c r="C1510" i="2" s="1"/>
  <c r="J1510" i="2"/>
  <c r="J1507" i="2"/>
  <c r="H1507" i="2"/>
  <c r="P1507" i="2" s="1"/>
  <c r="C1507" i="2" s="1"/>
  <c r="H318" i="2"/>
  <c r="C318" i="2" s="1"/>
  <c r="H320" i="2"/>
  <c r="C320" i="2" s="1"/>
  <c r="C317" i="2"/>
  <c r="H319" i="2"/>
  <c r="C319" i="2" s="1"/>
  <c r="H764" i="2"/>
  <c r="C764" i="2" s="1"/>
  <c r="H765" i="2"/>
  <c r="C765" i="2" s="1"/>
  <c r="C763" i="2"/>
  <c r="H2026" i="1"/>
  <c r="H2023" i="1"/>
  <c r="H2027" i="1" s="1"/>
  <c r="H2082" i="1"/>
  <c r="H2025" i="1"/>
  <c r="H1752" i="1"/>
  <c r="H1755" i="1"/>
  <c r="H1750" i="1"/>
  <c r="H1753" i="1"/>
  <c r="H1751" i="1"/>
  <c r="H1754" i="1"/>
  <c r="P2339" i="2"/>
  <c r="C2339" i="2" s="1"/>
  <c r="L2339" i="2"/>
  <c r="P2351" i="2"/>
  <c r="C2351" i="2" s="1"/>
  <c r="L2351" i="2"/>
  <c r="P2329" i="2"/>
  <c r="C2329" i="2" s="1"/>
  <c r="L2329" i="2"/>
  <c r="P2354" i="2"/>
  <c r="C2354" i="2" s="1"/>
  <c r="L2354" i="2"/>
  <c r="P2357" i="2"/>
  <c r="C2357" i="2" s="1"/>
  <c r="L2357" i="2"/>
  <c r="D2047" i="2"/>
  <c r="H1957" i="2"/>
  <c r="P1957" i="2" s="1"/>
  <c r="C1957" i="2" s="1"/>
  <c r="H2055" i="2"/>
  <c r="P2055" i="2" s="1"/>
  <c r="C2055" i="2" s="1"/>
  <c r="N2055" i="2"/>
  <c r="D2027" i="2"/>
  <c r="H2027" i="2" s="1"/>
  <c r="P2027" i="2" s="1"/>
  <c r="C2027" i="2" s="1"/>
  <c r="P1770" i="2"/>
  <c r="C1770" i="2" s="1"/>
  <c r="C1769" i="2"/>
  <c r="P1771" i="2"/>
  <c r="C1771" i="2" s="1"/>
  <c r="I1665" i="2"/>
  <c r="H1665" i="2"/>
  <c r="P1665" i="2" s="1"/>
  <c r="C1665" i="2" s="1"/>
  <c r="P1795" i="2"/>
  <c r="C1795" i="2" s="1"/>
  <c r="P1796" i="2"/>
  <c r="C1796" i="2" s="1"/>
  <c r="C1794" i="2"/>
  <c r="I1649" i="2"/>
  <c r="H1649" i="2"/>
  <c r="P1649" i="2" s="1"/>
  <c r="C1649" i="2" s="1"/>
  <c r="J1531" i="2"/>
  <c r="H1531" i="2"/>
  <c r="P1531" i="2" s="1"/>
  <c r="C1531" i="2" s="1"/>
  <c r="J1505" i="2"/>
  <c r="H1505" i="2"/>
  <c r="P1505" i="2" s="1"/>
  <c r="C1505" i="2" s="1"/>
  <c r="H1217" i="2"/>
  <c r="C1217" i="2" s="1"/>
  <c r="H1214" i="2"/>
  <c r="C1214" i="2" s="1"/>
  <c r="H1219" i="2"/>
  <c r="C1219" i="2" s="1"/>
  <c r="H1216" i="2"/>
  <c r="C1216" i="2" s="1"/>
  <c r="P1213" i="2"/>
  <c r="C1213" i="2" s="1"/>
  <c r="H1218" i="2"/>
  <c r="C1218" i="2" s="1"/>
  <c r="H1215" i="2"/>
  <c r="C1215" i="2" s="1"/>
  <c r="I1661" i="2"/>
  <c r="H1661" i="2"/>
  <c r="P1661" i="2" s="1"/>
  <c r="C1661" i="2" s="1"/>
  <c r="J1493" i="2"/>
  <c r="H1493" i="2"/>
  <c r="P1493" i="2" s="1"/>
  <c r="C1493" i="2" s="1"/>
  <c r="P942" i="2"/>
  <c r="H946" i="2"/>
  <c r="H943" i="2"/>
  <c r="H944" i="2"/>
  <c r="H948" i="2"/>
  <c r="H945" i="2"/>
  <c r="C945" i="2" s="1"/>
  <c r="H947" i="2"/>
  <c r="H713" i="2"/>
  <c r="H714" i="2"/>
  <c r="H715" i="2"/>
  <c r="P712" i="2"/>
  <c r="H805" i="2"/>
  <c r="H801" i="2"/>
  <c r="P798" i="2"/>
  <c r="H803" i="2"/>
  <c r="H799" i="2"/>
  <c r="H804" i="2"/>
  <c r="H800" i="2"/>
  <c r="H802" i="2"/>
  <c r="H1075" i="2"/>
  <c r="C1075" i="2" s="1"/>
  <c r="P1072" i="2"/>
  <c r="C1072" i="2" s="1"/>
  <c r="H1074" i="2"/>
  <c r="C1074" i="2" s="1"/>
  <c r="H1073" i="2"/>
  <c r="C1073" i="2" s="1"/>
  <c r="H957" i="2"/>
  <c r="H958" i="2"/>
  <c r="H955" i="2"/>
  <c r="P953" i="2"/>
  <c r="H954" i="2"/>
  <c r="H956" i="2"/>
  <c r="H2651" i="1"/>
  <c r="H2648" i="1"/>
  <c r="H2649" i="1"/>
  <c r="H2650" i="1"/>
  <c r="P589" i="2"/>
  <c r="C589" i="2" s="1"/>
  <c r="P588" i="2"/>
  <c r="C588" i="2" s="1"/>
  <c r="C584" i="2"/>
  <c r="H245" i="2"/>
  <c r="H246" i="2"/>
  <c r="P244" i="2"/>
  <c r="H386" i="2"/>
  <c r="C386" i="2" s="1"/>
  <c r="H379" i="2"/>
  <c r="C379" i="2" s="1"/>
  <c r="P371" i="2"/>
  <c r="C371" i="2" s="1"/>
  <c r="P372" i="2"/>
  <c r="C372" i="2" s="1"/>
  <c r="P373" i="2"/>
  <c r="C373" i="2" s="1"/>
  <c r="P364" i="2"/>
  <c r="C364" i="2" s="1"/>
  <c r="P363" i="2"/>
  <c r="C363" i="2" s="1"/>
  <c r="P362" i="2"/>
  <c r="C362" i="2" s="1"/>
  <c r="P361" i="2"/>
  <c r="C361" i="2" s="1"/>
  <c r="P360" i="2"/>
  <c r="C360" i="2" s="1"/>
  <c r="P374" i="2"/>
  <c r="C374" i="2" s="1"/>
  <c r="P366" i="2"/>
  <c r="C366" i="2" s="1"/>
  <c r="P365" i="2"/>
  <c r="C365" i="2" s="1"/>
  <c r="P359" i="2"/>
  <c r="C359" i="2" s="1"/>
  <c r="P375" i="2"/>
  <c r="C375" i="2" s="1"/>
  <c r="P367" i="2"/>
  <c r="C367" i="2" s="1"/>
  <c r="P358" i="2"/>
  <c r="C358" i="2" s="1"/>
  <c r="P369" i="2"/>
  <c r="C369" i="2" s="1"/>
  <c r="C356" i="2"/>
  <c r="P357" i="2"/>
  <c r="C357" i="2" s="1"/>
  <c r="P370" i="2"/>
  <c r="C370" i="2" s="1"/>
  <c r="P368" i="2"/>
  <c r="C368" i="2" s="1"/>
  <c r="H387" i="2"/>
  <c r="C387" i="2" s="1"/>
  <c r="H2485" i="1"/>
  <c r="H2474" i="1"/>
  <c r="H2486" i="1"/>
  <c r="H2493" i="1" s="1"/>
  <c r="H2490" i="1"/>
  <c r="H2494" i="1"/>
  <c r="H2487" i="1"/>
  <c r="H2491" i="1" s="1"/>
  <c r="H2508" i="1"/>
  <c r="H2488" i="1"/>
  <c r="H2489" i="1" s="1"/>
  <c r="C266" i="2"/>
  <c r="H268" i="2"/>
  <c r="C268" i="2" s="1"/>
  <c r="H267" i="2"/>
  <c r="C267" i="2" s="1"/>
  <c r="H2287" i="1"/>
  <c r="H2283" i="1"/>
  <c r="H2291" i="1" s="1"/>
  <c r="H2292" i="1"/>
  <c r="H2284" i="1"/>
  <c r="H2285" i="1"/>
  <c r="H2270" i="1"/>
  <c r="H2286" i="1"/>
  <c r="D2371" i="1"/>
  <c r="D2372" i="1" s="1"/>
  <c r="H1969" i="1"/>
  <c r="H1966" i="1"/>
  <c r="H1970" i="1"/>
  <c r="H1967" i="1"/>
  <c r="H1964" i="1"/>
  <c r="H1965" i="1"/>
  <c r="D1691" i="1"/>
  <c r="H1606" i="1"/>
  <c r="H1603" i="1"/>
  <c r="H1619" i="1" s="1"/>
  <c r="H1614" i="1"/>
  <c r="H1615" i="1" s="1"/>
  <c r="H1607" i="1"/>
  <c r="H1604" i="1"/>
  <c r="H1608" i="1"/>
  <c r="H1609" i="1" s="1"/>
  <c r="H1611" i="1" s="1"/>
  <c r="H1506" i="1"/>
  <c r="H1510" i="1"/>
  <c r="H1507" i="1"/>
  <c r="H1505" i="1"/>
  <c r="H1509" i="1"/>
  <c r="H1801" i="1"/>
  <c r="H1856" i="1"/>
  <c r="H1799" i="1"/>
  <c r="H1809" i="1"/>
  <c r="D1208" i="1"/>
  <c r="D1209" i="1" s="1"/>
  <c r="D1210" i="1" s="1"/>
  <c r="H665" i="1"/>
  <c r="H661" i="1"/>
  <c r="H670" i="1"/>
  <c r="H671" i="1" s="1"/>
  <c r="H666" i="1"/>
  <c r="H662" i="1"/>
  <c r="H658" i="1"/>
  <c r="H663" i="1"/>
  <c r="H659" i="1"/>
  <c r="H669" i="1" s="1"/>
  <c r="H667" i="1"/>
  <c r="H672" i="1"/>
  <c r="H664" i="1"/>
  <c r="H660" i="1"/>
  <c r="H668" i="1"/>
  <c r="H590" i="1"/>
  <c r="H543" i="1"/>
  <c r="H565" i="1"/>
  <c r="H544" i="1"/>
  <c r="H583" i="1"/>
  <c r="H557" i="1"/>
  <c r="H545" i="1"/>
  <c r="D541" i="1"/>
  <c r="D546" i="1" s="1"/>
  <c r="D551" i="1" s="1"/>
  <c r="H31" i="1"/>
  <c r="D379" i="1"/>
  <c r="H1086" i="1"/>
  <c r="H1084" i="1"/>
  <c r="H1081" i="1"/>
  <c r="H1085" i="1"/>
  <c r="H230" i="1"/>
  <c r="H226" i="1"/>
  <c r="H235" i="1" s="1"/>
  <c r="H234" i="1"/>
  <c r="H231" i="1"/>
  <c r="H227" i="1"/>
  <c r="H236" i="1"/>
  <c r="H237" i="1" s="1"/>
  <c r="H232" i="1"/>
  <c r="H228" i="1"/>
  <c r="H233" i="1"/>
  <c r="H229" i="1"/>
  <c r="H225" i="1"/>
  <c r="H880" i="1"/>
  <c r="I876" i="1"/>
  <c r="A876" i="1" s="1"/>
  <c r="A877" i="1" s="1"/>
  <c r="H878" i="1"/>
  <c r="I878" i="1" s="1"/>
  <c r="A878" i="1" s="1"/>
  <c r="H879" i="1"/>
  <c r="I879" i="1" s="1"/>
  <c r="A879" i="1" s="1"/>
  <c r="D1993" i="2"/>
  <c r="H1992" i="2"/>
  <c r="H1967" i="2"/>
  <c r="P1967" i="2" s="1"/>
  <c r="C1967" i="2" s="1"/>
  <c r="K1967" i="2"/>
  <c r="H1245" i="2"/>
  <c r="C1245" i="2" s="1"/>
  <c r="H1242" i="2"/>
  <c r="C1242" i="2" s="1"/>
  <c r="H1247" i="2"/>
  <c r="C1247" i="2" s="1"/>
  <c r="H1239" i="2"/>
  <c r="C1239" i="2" s="1"/>
  <c r="H1244" i="2"/>
  <c r="C1244" i="2" s="1"/>
  <c r="H1241" i="2"/>
  <c r="C1241" i="2" s="1"/>
  <c r="H1246" i="2"/>
  <c r="C1246" i="2" s="1"/>
  <c r="H1243" i="2"/>
  <c r="C1243" i="2" s="1"/>
  <c r="H1240" i="2"/>
  <c r="C1240" i="2" s="1"/>
  <c r="P1238" i="2"/>
  <c r="C1238" i="2" s="1"/>
  <c r="H873" i="2"/>
  <c r="H869" i="2"/>
  <c r="H870" i="2"/>
  <c r="H882" i="2"/>
  <c r="H871" i="2"/>
  <c r="P867" i="2"/>
  <c r="H884" i="2"/>
  <c r="H879" i="2"/>
  <c r="H881" i="2"/>
  <c r="H872" i="2"/>
  <c r="H868" i="2"/>
  <c r="H883" i="2"/>
  <c r="H880" i="2"/>
  <c r="H190" i="2"/>
  <c r="C190" i="2" s="1"/>
  <c r="H189" i="2"/>
  <c r="C189" i="2" s="1"/>
  <c r="C188" i="2"/>
  <c r="H250" i="2"/>
  <c r="H251" i="2"/>
  <c r="P248" i="2"/>
  <c r="H252" i="2"/>
  <c r="H249" i="2"/>
  <c r="H558" i="2"/>
  <c r="C558" i="2" s="1"/>
  <c r="H543" i="2"/>
  <c r="C543" i="2" s="1"/>
  <c r="H537" i="2"/>
  <c r="C537" i="2" s="1"/>
  <c r="H535" i="2"/>
  <c r="C535" i="2" s="1"/>
  <c r="C534" i="2"/>
  <c r="H542" i="2"/>
  <c r="C542" i="2" s="1"/>
  <c r="H559" i="2"/>
  <c r="C559" i="2" s="1"/>
  <c r="H536" i="2"/>
  <c r="C536" i="2" s="1"/>
  <c r="H474" i="2"/>
  <c r="C474" i="2" s="1"/>
  <c r="H476" i="2"/>
  <c r="C476" i="2" s="1"/>
  <c r="C473" i="2"/>
  <c r="H477" i="2"/>
  <c r="C477" i="2" s="1"/>
  <c r="H475" i="2"/>
  <c r="C475" i="2" s="1"/>
  <c r="H51" i="1"/>
  <c r="H49" i="1"/>
  <c r="H50" i="1"/>
  <c r="H262" i="1"/>
  <c r="H258" i="1"/>
  <c r="H265" i="1" s="1"/>
  <c r="H254" i="1"/>
  <c r="H256" i="1" s="1"/>
  <c r="H259" i="1"/>
  <c r="H253" i="1"/>
  <c r="H263" i="1"/>
  <c r="H252" i="1"/>
  <c r="H260" i="1"/>
  <c r="H251" i="1"/>
  <c r="H264" i="1"/>
  <c r="H261" i="1"/>
  <c r="H255" i="1"/>
  <c r="H257" i="1" s="1"/>
  <c r="P2330" i="2"/>
  <c r="C2330" i="2" s="1"/>
  <c r="L2330" i="2"/>
  <c r="P2347" i="2"/>
  <c r="C2347" i="2" s="1"/>
  <c r="L2347" i="2"/>
  <c r="P2350" i="2"/>
  <c r="C2350" i="2" s="1"/>
  <c r="L2350" i="2"/>
  <c r="P2353" i="2"/>
  <c r="C2353" i="2" s="1"/>
  <c r="L2353" i="2"/>
  <c r="P1959" i="2"/>
  <c r="C1959" i="2" s="1"/>
  <c r="L1959" i="2"/>
  <c r="H1749" i="2"/>
  <c r="P1749" i="2" s="1"/>
  <c r="C1749" i="2"/>
  <c r="I1676" i="2"/>
  <c r="H1676" i="2"/>
  <c r="P1676" i="2" s="1"/>
  <c r="C1676" i="2" s="1"/>
  <c r="I1645" i="2"/>
  <c r="H1645" i="2"/>
  <c r="P1645" i="2" s="1"/>
  <c r="C1645" i="2" s="1"/>
  <c r="J1530" i="2"/>
  <c r="H1530" i="2"/>
  <c r="P1530" i="2" s="1"/>
  <c r="C1530" i="2" s="1"/>
  <c r="H1592" i="2"/>
  <c r="P1592" i="2" s="1"/>
  <c r="C1592" i="2" s="1"/>
  <c r="J1592" i="2"/>
  <c r="H1719" i="2"/>
  <c r="P1719" i="2" s="1"/>
  <c r="C1719" i="2" s="1"/>
  <c r="I1719" i="2"/>
  <c r="C996" i="2"/>
  <c r="H1136" i="2"/>
  <c r="C1136" i="2" s="1"/>
  <c r="H1138" i="2"/>
  <c r="C1138" i="2" s="1"/>
  <c r="H1140" i="2"/>
  <c r="C1140" i="2" s="1"/>
  <c r="H1137" i="2"/>
  <c r="C1137" i="2" s="1"/>
  <c r="P1135" i="2"/>
  <c r="C1135" i="2" s="1"/>
  <c r="H1142" i="2"/>
  <c r="C1142" i="2" s="1"/>
  <c r="H1139" i="2"/>
  <c r="C1139" i="2" s="1"/>
  <c r="H1141" i="2"/>
  <c r="C1141" i="2" s="1"/>
  <c r="P1090" i="2"/>
  <c r="C1090" i="2" s="1"/>
  <c r="P1092" i="2"/>
  <c r="C1092" i="2" s="1"/>
  <c r="P1093" i="2"/>
  <c r="C1093" i="2" s="1"/>
  <c r="P1089" i="2"/>
  <c r="C1089" i="2" s="1"/>
  <c r="C1087" i="2"/>
  <c r="P1088" i="2"/>
  <c r="C1088" i="2" s="1"/>
  <c r="P1091" i="2"/>
  <c r="C1091" i="2" s="1"/>
  <c r="C783" i="2"/>
  <c r="H303" i="2"/>
  <c r="C303" i="2" s="1"/>
  <c r="C302" i="2"/>
  <c r="H304" i="2"/>
  <c r="C304" i="2" s="1"/>
  <c r="H457" i="2"/>
  <c r="C457" i="2" s="1"/>
  <c r="H459" i="2"/>
  <c r="C459" i="2" s="1"/>
  <c r="C456" i="2"/>
  <c r="H458" i="2"/>
  <c r="C458" i="2" s="1"/>
  <c r="C1103" i="2"/>
  <c r="H1722" i="2"/>
  <c r="P1722" i="2" s="1"/>
  <c r="C1722" i="2" s="1"/>
  <c r="I1722" i="2"/>
  <c r="H2567" i="1"/>
  <c r="H207" i="2"/>
  <c r="C207" i="2" s="1"/>
  <c r="H206" i="2"/>
  <c r="C206" i="2" s="1"/>
  <c r="C205" i="2"/>
  <c r="D2559" i="1"/>
  <c r="D2560" i="1" s="1"/>
  <c r="H385" i="2"/>
  <c r="C385" i="2" s="1"/>
  <c r="H414" i="2"/>
  <c r="C414" i="2" s="1"/>
  <c r="C413" i="2"/>
  <c r="H415" i="2"/>
  <c r="C415" i="2" s="1"/>
  <c r="C156" i="2"/>
  <c r="H157" i="2"/>
  <c r="D2163" i="1"/>
  <c r="D2173" i="1" s="1"/>
  <c r="H2167" i="1"/>
  <c r="H2164" i="1"/>
  <c r="H1985" i="1"/>
  <c r="H1983" i="1"/>
  <c r="H1986" i="1"/>
  <c r="H1981" i="1"/>
  <c r="H1984" i="1"/>
  <c r="H1982" i="1"/>
  <c r="H1987" i="1"/>
  <c r="H1736" i="1"/>
  <c r="H1735" i="1"/>
  <c r="D1911" i="1"/>
  <c r="D1912" i="1" s="1"/>
  <c r="D1913" i="1" s="1"/>
  <c r="D1914" i="1" s="1"/>
  <c r="H1226" i="1"/>
  <c r="D1217" i="1"/>
  <c r="H1218" i="1"/>
  <c r="H652" i="1"/>
  <c r="H653" i="1"/>
  <c r="H705" i="1"/>
  <c r="H654" i="1"/>
  <c r="H650" i="1"/>
  <c r="H655" i="1"/>
  <c r="H651" i="1"/>
  <c r="H1032" i="1"/>
  <c r="H1035" i="1"/>
  <c r="H1033" i="1"/>
  <c r="H1031" i="1"/>
  <c r="H1036" i="1"/>
  <c r="H1034" i="1"/>
  <c r="H613" i="1"/>
  <c r="H609" i="1"/>
  <c r="H605" i="1"/>
  <c r="H608" i="1" s="1"/>
  <c r="H601" i="1"/>
  <c r="H603" i="1" s="1"/>
  <c r="H597" i="1"/>
  <c r="H617" i="1" s="1"/>
  <c r="H614" i="1"/>
  <c r="H610" i="1"/>
  <c r="H606" i="1"/>
  <c r="H598" i="1"/>
  <c r="H615" i="1"/>
  <c r="H611" i="1"/>
  <c r="H612" i="1" s="1"/>
  <c r="H607" i="1"/>
  <c r="H599" i="1"/>
  <c r="H604" i="1"/>
  <c r="H616" i="1" s="1"/>
  <c r="H600" i="1"/>
  <c r="H602" i="1" s="1"/>
  <c r="H133" i="1"/>
  <c r="H131" i="1"/>
  <c r="H135" i="1"/>
  <c r="D388" i="1"/>
  <c r="D394" i="1" s="1"/>
  <c r="D400" i="1" s="1"/>
  <c r="D412" i="1" s="1"/>
  <c r="H392" i="1"/>
  <c r="H393" i="1"/>
  <c r="H390" i="1"/>
  <c r="H391" i="1"/>
  <c r="H1108" i="1"/>
  <c r="H1095" i="1"/>
  <c r="H1091" i="1"/>
  <c r="H1093" i="1"/>
  <c r="H1089" i="1"/>
  <c r="H1094" i="1" s="1"/>
  <c r="H1092" i="1"/>
  <c r="H1096" i="1"/>
  <c r="H1090" i="1"/>
  <c r="D289" i="1"/>
  <c r="D294" i="1"/>
  <c r="D291" i="1"/>
  <c r="P1166" i="2"/>
  <c r="C1166" i="2" s="1"/>
  <c r="P1164" i="2"/>
  <c r="C1164" i="2" s="1"/>
  <c r="P1165" i="2"/>
  <c r="C1165" i="2" s="1"/>
  <c r="P1163" i="2"/>
  <c r="C1163" i="2" s="1"/>
  <c r="P1161" i="2"/>
  <c r="C1161" i="2" s="1"/>
  <c r="P1159" i="2"/>
  <c r="C1159" i="2" s="1"/>
  <c r="C1158" i="2"/>
  <c r="P1160" i="2"/>
  <c r="C1160" i="2" s="1"/>
  <c r="H968" i="2"/>
  <c r="H966" i="2"/>
  <c r="H964" i="2"/>
  <c r="H969" i="2"/>
  <c r="P962" i="2"/>
  <c r="H967" i="2"/>
  <c r="H965" i="2"/>
  <c r="H963" i="2"/>
  <c r="C780" i="2"/>
  <c r="C720" i="2"/>
  <c r="H721" i="2"/>
  <c r="H977" i="2"/>
  <c r="C977" i="2" s="1"/>
  <c r="H974" i="2"/>
  <c r="C974" i="2" s="1"/>
  <c r="H975" i="2"/>
  <c r="C975" i="2" s="1"/>
  <c r="H976" i="2"/>
  <c r="C976" i="2" s="1"/>
  <c r="P973" i="2"/>
  <c r="C973" i="2" s="1"/>
  <c r="H2409" i="1"/>
  <c r="H2398" i="1"/>
  <c r="H2402" i="1"/>
  <c r="H2399" i="1"/>
  <c r="H2400" i="1"/>
  <c r="H2396" i="1"/>
  <c r="H2416" i="1"/>
  <c r="H2401" i="1"/>
  <c r="H2397" i="1"/>
  <c r="H2269" i="1"/>
  <c r="H2265" i="1"/>
  <c r="H2266" i="1"/>
  <c r="H2262" i="1"/>
  <c r="H2281" i="1"/>
  <c r="H2263" i="1"/>
  <c r="H2268" i="1"/>
  <c r="H2264" i="1"/>
  <c r="H1973" i="1"/>
  <c r="H1976" i="1"/>
  <c r="H1974" i="1"/>
  <c r="H1977" i="1"/>
  <c r="H1978" i="1"/>
  <c r="H1975" i="1"/>
  <c r="H1785" i="1"/>
  <c r="D1692" i="1"/>
  <c r="D1693" i="1" s="1"/>
  <c r="D1694" i="1" s="1"/>
  <c r="D1695" i="1" s="1"/>
  <c r="H410" i="1"/>
  <c r="H411" i="1" s="1"/>
  <c r="H406" i="1"/>
  <c r="H402" i="1"/>
  <c r="H408" i="1" s="1"/>
  <c r="H403" i="1"/>
  <c r="H409" i="1" s="1"/>
  <c r="H407" i="1"/>
  <c r="H404" i="1"/>
  <c r="H405" i="1"/>
  <c r="H147" i="1"/>
  <c r="H148" i="1"/>
  <c r="H141" i="1"/>
  <c r="H149" i="1"/>
  <c r="D136" i="1"/>
  <c r="D154" i="1" s="1"/>
  <c r="D160" i="1" s="1"/>
  <c r="D173" i="1" s="1"/>
  <c r="D192" i="1" s="1"/>
  <c r="H142" i="1"/>
  <c r="H143" i="1" s="1"/>
  <c r="H139" i="1"/>
  <c r="H150" i="1" s="1"/>
  <c r="H146" i="1"/>
  <c r="H71" i="1"/>
  <c r="H72" i="1"/>
  <c r="H70" i="1"/>
  <c r="H73" i="1"/>
  <c r="D952" i="1"/>
  <c r="D953" i="1" s="1"/>
  <c r="D954" i="1" s="1"/>
  <c r="D955" i="1" s="1"/>
  <c r="H386" i="1"/>
  <c r="H387" i="1"/>
  <c r="P2326" i="2"/>
  <c r="C2326" i="2" s="1"/>
  <c r="L2326" i="2"/>
  <c r="P2325" i="2"/>
  <c r="C2325" i="2" s="1"/>
  <c r="L2325" i="2"/>
  <c r="P2345" i="2"/>
  <c r="C2345" i="2" s="1"/>
  <c r="L2345" i="2"/>
  <c r="I1677" i="2"/>
  <c r="H1677" i="2"/>
  <c r="P1677" i="2" s="1"/>
  <c r="C1677" i="2" s="1"/>
  <c r="I1644" i="2"/>
  <c r="H1644" i="2"/>
  <c r="P1644" i="2" s="1"/>
  <c r="C1644" i="2" s="1"/>
  <c r="J1515" i="2"/>
  <c r="H1515" i="2"/>
  <c r="P1515" i="2" s="1"/>
  <c r="C1515" i="2" s="1"/>
  <c r="J1500" i="2"/>
  <c r="H1500" i="2"/>
  <c r="P1500" i="2" s="1"/>
  <c r="C1500" i="2" s="1"/>
  <c r="H1474" i="2"/>
  <c r="C1474" i="2" s="1"/>
  <c r="P1472" i="2"/>
  <c r="C1472" i="2" s="1"/>
  <c r="H1475" i="2"/>
  <c r="C1475" i="2" s="1"/>
  <c r="H1473" i="2"/>
  <c r="C1473" i="2" s="1"/>
  <c r="D1491" i="2"/>
  <c r="C1491" i="2" s="1"/>
  <c r="H753" i="2"/>
  <c r="H754" i="2"/>
  <c r="P752" i="2"/>
  <c r="H755" i="2"/>
  <c r="H1223" i="2"/>
  <c r="C1223" i="2" s="1"/>
  <c r="H1225" i="2"/>
  <c r="C1225" i="2" s="1"/>
  <c r="H1227" i="2"/>
  <c r="C1227" i="2" s="1"/>
  <c r="H1224" i="2"/>
  <c r="C1224" i="2" s="1"/>
  <c r="P1222" i="2"/>
  <c r="C1222" i="2" s="1"/>
  <c r="H1226" i="2"/>
  <c r="C1226" i="2" s="1"/>
  <c r="D846" i="2"/>
  <c r="I847" i="2"/>
  <c r="C781" i="2"/>
  <c r="C1109" i="2"/>
  <c r="C1108" i="2"/>
  <c r="C745" i="2"/>
  <c r="H2588" i="1"/>
  <c r="H2584" i="1"/>
  <c r="H2604" i="1"/>
  <c r="H2589" i="1"/>
  <c r="H2585" i="1"/>
  <c r="H2597" i="1"/>
  <c r="H2586" i="1"/>
  <c r="H2590" i="1"/>
  <c r="H2587" i="1"/>
  <c r="H29" i="2"/>
  <c r="C29" i="2" s="1"/>
  <c r="H28" i="2"/>
  <c r="C28" i="2" s="1"/>
  <c r="C27" i="2"/>
  <c r="H811" i="2"/>
  <c r="C811" i="2" s="1"/>
  <c r="H813" i="2"/>
  <c r="C813" i="2" s="1"/>
  <c r="P809" i="2"/>
  <c r="C809" i="2" s="1"/>
  <c r="H812" i="2"/>
  <c r="C812" i="2" s="1"/>
  <c r="H792" i="2"/>
  <c r="C792" i="2" s="1"/>
  <c r="H810" i="2"/>
  <c r="C810" i="2" s="1"/>
  <c r="H791" i="2"/>
  <c r="C791" i="2" s="1"/>
  <c r="H790" i="2"/>
  <c r="C790" i="2" s="1"/>
  <c r="H793" i="2"/>
  <c r="C793" i="2" s="1"/>
  <c r="H789" i="2"/>
  <c r="C789" i="2" s="1"/>
  <c r="H497" i="2"/>
  <c r="C497" i="2" s="1"/>
  <c r="H496" i="2"/>
  <c r="C496" i="2" s="1"/>
  <c r="C495" i="2"/>
  <c r="C164" i="2"/>
  <c r="H166" i="2"/>
  <c r="C166" i="2" s="1"/>
  <c r="H165" i="2"/>
  <c r="C165" i="2" s="1"/>
  <c r="H38" i="2"/>
  <c r="C38" i="2" s="1"/>
  <c r="C37" i="2"/>
  <c r="H39" i="2"/>
  <c r="C39" i="2" s="1"/>
  <c r="H2439" i="1"/>
  <c r="H2437" i="1"/>
  <c r="H2435" i="1"/>
  <c r="H2440" i="1"/>
  <c r="H2438" i="1"/>
  <c r="H2436" i="1"/>
  <c r="H2434" i="1"/>
  <c r="D2148" i="1"/>
  <c r="D2149" i="1" s="1"/>
  <c r="D2150" i="1" s="1"/>
  <c r="D2151" i="1" s="1"/>
  <c r="D2152" i="1" s="1"/>
  <c r="H2506" i="1"/>
  <c r="H2507" i="1" s="1"/>
  <c r="H2001" i="1"/>
  <c r="H1993" i="1"/>
  <c r="H2002" i="1"/>
  <c r="H2003" i="1" s="1"/>
  <c r="H1998" i="1"/>
  <c r="H1994" i="1"/>
  <c r="H1990" i="1"/>
  <c r="H2008" i="1"/>
  <c r="H1999" i="1"/>
  <c r="H1995" i="1"/>
  <c r="H1991" i="1"/>
  <c r="H2005" i="1"/>
  <c r="H2006" i="1" s="1"/>
  <c r="H2004" i="1"/>
  <c r="H1996" i="1"/>
  <c r="H1997" i="1" s="1"/>
  <c r="H2000" i="1"/>
  <c r="H1992" i="1"/>
  <c r="H2007" i="1" s="1"/>
  <c r="H1523" i="1"/>
  <c r="H1526" i="1"/>
  <c r="H1521" i="1"/>
  <c r="H1524" i="1"/>
  <c r="H1527" i="1"/>
  <c r="H1522" i="1"/>
  <c r="H1525" i="1"/>
  <c r="H1469" i="1"/>
  <c r="D1461" i="1"/>
  <c r="H1462" i="1"/>
  <c r="H1772" i="1"/>
  <c r="H1779" i="1"/>
  <c r="H1784" i="1"/>
  <c r="H1773" i="1"/>
  <c r="H1774" i="1" s="1"/>
  <c r="H1780" i="1"/>
  <c r="H1781" i="1"/>
  <c r="H1782" i="1" s="1"/>
  <c r="H1770" i="1"/>
  <c r="H1767" i="1"/>
  <c r="H1771" i="1"/>
  <c r="H1778" i="1"/>
  <c r="H1775" i="1"/>
  <c r="H1776" i="1" s="1"/>
  <c r="H1777" i="1" s="1"/>
  <c r="H1768" i="1"/>
  <c r="H1589" i="1"/>
  <c r="H1571" i="1"/>
  <c r="H1576" i="1"/>
  <c r="H1572" i="1"/>
  <c r="H1577" i="1"/>
  <c r="H1573" i="1"/>
  <c r="H1574" i="1"/>
  <c r="H1570" i="1"/>
  <c r="H1575" i="1" s="1"/>
  <c r="H1281" i="1"/>
  <c r="D1279" i="1"/>
  <c r="D1287" i="1" s="1"/>
  <c r="D1296" i="1" s="1"/>
  <c r="D1311" i="1" s="1"/>
  <c r="D1317" i="1" s="1"/>
  <c r="D1323" i="1" s="1"/>
  <c r="D1329" i="1" s="1"/>
  <c r="H1284" i="1"/>
  <c r="H1282" i="1"/>
  <c r="H1283" i="1"/>
  <c r="H1286" i="1"/>
  <c r="H1285" i="1"/>
  <c r="H1299" i="1"/>
  <c r="H1308" i="1" s="1"/>
  <c r="H639" i="1"/>
  <c r="D637" i="1"/>
  <c r="H642" i="1"/>
  <c r="H523" i="1"/>
  <c r="H524" i="1"/>
  <c r="H520" i="1"/>
  <c r="H521" i="1"/>
  <c r="H512" i="1"/>
  <c r="H527" i="1" s="1"/>
  <c r="H525" i="1"/>
  <c r="H522" i="1"/>
  <c r="H704" i="1"/>
  <c r="H416" i="1"/>
  <c r="H417" i="1"/>
  <c r="H422" i="1" s="1"/>
  <c r="H414" i="1"/>
  <c r="H415" i="1"/>
  <c r="H418" i="1"/>
  <c r="H124" i="1"/>
  <c r="A123" i="1" s="1"/>
  <c r="D122" i="1"/>
  <c r="D128" i="1" s="1"/>
  <c r="H125" i="1"/>
  <c r="H126" i="1"/>
  <c r="H127" i="1"/>
  <c r="D715" i="1"/>
  <c r="D716" i="1" s="1"/>
  <c r="D717" i="1" s="1"/>
  <c r="D718" i="1" s="1"/>
  <c r="D719" i="1" s="1"/>
  <c r="D720" i="1" s="1"/>
  <c r="D721" i="1" s="1"/>
  <c r="D297" i="1"/>
  <c r="D298" i="1" s="1"/>
  <c r="H333" i="1"/>
  <c r="H312" i="1"/>
  <c r="H311" i="1"/>
  <c r="H313" i="1"/>
  <c r="H314" i="1"/>
  <c r="H322" i="1" s="1"/>
  <c r="H315" i="1"/>
  <c r="H959" i="1"/>
  <c r="H966" i="1"/>
  <c r="D958" i="1"/>
  <c r="H1156" i="1"/>
  <c r="H1172" i="1"/>
  <c r="H1161" i="1"/>
  <c r="H1162" i="1"/>
  <c r="H1155" i="1"/>
  <c r="H1158" i="1"/>
  <c r="H1168" i="1"/>
  <c r="I839" i="1"/>
  <c r="A839" i="1" s="1"/>
  <c r="A840" i="1" s="1"/>
  <c r="H841" i="1"/>
  <c r="D839" i="1"/>
  <c r="H844" i="1"/>
  <c r="D274" i="1"/>
  <c r="D275" i="1" s="1"/>
  <c r="D276" i="1" s="1"/>
  <c r="D277" i="1" s="1"/>
  <c r="D278" i="1" s="1"/>
  <c r="D279" i="1" s="1"/>
  <c r="H32" i="1" l="1"/>
  <c r="H2044" i="1"/>
  <c r="H2040" i="1"/>
  <c r="H2041" i="1"/>
  <c r="H2046" i="1"/>
  <c r="H2042" i="1"/>
  <c r="H2043" i="1"/>
  <c r="H2187" i="1"/>
  <c r="H2183" i="1"/>
  <c r="D2181" i="1"/>
  <c r="D2188" i="1" s="1"/>
  <c r="D2195" i="1" s="1"/>
  <c r="D2204" i="1" s="1"/>
  <c r="D2212" i="1" s="1"/>
  <c r="D2221" i="1" s="1"/>
  <c r="H2184" i="1"/>
  <c r="H2185" i="1"/>
  <c r="H2186" i="1" s="1"/>
  <c r="H2581" i="1"/>
  <c r="D2577" i="1"/>
  <c r="D2582" i="1" s="1"/>
  <c r="D2590" i="1" s="1"/>
  <c r="D2597" i="1" s="1"/>
  <c r="D2604" i="1" s="1"/>
  <c r="D2611" i="1" s="1"/>
  <c r="D2620" i="1" s="1"/>
  <c r="D2629" i="1" s="1"/>
  <c r="D2646" i="1" s="1"/>
  <c r="D2652" i="1" s="1"/>
  <c r="D2662" i="1" s="1"/>
  <c r="D2671" i="1" s="1"/>
  <c r="D2683" i="1" s="1"/>
  <c r="D2692" i="1" s="1"/>
  <c r="D2696" i="1" s="1"/>
  <c r="D2714" i="1" s="1"/>
  <c r="H2578" i="1"/>
  <c r="P1816" i="2"/>
  <c r="C1816" i="2" s="1"/>
  <c r="C1814" i="2"/>
  <c r="P1815" i="2"/>
  <c r="C1815" i="2" s="1"/>
  <c r="P1975" i="2"/>
  <c r="C1975" i="2" s="1"/>
  <c r="L1975" i="2"/>
  <c r="H2162" i="1"/>
  <c r="H2161" i="1"/>
  <c r="H2596" i="1"/>
  <c r="H2594" i="1"/>
  <c r="H2595" i="1" s="1"/>
  <c r="H2592" i="1"/>
  <c r="H2593" i="1"/>
  <c r="H2289" i="1"/>
  <c r="H2282" i="1"/>
  <c r="H2290" i="1" s="1"/>
  <c r="H158" i="2"/>
  <c r="C158" i="2" s="1"/>
  <c r="C157" i="2"/>
  <c r="H592" i="1"/>
  <c r="H593" i="1"/>
  <c r="H594" i="1"/>
  <c r="H2288" i="1"/>
  <c r="H2510" i="1"/>
  <c r="P948" i="2"/>
  <c r="C948" i="2" s="1"/>
  <c r="P943" i="2"/>
  <c r="C943" i="2" s="1"/>
  <c r="P946" i="2"/>
  <c r="C946" i="2" s="1"/>
  <c r="C942" i="2"/>
  <c r="P947" i="2"/>
  <c r="C947" i="2" s="1"/>
  <c r="P944" i="2"/>
  <c r="C944" i="2" s="1"/>
  <c r="D918" i="1"/>
  <c r="I918" i="1"/>
  <c r="A918" i="1" s="1"/>
  <c r="H211" i="1"/>
  <c r="H210" i="1"/>
  <c r="H39" i="1"/>
  <c r="H40" i="1"/>
  <c r="H1930" i="1"/>
  <c r="H1933" i="1"/>
  <c r="D1929" i="1"/>
  <c r="D1939" i="1" s="1"/>
  <c r="D2561" i="1"/>
  <c r="D2562" i="1" s="1"/>
  <c r="D2563" i="1" s="1"/>
  <c r="D2152" i="2"/>
  <c r="C2152" i="2" s="1"/>
  <c r="D1453" i="1"/>
  <c r="D1454" i="1" s="1"/>
  <c r="D1455" i="1" s="1"/>
  <c r="D1456" i="1" s="1"/>
  <c r="D1457" i="1" s="1"/>
  <c r="D1458" i="1" s="1"/>
  <c r="H2310" i="1"/>
  <c r="H2311" i="1"/>
  <c r="H2312" i="1"/>
  <c r="H2313" i="1" s="1"/>
  <c r="P570" i="2"/>
  <c r="C570" i="2" s="1"/>
  <c r="P567" i="2"/>
  <c r="C567" i="2" s="1"/>
  <c r="P571" i="2"/>
  <c r="C571" i="2" s="1"/>
  <c r="C566" i="2"/>
  <c r="P568" i="2"/>
  <c r="C568" i="2" s="1"/>
  <c r="H1137" i="1"/>
  <c r="F2641" i="1"/>
  <c r="H2644" i="1"/>
  <c r="H76" i="1"/>
  <c r="H77" i="1"/>
  <c r="H75" i="1"/>
  <c r="H78" i="1" s="1"/>
  <c r="H91" i="1" s="1"/>
  <c r="D501" i="1"/>
  <c r="D510" i="1" s="1"/>
  <c r="D528" i="1" s="1"/>
  <c r="H503" i="1"/>
  <c r="H509" i="1" s="1"/>
  <c r="H504" i="1"/>
  <c r="F516" i="1"/>
  <c r="E516" i="1"/>
  <c r="G516" i="1"/>
  <c r="H2104" i="1"/>
  <c r="H2089" i="1"/>
  <c r="H2092" i="1" s="1"/>
  <c r="H2085" i="1"/>
  <c r="H2102" i="1"/>
  <c r="H2103" i="1" s="1"/>
  <c r="H2098" i="1"/>
  <c r="H2088" i="1"/>
  <c r="H2091" i="1" s="1"/>
  <c r="H2095" i="1"/>
  <c r="H2099" i="1"/>
  <c r="H2086" i="1"/>
  <c r="H2110" i="1"/>
  <c r="H2105" i="1"/>
  <c r="H2096" i="1"/>
  <c r="H2090" i="1"/>
  <c r="H2093" i="1" s="1"/>
  <c r="H2109" i="1"/>
  <c r="H2100" i="1"/>
  <c r="H2101" i="1" s="1"/>
  <c r="H2097" i="1"/>
  <c r="H2087" i="1"/>
  <c r="H2108" i="1" s="1"/>
  <c r="H2084" i="1"/>
  <c r="H2107" i="1" s="1"/>
  <c r="H2106" i="1"/>
  <c r="C1831" i="2"/>
  <c r="H1831" i="2"/>
  <c r="P1831" i="2" s="1"/>
  <c r="H1384" i="1"/>
  <c r="H1378" i="1"/>
  <c r="H1377" i="1"/>
  <c r="H2139" i="2"/>
  <c r="P2139" i="2" s="1"/>
  <c r="C2139" i="2" s="1"/>
  <c r="P2056" i="2"/>
  <c r="C2056" i="2" s="1"/>
  <c r="H2057" i="1"/>
  <c r="H2050" i="1"/>
  <c r="H2058" i="1" s="1"/>
  <c r="H647" i="2"/>
  <c r="C646" i="2"/>
  <c r="M2153" i="2"/>
  <c r="P2153" i="2"/>
  <c r="C2153" i="2" s="1"/>
  <c r="H1358" i="1"/>
  <c r="H1351" i="1"/>
  <c r="H1359" i="1" s="1"/>
  <c r="H1854" i="1"/>
  <c r="H1855" i="1" s="1"/>
  <c r="H1852" i="1"/>
  <c r="H1853" i="1"/>
  <c r="D2168" i="1"/>
  <c r="H2169" i="1"/>
  <c r="H2172" i="1"/>
  <c r="H843" i="1"/>
  <c r="I843" i="1" s="1"/>
  <c r="A843" i="1" s="1"/>
  <c r="I841" i="1"/>
  <c r="A841" i="1" s="1"/>
  <c r="H842" i="1"/>
  <c r="I842" i="1" s="1"/>
  <c r="A842" i="1" s="1"/>
  <c r="H2415" i="1"/>
  <c r="H2413" i="1"/>
  <c r="H2411" i="1"/>
  <c r="H2414" i="1"/>
  <c r="H2412" i="1"/>
  <c r="P1406" i="2"/>
  <c r="C1406" i="2" s="1"/>
  <c r="P1405" i="2"/>
  <c r="C1405" i="2" s="1"/>
  <c r="P1404" i="2"/>
  <c r="C1404" i="2" s="1"/>
  <c r="C1402" i="2"/>
  <c r="P1403" i="2"/>
  <c r="C1403" i="2" s="1"/>
  <c r="H967" i="1"/>
  <c r="H970" i="1"/>
  <c r="D966" i="1"/>
  <c r="D976" i="1" s="1"/>
  <c r="D1000" i="1" s="1"/>
  <c r="D1007" i="1" s="1"/>
  <c r="H335" i="1"/>
  <c r="H337" i="1" s="1"/>
  <c r="H336" i="1"/>
  <c r="H338" i="1"/>
  <c r="H339" i="1"/>
  <c r="D418" i="1"/>
  <c r="D427" i="1" s="1"/>
  <c r="D449" i="1" s="1"/>
  <c r="H421" i="1"/>
  <c r="H420" i="1"/>
  <c r="H426" i="1" s="1"/>
  <c r="H2602" i="1"/>
  <c r="H2600" i="1"/>
  <c r="H2603" i="1"/>
  <c r="H2601" i="1"/>
  <c r="H2599" i="1"/>
  <c r="H2267" i="1"/>
  <c r="H266" i="1"/>
  <c r="H1870" i="1"/>
  <c r="H1871" i="1" s="1"/>
  <c r="H1865" i="1"/>
  <c r="H1859" i="1"/>
  <c r="H1863" i="1"/>
  <c r="H1860" i="1"/>
  <c r="H1861" i="1" s="1"/>
  <c r="H1872" i="1"/>
  <c r="H1873" i="1" s="1"/>
  <c r="H1874" i="1" s="1"/>
  <c r="H1864" i="1"/>
  <c r="H1869" i="1"/>
  <c r="H1858" i="1"/>
  <c r="P804" i="2"/>
  <c r="C804" i="2" s="1"/>
  <c r="P800" i="2"/>
  <c r="C800" i="2" s="1"/>
  <c r="P801" i="2"/>
  <c r="C801" i="2" s="1"/>
  <c r="P805" i="2"/>
  <c r="C805" i="2" s="1"/>
  <c r="C798" i="2"/>
  <c r="P803" i="2"/>
  <c r="C803" i="2" s="1"/>
  <c r="P799" i="2"/>
  <c r="C799" i="2" s="1"/>
  <c r="P802" i="2"/>
  <c r="C802" i="2" s="1"/>
  <c r="D28" i="1"/>
  <c r="D29" i="1" s="1"/>
  <c r="D30" i="1" s="1"/>
  <c r="D31" i="1" s="1"/>
  <c r="H1938" i="1"/>
  <c r="D1934" i="1"/>
  <c r="H1935" i="1"/>
  <c r="H2035" i="1"/>
  <c r="K1968" i="2"/>
  <c r="H1968" i="2"/>
  <c r="P1968" i="2" s="1"/>
  <c r="C1968" i="2" s="1"/>
  <c r="D2180" i="2"/>
  <c r="D2184" i="2"/>
  <c r="P1414" i="2"/>
  <c r="C1414" i="2" s="1"/>
  <c r="P1413" i="2"/>
  <c r="C1413" i="2" s="1"/>
  <c r="P1412" i="2"/>
  <c r="C1412" i="2" s="1"/>
  <c r="C1410" i="2"/>
  <c r="P1411" i="2"/>
  <c r="C1411" i="2" s="1"/>
  <c r="P1175" i="2"/>
  <c r="C1175" i="2" s="1"/>
  <c r="P1162" i="2"/>
  <c r="C1162" i="2" s="1"/>
  <c r="P1179" i="2"/>
  <c r="C1179" i="2" s="1"/>
  <c r="P1177" i="2"/>
  <c r="C1177" i="2" s="1"/>
  <c r="P1176" i="2"/>
  <c r="C1176" i="2" s="1"/>
  <c r="P1180" i="2"/>
  <c r="C1180" i="2" s="1"/>
  <c r="P1178" i="2"/>
  <c r="C1178" i="2" s="1"/>
  <c r="P1174" i="2"/>
  <c r="C1174" i="2" s="1"/>
  <c r="P1181" i="2"/>
  <c r="C1181" i="2" s="1"/>
  <c r="P1173" i="2"/>
  <c r="C1173" i="2" s="1"/>
  <c r="C1172" i="2"/>
  <c r="H1336" i="1"/>
  <c r="D1706" i="1"/>
  <c r="D1716" i="1" s="1"/>
  <c r="D1725" i="1" s="1"/>
  <c r="D1732" i="1" s="1"/>
  <c r="D1739" i="1" s="1"/>
  <c r="D1748" i="1" s="1"/>
  <c r="D1756" i="1" s="1"/>
  <c r="D1765" i="1" s="1"/>
  <c r="H1707" i="1"/>
  <c r="H1710" i="1"/>
  <c r="D2373" i="1"/>
  <c r="D2374" i="1" s="1"/>
  <c r="D2375" i="1" s="1"/>
  <c r="D2377" i="1" s="1"/>
  <c r="J1516" i="2"/>
  <c r="H1516" i="2"/>
  <c r="P1516" i="2" s="1"/>
  <c r="C1516" i="2" s="1"/>
  <c r="H1463" i="1"/>
  <c r="H1464" i="1"/>
  <c r="P884" i="2"/>
  <c r="C884" i="2" s="1"/>
  <c r="P880" i="2"/>
  <c r="C880" i="2" s="1"/>
  <c r="C867" i="2"/>
  <c r="P881" i="2"/>
  <c r="C881" i="2" s="1"/>
  <c r="P870" i="2"/>
  <c r="C870" i="2" s="1"/>
  <c r="P882" i="2"/>
  <c r="C882" i="2" s="1"/>
  <c r="P871" i="2"/>
  <c r="C871" i="2" s="1"/>
  <c r="P869" i="2"/>
  <c r="C869" i="2" s="1"/>
  <c r="P879" i="2"/>
  <c r="C879" i="2" s="1"/>
  <c r="P873" i="2"/>
  <c r="C873" i="2" s="1"/>
  <c r="P883" i="2"/>
  <c r="C883" i="2" s="1"/>
  <c r="P872" i="2"/>
  <c r="C872" i="2" s="1"/>
  <c r="P868" i="2"/>
  <c r="C868" i="2" s="1"/>
  <c r="I880" i="1"/>
  <c r="A880" i="1" s="1"/>
  <c r="H885" i="1"/>
  <c r="I885" i="1" s="1"/>
  <c r="A885" i="1" s="1"/>
  <c r="H561" i="1"/>
  <c r="H618" i="1"/>
  <c r="H562" i="1"/>
  <c r="H563" i="1"/>
  <c r="H559" i="1"/>
  <c r="D557" i="1"/>
  <c r="H564" i="1"/>
  <c r="H560" i="1"/>
  <c r="D27" i="1"/>
  <c r="H1927" i="1"/>
  <c r="H1928" i="1"/>
  <c r="H1952" i="1"/>
  <c r="H1953" i="1" s="1"/>
  <c r="H1954" i="1"/>
  <c r="H1950" i="1"/>
  <c r="H1951" i="1"/>
  <c r="D1948" i="1"/>
  <c r="D1955" i="1" s="1"/>
  <c r="D1962" i="1" s="1"/>
  <c r="D1971" i="1" s="1"/>
  <c r="D1979" i="1" s="1"/>
  <c r="D1988" i="1" s="1"/>
  <c r="D2009" i="1" s="1"/>
  <c r="D2015" i="1" s="1"/>
  <c r="D2021" i="1" s="1"/>
  <c r="D2028" i="1" s="1"/>
  <c r="D2038" i="1" s="1"/>
  <c r="D2047" i="1" s="1"/>
  <c r="D2061" i="1" s="1"/>
  <c r="D2076" i="1" s="1"/>
  <c r="D2082" i="1" s="1"/>
  <c r="H2393" i="1"/>
  <c r="D2389" i="1"/>
  <c r="D2394" i="1" s="1"/>
  <c r="H2390" i="1"/>
  <c r="H301" i="1"/>
  <c r="H302" i="1"/>
  <c r="H1476" i="1"/>
  <c r="H1477" i="1"/>
  <c r="H1704" i="1"/>
  <c r="H1705" i="1"/>
  <c r="H1585" i="1"/>
  <c r="H1700" i="1"/>
  <c r="H1701" i="1"/>
  <c r="H1157" i="1"/>
  <c r="D315" i="1"/>
  <c r="D333" i="1" s="1"/>
  <c r="H587" i="1"/>
  <c r="H588" i="1"/>
  <c r="H589" i="1"/>
  <c r="H585" i="1"/>
  <c r="H586" i="1"/>
  <c r="D672" i="1"/>
  <c r="D677" i="1" s="1"/>
  <c r="D686" i="1" s="1"/>
  <c r="D705" i="1" s="1"/>
  <c r="H675" i="1"/>
  <c r="H676" i="1"/>
  <c r="H674" i="1"/>
  <c r="H1383" i="1"/>
  <c r="H1382" i="1"/>
  <c r="H2245" i="1"/>
  <c r="H2246" i="1"/>
  <c r="H2243" i="1"/>
  <c r="H2244" i="1"/>
  <c r="D2241" i="1"/>
  <c r="D2247" i="1" s="1"/>
  <c r="D2253" i="1" s="1"/>
  <c r="D2260" i="1" s="1"/>
  <c r="P1101" i="2"/>
  <c r="C1101" i="2" s="1"/>
  <c r="P1099" i="2"/>
  <c r="C1099" i="2" s="1"/>
  <c r="P1100" i="2"/>
  <c r="C1100" i="2" s="1"/>
  <c r="C1094" i="2"/>
  <c r="P1098" i="2"/>
  <c r="C1098" i="2" s="1"/>
  <c r="P1095" i="2"/>
  <c r="C1095" i="2" s="1"/>
  <c r="P1097" i="2"/>
  <c r="C1097" i="2" s="1"/>
  <c r="H964" i="1"/>
  <c r="H965" i="1"/>
  <c r="H307" i="1"/>
  <c r="H305" i="1"/>
  <c r="D303" i="1"/>
  <c r="D309" i="1" s="1"/>
  <c r="H306" i="1"/>
  <c r="H308" i="1"/>
  <c r="H2573" i="1"/>
  <c r="H2574" i="1"/>
  <c r="D722" i="1"/>
  <c r="D723" i="1" s="1"/>
  <c r="D724" i="1" s="1"/>
  <c r="P245" i="2"/>
  <c r="C245" i="2" s="1"/>
  <c r="C244" i="2"/>
  <c r="P246" i="2"/>
  <c r="C246" i="2" s="1"/>
  <c r="H217" i="1"/>
  <c r="H216" i="1"/>
  <c r="H214" i="1"/>
  <c r="D212" i="1"/>
  <c r="D218" i="1" s="1"/>
  <c r="D223" i="1" s="1"/>
  <c r="D238" i="1" s="1"/>
  <c r="D243" i="1" s="1"/>
  <c r="D249" i="1" s="1"/>
  <c r="D267" i="1" s="1"/>
  <c r="H215" i="1"/>
  <c r="H2338" i="1"/>
  <c r="H2319" i="1"/>
  <c r="H2321" i="1" s="1"/>
  <c r="H2327" i="1"/>
  <c r="H2323" i="1"/>
  <c r="H2324" i="1"/>
  <c r="H2316" i="1"/>
  <c r="H2336" i="1" s="1"/>
  <c r="H2325" i="1"/>
  <c r="H2317" i="1"/>
  <c r="M2169" i="2"/>
  <c r="P2169" i="2"/>
  <c r="C2169" i="2" s="1"/>
  <c r="H647" i="1"/>
  <c r="H644" i="1"/>
  <c r="D642" i="1"/>
  <c r="D648" i="1" s="1"/>
  <c r="D656" i="1" s="1"/>
  <c r="H645" i="1"/>
  <c r="H646" i="1"/>
  <c r="H2422" i="1"/>
  <c r="H2420" i="1"/>
  <c r="H2418" i="1"/>
  <c r="H2421" i="1"/>
  <c r="H2419" i="1"/>
  <c r="H960" i="1"/>
  <c r="H961" i="1"/>
  <c r="H641" i="1"/>
  <c r="H640" i="1"/>
  <c r="P969" i="2"/>
  <c r="C969" i="2" s="1"/>
  <c r="P966" i="2"/>
  <c r="C966" i="2" s="1"/>
  <c r="P965" i="2"/>
  <c r="C965" i="2" s="1"/>
  <c r="C962" i="2"/>
  <c r="P968" i="2"/>
  <c r="C968" i="2" s="1"/>
  <c r="P964" i="2"/>
  <c r="C964" i="2" s="1"/>
  <c r="P967" i="2"/>
  <c r="C967" i="2" s="1"/>
  <c r="P963" i="2"/>
  <c r="C963" i="2" s="1"/>
  <c r="H1116" i="1"/>
  <c r="H1109" i="1"/>
  <c r="H1117" i="1" s="1"/>
  <c r="H848" i="1"/>
  <c r="I848" i="1" s="1"/>
  <c r="A848" i="1" s="1"/>
  <c r="H849" i="1"/>
  <c r="I849" i="1" s="1"/>
  <c r="A849" i="1" s="1"/>
  <c r="I844" i="1"/>
  <c r="A844" i="1" s="1"/>
  <c r="A845" i="1" s="1"/>
  <c r="H846" i="1"/>
  <c r="I846" i="1" s="1"/>
  <c r="A846" i="1" s="1"/>
  <c r="D844" i="1"/>
  <c r="D850" i="1" s="1"/>
  <c r="D859" i="1" s="1"/>
  <c r="D876" i="1" s="1"/>
  <c r="D881" i="1" s="1"/>
  <c r="D891" i="1" s="1"/>
  <c r="H847" i="1"/>
  <c r="I847" i="1" s="1"/>
  <c r="A847" i="1" s="1"/>
  <c r="H1597" i="1"/>
  <c r="H1590" i="1"/>
  <c r="H1598" i="1" s="1"/>
  <c r="H1472" i="1"/>
  <c r="H1473" i="1"/>
  <c r="D1469" i="1"/>
  <c r="D1479" i="1" s="1"/>
  <c r="H1470" i="1"/>
  <c r="H1471" i="1" s="1"/>
  <c r="H2609" i="1"/>
  <c r="H2607" i="1"/>
  <c r="H2610" i="1"/>
  <c r="H2608" i="1"/>
  <c r="H2606" i="1"/>
  <c r="H1788" i="1"/>
  <c r="H1789" i="1"/>
  <c r="H1790" i="1"/>
  <c r="H1787" i="1"/>
  <c r="D1785" i="1"/>
  <c r="D1791" i="1" s="1"/>
  <c r="D1797" i="1" s="1"/>
  <c r="D1802" i="1" s="1"/>
  <c r="H2405" i="1"/>
  <c r="D2402" i="1"/>
  <c r="D2409" i="1" s="1"/>
  <c r="D2416" i="1" s="1"/>
  <c r="D2423" i="1" s="1"/>
  <c r="D2432" i="1" s="1"/>
  <c r="D2441" i="1" s="1"/>
  <c r="D2458" i="1" s="1"/>
  <c r="D2464" i="1" s="1"/>
  <c r="D2474" i="1" s="1"/>
  <c r="D2483" i="1" s="1"/>
  <c r="D2495" i="1" s="1"/>
  <c r="D2504" i="1" s="1"/>
  <c r="D2508" i="1" s="1"/>
  <c r="D2526" i="1" s="1"/>
  <c r="H2408" i="1"/>
  <c r="H2406" i="1"/>
  <c r="H2407" i="1" s="1"/>
  <c r="H2404" i="1"/>
  <c r="H722" i="2"/>
  <c r="C722" i="2" s="1"/>
  <c r="C721" i="2"/>
  <c r="H1219" i="1"/>
  <c r="H1220" i="1"/>
  <c r="H2165" i="1"/>
  <c r="H2166" i="1"/>
  <c r="L1992" i="2"/>
  <c r="P1992" i="2"/>
  <c r="C1992" i="2" s="1"/>
  <c r="P954" i="2"/>
  <c r="C954" i="2" s="1"/>
  <c r="C953" i="2"/>
  <c r="P955" i="2"/>
  <c r="C955" i="2" s="1"/>
  <c r="P957" i="2"/>
  <c r="C957" i="2" s="1"/>
  <c r="P956" i="2"/>
  <c r="C956" i="2" s="1"/>
  <c r="P958" i="2"/>
  <c r="C958" i="2" s="1"/>
  <c r="H538" i="1"/>
  <c r="D535" i="1"/>
  <c r="D536" i="1" s="1"/>
  <c r="D537" i="1" s="1"/>
  <c r="H1489" i="1"/>
  <c r="D1488" i="1"/>
  <c r="D1495" i="1" s="1"/>
  <c r="D1502" i="1" s="1"/>
  <c r="D1511" i="1" s="1"/>
  <c r="D1519" i="1" s="1"/>
  <c r="D1528" i="1" s="1"/>
  <c r="D1549" i="1" s="1"/>
  <c r="D1555" i="1" s="1"/>
  <c r="D1561" i="1" s="1"/>
  <c r="D1568" i="1" s="1"/>
  <c r="D1578" i="1" s="1"/>
  <c r="D1587" i="1" s="1"/>
  <c r="D1601" i="1" s="1"/>
  <c r="D1620" i="1" s="1"/>
  <c r="D1626" i="1" s="1"/>
  <c r="D1655" i="1" s="1"/>
  <c r="H2386" i="1"/>
  <c r="H2385" i="1"/>
  <c r="I899" i="1"/>
  <c r="A899" i="1" s="1"/>
  <c r="H901" i="1"/>
  <c r="I901" i="1" s="1"/>
  <c r="A901" i="1" s="1"/>
  <c r="H1715" i="1"/>
  <c r="D1711" i="1"/>
  <c r="H1712" i="1"/>
  <c r="P355" i="2"/>
  <c r="C355" i="2" s="1"/>
  <c r="P351" i="2"/>
  <c r="C351" i="2" s="1"/>
  <c r="P347" i="2"/>
  <c r="C347" i="2" s="1"/>
  <c r="P341" i="2"/>
  <c r="C341" i="2" s="1"/>
  <c r="C339" i="2"/>
  <c r="P352" i="2"/>
  <c r="C352" i="2" s="1"/>
  <c r="P348" i="2"/>
  <c r="C348" i="2" s="1"/>
  <c r="P342" i="2"/>
  <c r="C342" i="2" s="1"/>
  <c r="P354" i="2"/>
  <c r="C354" i="2" s="1"/>
  <c r="P346" i="2"/>
  <c r="C346" i="2" s="1"/>
  <c r="P340" i="2"/>
  <c r="C340" i="2" s="1"/>
  <c r="P353" i="2"/>
  <c r="C353" i="2" s="1"/>
  <c r="P350" i="2"/>
  <c r="C350" i="2" s="1"/>
  <c r="P349" i="2"/>
  <c r="C349" i="2" s="1"/>
  <c r="H2126" i="2"/>
  <c r="P2126" i="2" s="1"/>
  <c r="C2126" i="2" s="1"/>
  <c r="N2126" i="2"/>
  <c r="H1230" i="1"/>
  <c r="D1226" i="1"/>
  <c r="H1227" i="1"/>
  <c r="H2492" i="1"/>
  <c r="H888" i="1"/>
  <c r="I888" i="1" s="1"/>
  <c r="A888" i="1" s="1"/>
  <c r="I825" i="1"/>
  <c r="A825" i="1" s="1"/>
  <c r="D825" i="1"/>
  <c r="D826" i="1" s="1"/>
  <c r="P617" i="2"/>
  <c r="C617" i="2" s="1"/>
  <c r="C612" i="2"/>
  <c r="P614" i="2"/>
  <c r="C614" i="2" s="1"/>
  <c r="P613" i="2"/>
  <c r="C613" i="2" s="1"/>
  <c r="P619" i="2"/>
  <c r="C619" i="2" s="1"/>
  <c r="P615" i="2"/>
  <c r="C615" i="2" s="1"/>
  <c r="I846" i="2"/>
  <c r="H846" i="2"/>
  <c r="C846" i="2" s="1"/>
  <c r="C752" i="2"/>
  <c r="P753" i="2"/>
  <c r="C753" i="2" s="1"/>
  <c r="P755" i="2"/>
  <c r="C755" i="2" s="1"/>
  <c r="P754" i="2"/>
  <c r="C754" i="2" s="1"/>
  <c r="C248" i="2"/>
  <c r="P250" i="2"/>
  <c r="C250" i="2" s="1"/>
  <c r="P251" i="2"/>
  <c r="C251" i="2" s="1"/>
  <c r="P252" i="2"/>
  <c r="C252" i="2" s="1"/>
  <c r="P249" i="2"/>
  <c r="C249" i="2" s="1"/>
  <c r="H1993" i="2"/>
  <c r="D1996" i="2"/>
  <c r="H1996" i="2" s="1"/>
  <c r="D1994" i="2"/>
  <c r="H1994" i="2" s="1"/>
  <c r="H574" i="1"/>
  <c r="H570" i="1"/>
  <c r="H579" i="1"/>
  <c r="H575" i="1"/>
  <c r="H578" i="1" s="1"/>
  <c r="H571" i="1"/>
  <c r="H567" i="1"/>
  <c r="D565" i="1"/>
  <c r="D583" i="1" s="1"/>
  <c r="D590" i="1" s="1"/>
  <c r="D595" i="1" s="1"/>
  <c r="H576" i="1"/>
  <c r="H572" i="1"/>
  <c r="H568" i="1"/>
  <c r="H580" i="1" s="1"/>
  <c r="H577" i="1"/>
  <c r="H573" i="1"/>
  <c r="H569" i="1"/>
  <c r="H581" i="1"/>
  <c r="H582" i="1" s="1"/>
  <c r="H2278" i="1"/>
  <c r="H2274" i="1"/>
  <c r="H2275" i="1"/>
  <c r="H2277" i="1" s="1"/>
  <c r="H2276" i="1"/>
  <c r="H2272" i="1"/>
  <c r="H2273" i="1"/>
  <c r="D2270" i="1"/>
  <c r="D2279" i="1" s="1"/>
  <c r="D2293" i="1" s="1"/>
  <c r="D2308" i="1" s="1"/>
  <c r="D2314" i="1" s="1"/>
  <c r="D2339" i="1" s="1"/>
  <c r="H2480" i="1"/>
  <c r="H2476" i="1"/>
  <c r="H2478" i="1"/>
  <c r="H2482" i="1"/>
  <c r="H2479" i="1"/>
  <c r="H2481" i="1" s="1"/>
  <c r="H2477" i="1"/>
  <c r="P713" i="2"/>
  <c r="C713" i="2" s="1"/>
  <c r="C712" i="2"/>
  <c r="P714" i="2"/>
  <c r="C714" i="2" s="1"/>
  <c r="P715" i="2"/>
  <c r="C715" i="2" s="1"/>
  <c r="D2048" i="2"/>
  <c r="H2048" i="2" s="1"/>
  <c r="P2048" i="2" s="1"/>
  <c r="C2048" i="2" s="1"/>
  <c r="H2047" i="2"/>
  <c r="P2047" i="2" s="1"/>
  <c r="C2047" i="2" s="1"/>
  <c r="D2044" i="2"/>
  <c r="H2044" i="2" s="1"/>
  <c r="P2044" i="2" s="1"/>
  <c r="C2044" i="2" s="1"/>
  <c r="H2080" i="1"/>
  <c r="H2081" i="1" s="1"/>
  <c r="H2078" i="1"/>
  <c r="H2079" i="1"/>
  <c r="D2376" i="1"/>
  <c r="D2378" i="1" s="1"/>
  <c r="D2379" i="1" s="1"/>
  <c r="D2380" i="1" s="1"/>
  <c r="H975" i="1"/>
  <c r="D971" i="1"/>
  <c r="H972" i="1"/>
  <c r="H46" i="1"/>
  <c r="H43" i="1"/>
  <c r="D41" i="1"/>
  <c r="D47" i="1" s="1"/>
  <c r="D52" i="1" s="1"/>
  <c r="D68" i="1" s="1"/>
  <c r="D73" i="1" s="1"/>
  <c r="D79" i="1" s="1"/>
  <c r="D100" i="1" s="1"/>
  <c r="H44" i="1"/>
  <c r="H45" i="1"/>
  <c r="H1923" i="1"/>
  <c r="H1924" i="1"/>
  <c r="H2456" i="1"/>
  <c r="F2453" i="1"/>
  <c r="H1345" i="1"/>
  <c r="H1341" i="1"/>
  <c r="D1339" i="1"/>
  <c r="D1348" i="1" s="1"/>
  <c r="D1362" i="1" s="1"/>
  <c r="D1386" i="1" s="1"/>
  <c r="D1396" i="1" s="1"/>
  <c r="D1420" i="1" s="1"/>
  <c r="H1342" i="1"/>
  <c r="H1347" i="1"/>
  <c r="H1343" i="1"/>
  <c r="H1344" i="1"/>
  <c r="H1346" i="1" s="1"/>
  <c r="H1817" i="1"/>
  <c r="H1819" i="1" s="1"/>
  <c r="H1818" i="1"/>
  <c r="H1814" i="1"/>
  <c r="D1812" i="1"/>
  <c r="D1821" i="1" s="1"/>
  <c r="D1835" i="1" s="1"/>
  <c r="D1850" i="1" s="1"/>
  <c r="D1856" i="1" s="1"/>
  <c r="D1876" i="1" s="1"/>
  <c r="H1815" i="1"/>
  <c r="H1820" i="1"/>
  <c r="H1816" i="1"/>
  <c r="P623" i="2"/>
  <c r="C623" i="2" s="1"/>
  <c r="P630" i="2"/>
  <c r="C630" i="2" s="1"/>
  <c r="P629" i="2"/>
  <c r="C629" i="2" s="1"/>
  <c r="P628" i="2"/>
  <c r="C628" i="2" s="1"/>
  <c r="C622" i="2"/>
  <c r="P632" i="2"/>
  <c r="C632" i="2" s="1"/>
  <c r="P625" i="2"/>
  <c r="C625" i="2" s="1"/>
  <c r="P631" i="2"/>
  <c r="C631" i="2" s="1"/>
  <c r="P624" i="2"/>
  <c r="C624" i="2" s="1"/>
  <c r="P707" i="2"/>
  <c r="C707" i="2" s="1"/>
  <c r="P708" i="2"/>
  <c r="C708" i="2" s="1"/>
  <c r="P706" i="2"/>
  <c r="C706" i="2" s="1"/>
  <c r="C705" i="2"/>
  <c r="D339" i="1" l="1"/>
  <c r="D348" i="1" s="1"/>
  <c r="D366" i="1" s="1"/>
  <c r="H342" i="1"/>
  <c r="H343" i="1"/>
  <c r="D2564" i="1"/>
  <c r="D2566" i="1" s="1"/>
  <c r="D2567" i="1" s="1"/>
  <c r="D2568" i="1" s="1"/>
  <c r="D2565" i="1"/>
  <c r="H1229" i="1"/>
  <c r="H1228" i="1"/>
  <c r="H1875" i="1"/>
  <c r="H1932" i="1"/>
  <c r="H1931" i="1"/>
  <c r="L1994" i="2"/>
  <c r="P1994" i="2"/>
  <c r="C1994" i="2" s="1"/>
  <c r="L1996" i="2"/>
  <c r="P1996" i="2"/>
  <c r="C1996" i="2" s="1"/>
  <c r="P1935" i="2"/>
  <c r="C1935" i="2" s="1"/>
  <c r="P1932" i="2"/>
  <c r="C1932" i="2" s="1"/>
  <c r="P1928" i="2"/>
  <c r="C1928" i="2" s="1"/>
  <c r="P1927" i="2"/>
  <c r="C1927" i="2" s="1"/>
  <c r="P1913" i="2"/>
  <c r="C1913" i="2" s="1"/>
  <c r="P1905" i="2"/>
  <c r="C1905" i="2" s="1"/>
  <c r="P1899" i="2"/>
  <c r="C1899" i="2" s="1"/>
  <c r="P1891" i="2"/>
  <c r="C1891" i="2" s="1"/>
  <c r="P1876" i="2"/>
  <c r="C1876" i="2" s="1"/>
  <c r="P1865" i="2"/>
  <c r="C1865" i="2" s="1"/>
  <c r="P1937" i="2"/>
  <c r="C1937" i="2" s="1"/>
  <c r="P1936" i="2"/>
  <c r="C1936" i="2" s="1"/>
  <c r="P1924" i="2"/>
  <c r="C1924" i="2" s="1"/>
  <c r="P1920" i="2"/>
  <c r="C1920" i="2" s="1"/>
  <c r="P1912" i="2"/>
  <c r="C1912" i="2" s="1"/>
  <c r="P1904" i="2"/>
  <c r="C1904" i="2" s="1"/>
  <c r="P1900" i="2"/>
  <c r="C1900" i="2" s="1"/>
  <c r="P1892" i="2"/>
  <c r="C1892" i="2" s="1"/>
  <c r="P1872" i="2"/>
  <c r="C1872" i="2" s="1"/>
  <c r="P1938" i="2"/>
  <c r="C1938" i="2" s="1"/>
  <c r="P1921" i="2"/>
  <c r="C1921" i="2" s="1"/>
  <c r="P1919" i="2"/>
  <c r="C1919" i="2" s="1"/>
  <c r="P1911" i="2"/>
  <c r="C1911" i="2" s="1"/>
  <c r="P1893" i="2"/>
  <c r="C1893" i="2" s="1"/>
  <c r="P1878" i="2"/>
  <c r="C1878" i="2" s="1"/>
  <c r="P1942" i="2"/>
  <c r="C1942" i="2" s="1"/>
  <c r="P1939" i="2"/>
  <c r="C1939" i="2" s="1"/>
  <c r="P1922" i="2"/>
  <c r="C1922" i="2" s="1"/>
  <c r="P1918" i="2"/>
  <c r="C1918" i="2" s="1"/>
  <c r="P1902" i="2"/>
  <c r="C1902" i="2" s="1"/>
  <c r="P1894" i="2"/>
  <c r="C1894" i="2" s="1"/>
  <c r="P1879" i="2"/>
  <c r="C1879" i="2" s="1"/>
  <c r="P1870" i="2"/>
  <c r="C1870" i="2" s="1"/>
  <c r="P1862" i="2"/>
  <c r="C1862" i="2" s="1"/>
  <c r="P1944" i="2"/>
  <c r="C1944" i="2" s="1"/>
  <c r="P1943" i="2"/>
  <c r="C1943" i="2" s="1"/>
  <c r="P1940" i="2"/>
  <c r="C1940" i="2" s="1"/>
  <c r="P1917" i="2"/>
  <c r="C1917" i="2" s="1"/>
  <c r="P1909" i="2"/>
  <c r="C1909" i="2" s="1"/>
  <c r="P1895" i="2"/>
  <c r="C1895" i="2" s="1"/>
  <c r="P1953" i="2"/>
  <c r="C1953" i="2" s="1"/>
  <c r="P1952" i="2"/>
  <c r="C1952" i="2" s="1"/>
  <c r="P1951" i="2"/>
  <c r="C1951" i="2" s="1"/>
  <c r="P1950" i="2"/>
  <c r="C1950" i="2" s="1"/>
  <c r="P1949" i="2"/>
  <c r="C1949" i="2" s="1"/>
  <c r="P1948" i="2"/>
  <c r="C1948" i="2" s="1"/>
  <c r="P1947" i="2"/>
  <c r="C1947" i="2" s="1"/>
  <c r="P1946" i="2"/>
  <c r="C1946" i="2" s="1"/>
  <c r="P1945" i="2"/>
  <c r="C1945" i="2" s="1"/>
  <c r="P1916" i="2"/>
  <c r="C1916" i="2" s="1"/>
  <c r="P1908" i="2"/>
  <c r="C1908" i="2" s="1"/>
  <c r="P1896" i="2"/>
  <c r="C1896" i="2" s="1"/>
  <c r="P1888" i="2"/>
  <c r="C1888" i="2" s="1"/>
  <c r="P1931" i="2"/>
  <c r="C1931" i="2" s="1"/>
  <c r="P1930" i="2"/>
  <c r="C1930" i="2" s="1"/>
  <c r="P1926" i="2"/>
  <c r="C1926" i="2" s="1"/>
  <c r="P1914" i="2"/>
  <c r="C1914" i="2" s="1"/>
  <c r="P1906" i="2"/>
  <c r="C1906" i="2" s="1"/>
  <c r="P1890" i="2"/>
  <c r="C1890" i="2" s="1"/>
  <c r="P1875" i="2"/>
  <c r="C1875" i="2" s="1"/>
  <c r="P1874" i="2"/>
  <c r="C1874" i="2" s="1"/>
  <c r="P1882" i="2"/>
  <c r="C1882" i="2" s="1"/>
  <c r="P1869" i="2"/>
  <c r="C1869" i="2" s="1"/>
  <c r="P1845" i="2"/>
  <c r="C1845" i="2" s="1"/>
  <c r="P1837" i="2"/>
  <c r="C1837" i="2" s="1"/>
  <c r="P1907" i="2"/>
  <c r="C1907" i="2" s="1"/>
  <c r="P1883" i="2"/>
  <c r="C1883" i="2" s="1"/>
  <c r="P1846" i="2"/>
  <c r="C1846" i="2" s="1"/>
  <c r="P1838" i="2"/>
  <c r="C1838" i="2" s="1"/>
  <c r="P1897" i="2"/>
  <c r="C1897" i="2" s="1"/>
  <c r="P1884" i="2"/>
  <c r="C1884" i="2" s="1"/>
  <c r="P1915" i="2"/>
  <c r="C1915" i="2" s="1"/>
  <c r="P1886" i="2"/>
  <c r="C1886" i="2" s="1"/>
  <c r="P1841" i="2"/>
  <c r="C1841" i="2" s="1"/>
  <c r="P1833" i="2"/>
  <c r="C1833" i="2" s="1"/>
  <c r="P1887" i="2"/>
  <c r="C1887" i="2" s="1"/>
  <c r="P1880" i="2"/>
  <c r="C1880" i="2" s="1"/>
  <c r="P1850" i="2"/>
  <c r="C1850" i="2" s="1"/>
  <c r="P1842" i="2"/>
  <c r="C1842" i="2" s="1"/>
  <c r="P1834" i="2"/>
  <c r="C1834" i="2" s="1"/>
  <c r="P1863" i="2"/>
  <c r="C1863" i="2" s="1"/>
  <c r="P1861" i="2"/>
  <c r="C1861" i="2" s="1"/>
  <c r="P1860" i="2"/>
  <c r="C1860" i="2" s="1"/>
  <c r="P1859" i="2"/>
  <c r="C1859" i="2" s="1"/>
  <c r="P1858" i="2"/>
  <c r="C1858" i="2" s="1"/>
  <c r="P1857" i="2"/>
  <c r="C1857" i="2" s="1"/>
  <c r="P1856" i="2"/>
  <c r="C1856" i="2" s="1"/>
  <c r="P1855" i="2"/>
  <c r="C1855" i="2" s="1"/>
  <c r="P1854" i="2"/>
  <c r="C1854" i="2" s="1"/>
  <c r="P1853" i="2"/>
  <c r="C1853" i="2" s="1"/>
  <c r="P1851" i="2"/>
  <c r="C1851" i="2" s="1"/>
  <c r="P1843" i="2"/>
  <c r="C1843" i="2" s="1"/>
  <c r="P1835" i="2"/>
  <c r="C1835" i="2" s="1"/>
  <c r="P1881" i="2"/>
  <c r="C1881" i="2" s="1"/>
  <c r="P1866" i="2"/>
  <c r="C1866" i="2" s="1"/>
  <c r="P1840" i="2"/>
  <c r="C1840" i="2" s="1"/>
  <c r="P1889" i="2"/>
  <c r="C1889" i="2" s="1"/>
  <c r="P1847" i="2"/>
  <c r="C1847" i="2" s="1"/>
  <c r="P1844" i="2"/>
  <c r="C1844" i="2" s="1"/>
  <c r="P1867" i="2"/>
  <c r="C1867" i="2" s="1"/>
  <c r="P1848" i="2"/>
  <c r="C1848" i="2" s="1"/>
  <c r="P1864" i="2"/>
  <c r="C1864" i="2" s="1"/>
  <c r="P1832" i="2"/>
  <c r="C1832" i="2" s="1"/>
  <c r="P1885" i="2"/>
  <c r="C1885" i="2" s="1"/>
  <c r="P1836" i="2"/>
  <c r="C1836" i="2" s="1"/>
  <c r="P1839" i="2"/>
  <c r="C1839" i="2" s="1"/>
  <c r="P1993" i="2"/>
  <c r="C1993" i="2" s="1"/>
  <c r="L1993" i="2"/>
  <c r="H1714" i="1"/>
  <c r="H1713" i="1"/>
  <c r="P777" i="2"/>
  <c r="C647" i="2"/>
  <c r="H648" i="2"/>
  <c r="D828" i="1"/>
  <c r="D827" i="1"/>
  <c r="D829" i="1" s="1"/>
  <c r="D830" i="1" s="1"/>
  <c r="H2391" i="1"/>
  <c r="H2392" i="1"/>
  <c r="D1020" i="1"/>
  <c r="D1029" i="1" s="1"/>
  <c r="D1037" i="1" s="1"/>
  <c r="D1046" i="1" s="1"/>
  <c r="D1067" i="1" s="1"/>
  <c r="D1073" i="1" s="1"/>
  <c r="D1079" i="1" s="1"/>
  <c r="D1087" i="1" s="1"/>
  <c r="D1097" i="1" s="1"/>
  <c r="D1106" i="1" s="1"/>
  <c r="D1120" i="1" s="1"/>
  <c r="D1138" i="1" s="1"/>
  <c r="D1144" i="1" s="1"/>
  <c r="D1173" i="1" s="1"/>
  <c r="D1014" i="1"/>
  <c r="D538" i="1"/>
  <c r="D725" i="1"/>
  <c r="D727" i="1" s="1"/>
  <c r="D729" i="1" s="1"/>
  <c r="D726" i="1"/>
  <c r="D728" i="1" s="1"/>
  <c r="D730" i="1" s="1"/>
  <c r="D618" i="1"/>
  <c r="H1708" i="1"/>
  <c r="H1709" i="1"/>
  <c r="H1936" i="1"/>
  <c r="H1937" i="1"/>
  <c r="D2110" i="1"/>
  <c r="H2133" i="1"/>
  <c r="H2129" i="1"/>
  <c r="H2121" i="1"/>
  <c r="H2117" i="1"/>
  <c r="H2113" i="1"/>
  <c r="H2114" i="1" s="1"/>
  <c r="H2135" i="1"/>
  <c r="H2128" i="1"/>
  <c r="H2132" i="1"/>
  <c r="H2136" i="1"/>
  <c r="H2118" i="1"/>
  <c r="H2122" i="1"/>
  <c r="H2115" i="1"/>
  <c r="H2126" i="1"/>
  <c r="H2124" i="1" s="1"/>
  <c r="H2125" i="1" s="1"/>
  <c r="H2119" i="1"/>
  <c r="H2112" i="1"/>
  <c r="H2130" i="1"/>
  <c r="H2123" i="1"/>
  <c r="H2116" i="1"/>
  <c r="H2134" i="1"/>
  <c r="H2127" i="1"/>
  <c r="H2120" i="1"/>
  <c r="H2131" i="1"/>
  <c r="D32" i="1"/>
  <c r="H973" i="1"/>
  <c r="H974" i="1"/>
  <c r="H968" i="1"/>
  <c r="H969" i="1"/>
  <c r="H2171" i="1"/>
  <c r="H2170" i="1"/>
  <c r="H2579" i="1"/>
  <c r="H2580" i="1"/>
  <c r="H2045" i="1"/>
  <c r="C648" i="2" l="1"/>
  <c r="H649" i="2"/>
  <c r="C649" i="2" l="1"/>
  <c r="H650" i="2"/>
  <c r="H651" i="2" l="1"/>
  <c r="C650" i="2"/>
  <c r="H652" i="2" l="1"/>
  <c r="C651" i="2"/>
  <c r="H653" i="2" l="1"/>
  <c r="C652" i="2"/>
  <c r="H654" i="2" l="1"/>
  <c r="C654" i="2" s="1"/>
  <c r="C653" i="2"/>
</calcChain>
</file>

<file path=xl/comments1.xml><?xml version="1.0" encoding="utf-8"?>
<comments xmlns="http://schemas.openxmlformats.org/spreadsheetml/2006/main">
  <authors>
    <author>Author</author>
  </authors>
  <commentList>
    <comment ref="B1146" authorId="0" shapeId="0">
      <text>
        <r>
          <rPr>
            <b/>
            <sz val="12"/>
            <color indexed="81"/>
            <rFont val="Times New Roman"/>
            <family val="1"/>
          </rPr>
          <t xml:space="preserve">Lưu ý: cáp hạ thế 0,6kV
</t>
        </r>
      </text>
    </comment>
    <comment ref="B1398" authorId="0" shapeId="0">
      <text>
        <r>
          <rPr>
            <b/>
            <sz val="12"/>
            <color indexed="81"/>
            <rFont val="Times New Roman"/>
            <family val="1"/>
          </rPr>
          <t xml:space="preserve">Lưu ý: cáp hạ thế 0,6kV
</t>
        </r>
      </text>
    </comment>
    <comment ref="B1628" authorId="0" shapeId="0">
      <text>
        <r>
          <rPr>
            <b/>
            <sz val="12"/>
            <color indexed="81"/>
            <rFont val="Times New Roman"/>
            <family val="1"/>
          </rPr>
          <t xml:space="preserve">Lưu ý: cáp hạ thế 0,6kV
</t>
        </r>
      </text>
    </comment>
    <comment ref="B1858" authorId="0" shapeId="0">
      <text>
        <r>
          <rPr>
            <b/>
            <sz val="12"/>
            <color indexed="81"/>
            <rFont val="Times New Roman"/>
            <family val="1"/>
          </rPr>
          <t xml:space="preserve">Lưu ý: cáp hạ thế 0,6kV
</t>
        </r>
      </text>
    </comment>
    <comment ref="B2084" authorId="0" shapeId="0">
      <text>
        <r>
          <rPr>
            <b/>
            <sz val="12"/>
            <color indexed="81"/>
            <rFont val="Times New Roman"/>
            <family val="1"/>
          </rPr>
          <t xml:space="preserve">Lưu ý: cáp hạ thế 0,6kV
</t>
        </r>
      </text>
    </comment>
    <comment ref="B2086" authorId="0" shapeId="0">
      <text>
        <r>
          <rPr>
            <b/>
            <sz val="12"/>
            <color indexed="81"/>
            <rFont val="Times New Roman"/>
            <family val="1"/>
          </rPr>
          <t xml:space="preserve">Lưu ý: cáp hạ thế 0,6kV
</t>
        </r>
      </text>
    </comment>
    <comment ref="B2087" authorId="0" shapeId="0">
      <text>
        <r>
          <rPr>
            <b/>
            <sz val="12"/>
            <color indexed="81"/>
            <rFont val="Times New Roman"/>
            <family val="1"/>
          </rPr>
          <t xml:space="preserve">Lưu ý: cáp hạ thế 0,6kV
</t>
        </r>
      </text>
    </comment>
    <comment ref="B2316" authorId="0" shapeId="0">
      <text>
        <r>
          <rPr>
            <b/>
            <sz val="12"/>
            <color indexed="81"/>
            <rFont val="Times New Roman"/>
            <family val="1"/>
          </rPr>
          <t xml:space="preserve">Lưu ý: cáp hạ thế 0,6kV
</t>
        </r>
      </text>
    </comment>
  </commentList>
</comments>
</file>

<file path=xl/sharedStrings.xml><?xml version="1.0" encoding="utf-8"?>
<sst xmlns="http://schemas.openxmlformats.org/spreadsheetml/2006/main" count="6688" uniqueCount="1494">
  <si>
    <t>Lưới tiếp địa</t>
  </si>
  <si>
    <t>Tiếp địa trạm lọai :</t>
  </si>
  <si>
    <t>CỌC</t>
  </si>
  <si>
    <t>Đi xuống :</t>
  </si>
  <si>
    <t>Sợi/pha</t>
  </si>
  <si>
    <t>Sợi/ trtính</t>
  </si>
  <si>
    <t xml:space="preserve">Cáp đồng trần M-25 : </t>
  </si>
  <si>
    <t>m</t>
  </si>
  <si>
    <t>Giếng tiếp địa</t>
  </si>
  <si>
    <t>giếng</t>
  </si>
  <si>
    <t>Đào đất tiếp địa:</t>
  </si>
  <si>
    <t>m3</t>
  </si>
  <si>
    <t>Trụ đo đếm</t>
  </si>
  <si>
    <t>LA(KV)</t>
  </si>
  <si>
    <t>TRẠM 1P</t>
  </si>
  <si>
    <t>SL</t>
  </si>
  <si>
    <t>DL-1P</t>
  </si>
  <si>
    <t>TRẠM 3P</t>
  </si>
  <si>
    <t>DL-3P</t>
  </si>
  <si>
    <t>Tổng SL</t>
  </si>
  <si>
    <t>1P_15KVA</t>
  </si>
  <si>
    <t>3x15KVA</t>
  </si>
  <si>
    <t>Udhh(KV)</t>
  </si>
  <si>
    <t>1P_25KVA</t>
  </si>
  <si>
    <t>3x25KVA</t>
  </si>
  <si>
    <t>1P_37,5KVA</t>
  </si>
  <si>
    <t>3x37,5KVA</t>
  </si>
  <si>
    <t>Tổng DL</t>
  </si>
  <si>
    <t>1P_50KVA</t>
  </si>
  <si>
    <t>3x50KVA</t>
  </si>
  <si>
    <t>1P_75KVA</t>
  </si>
  <si>
    <t>160KVA</t>
  </si>
  <si>
    <t>1P_100KVA</t>
  </si>
  <si>
    <t>250KVA</t>
  </si>
  <si>
    <t>320KVA</t>
  </si>
  <si>
    <t>400KVA</t>
  </si>
  <si>
    <t>560KVA</t>
  </si>
  <si>
    <t>630KVA</t>
  </si>
  <si>
    <t xml:space="preserve"> </t>
  </si>
  <si>
    <t>BẢNG KHỐI LƯỢNG PHẦN TRẠM BIẾN ÁP
(Đính kèm biên bản nghiệm thu hoàn thành công trình đưa và sử dụng ngày….. tháng…..năm 2020)</t>
  </si>
  <si>
    <t>MÃ</t>
  </si>
  <si>
    <t>STT</t>
  </si>
  <si>
    <t>SHĐM</t>
  </si>
  <si>
    <t>TÊN CẤU KIỆN</t>
  </si>
  <si>
    <t>ĐƠN VỊ</t>
  </si>
  <si>
    <t>KHỐI LƯỢNG</t>
  </si>
  <si>
    <t>GHI CHÚ</t>
  </si>
  <si>
    <t>DỰ TOÁN</t>
  </si>
  <si>
    <t>THI CÔNG</t>
  </si>
  <si>
    <t>PS/TĂNG</t>
  </si>
  <si>
    <t>PS/GIẢM</t>
  </si>
  <si>
    <t>3x50</t>
  </si>
  <si>
    <t>x</t>
  </si>
  <si>
    <t>A.PHẦN THIẾT BỊ</t>
  </si>
  <si>
    <t>loại trạm</t>
  </si>
  <si>
    <t>TR151</t>
  </si>
  <si>
    <t>FCO100-22</t>
  </si>
  <si>
    <t>CHI3K</t>
  </si>
  <si>
    <t>LA18</t>
  </si>
  <si>
    <t>ATM75</t>
  </si>
  <si>
    <t>DK1p80A</t>
  </si>
  <si>
    <t>Điện lực cấp</t>
  </si>
  <si>
    <t>AK1</t>
  </si>
  <si>
    <t>VK1</t>
  </si>
  <si>
    <t>B. PHẦN VẬT LIỆU</t>
  </si>
  <si>
    <t>B16300</t>
  </si>
  <si>
    <t xml:space="preserve">Trụ BTLT 12m </t>
  </si>
  <si>
    <t>Bộ</t>
  </si>
  <si>
    <t>Gồm có:</t>
  </si>
  <si>
    <t>T12</t>
  </si>
  <si>
    <t>G</t>
  </si>
  <si>
    <t>C12m-TBA</t>
  </si>
  <si>
    <t>Móng M12a</t>
  </si>
  <si>
    <t>d12</t>
  </si>
  <si>
    <t>b22650</t>
  </si>
  <si>
    <t>MDD3</t>
  </si>
  <si>
    <t>MDAP3</t>
  </si>
  <si>
    <t xml:space="preserve">Giá đỡ FCO, LA 1 pha </t>
  </si>
  <si>
    <t>GiatFCO</t>
  </si>
  <si>
    <t>B1250</t>
  </si>
  <si>
    <t xml:space="preserve">Bộ tiếp địa Trạm 1 pha : </t>
  </si>
  <si>
    <t>M25</t>
  </si>
  <si>
    <t>CTD+K</t>
  </si>
  <si>
    <t>pvc21</t>
  </si>
  <si>
    <t>ke50</t>
  </si>
  <si>
    <t>ke25</t>
  </si>
  <si>
    <t>cd21</t>
  </si>
  <si>
    <t>lcd</t>
  </si>
  <si>
    <t>b1240</t>
  </si>
  <si>
    <t>dctdtba</t>
  </si>
  <si>
    <t>ktdtba</t>
  </si>
  <si>
    <t>dtd3</t>
  </si>
  <si>
    <t>datd3</t>
  </si>
  <si>
    <t xml:space="preserve">Tủ điện năng kế và CB 1 pha </t>
  </si>
  <si>
    <t>tuap1</t>
  </si>
  <si>
    <t>CD5X50</t>
  </si>
  <si>
    <t>BAKE</t>
  </si>
  <si>
    <t>Bộ dây dẫn xuống 22kV 1 pha</t>
  </si>
  <si>
    <t>XLPE25</t>
  </si>
  <si>
    <t>KQ2/0</t>
  </si>
  <si>
    <t>KH2/0</t>
  </si>
  <si>
    <t>lcapdongTB95</t>
  </si>
  <si>
    <t>Bộ dây dẫn hạ thế Trạm 15KVA</t>
  </si>
  <si>
    <t>CV35</t>
  </si>
  <si>
    <t>CV25</t>
  </si>
  <si>
    <t>CVV4x2,5</t>
  </si>
  <si>
    <t>Cos35</t>
  </si>
  <si>
    <t>Cos25</t>
  </si>
  <si>
    <t>chCos35</t>
  </si>
  <si>
    <t>chCos25</t>
  </si>
  <si>
    <t>PVC90</t>
  </si>
  <si>
    <t>cd90</t>
  </si>
  <si>
    <t>CUT90t</t>
  </si>
  <si>
    <t>NPVC90</t>
  </si>
  <si>
    <t>KEOdan</t>
  </si>
  <si>
    <t>KEObit</t>
  </si>
  <si>
    <t>lpvc90cl</t>
  </si>
  <si>
    <t>BANG</t>
  </si>
  <si>
    <t>ATM125</t>
  </si>
  <si>
    <t>TI1005</t>
  </si>
  <si>
    <t>Bộ đà composit đỡ FCO, LA</t>
  </si>
  <si>
    <t>COM08</t>
  </si>
  <si>
    <t>com40x10x720</t>
  </si>
  <si>
    <t>B16350</t>
  </si>
  <si>
    <t>B14150</t>
  </si>
  <si>
    <t>BATLL</t>
  </si>
  <si>
    <t>LXIT</t>
  </si>
  <si>
    <t>m25</t>
  </si>
  <si>
    <t>ke120</t>
  </si>
  <si>
    <t>LCD</t>
  </si>
  <si>
    <t>Tủ điện năng kế và CB</t>
  </si>
  <si>
    <t>B1240</t>
  </si>
  <si>
    <t>Bộ dây dẫn xuống 1 pha</t>
  </si>
  <si>
    <t>xlpe25</t>
  </si>
  <si>
    <t>CCDQU</t>
  </si>
  <si>
    <t>CHFCO</t>
  </si>
  <si>
    <t>CHLA</t>
  </si>
  <si>
    <t>CHMBA</t>
  </si>
  <si>
    <t>SD</t>
  </si>
  <si>
    <t>CSD</t>
  </si>
  <si>
    <t>LSD</t>
  </si>
  <si>
    <t>Bộ dây dẫn hạ thế Trạm 25KVA</t>
  </si>
  <si>
    <t>CV70</t>
  </si>
  <si>
    <t>CVV4x4</t>
  </si>
  <si>
    <t>PVC114</t>
  </si>
  <si>
    <t>cd114</t>
  </si>
  <si>
    <t>CUT114t</t>
  </si>
  <si>
    <t>NPVC114</t>
  </si>
  <si>
    <t>BANGKEO</t>
  </si>
  <si>
    <t>37,5</t>
  </si>
  <si>
    <t>TR371</t>
  </si>
  <si>
    <t>ATM100</t>
  </si>
  <si>
    <t>DK1p5A</t>
  </si>
  <si>
    <t>SO10</t>
  </si>
  <si>
    <t>oxc25</t>
  </si>
  <si>
    <t>COS70</t>
  </si>
  <si>
    <t>COS50</t>
  </si>
  <si>
    <t>b1260</t>
  </si>
  <si>
    <t>Bulon D6x30</t>
  </si>
  <si>
    <t>Tủ điện năng kế và CB 1 pha</t>
  </si>
  <si>
    <t>Bộ dây dẫn hạ thế Trạm 37,5KVA</t>
  </si>
  <si>
    <t>CV50</t>
  </si>
  <si>
    <t>CHCOS70</t>
  </si>
  <si>
    <t>CHCOS50</t>
  </si>
  <si>
    <t>CUT90</t>
  </si>
  <si>
    <t>A1. PHẦN THIẾT BỊ TRẠM LẮP MỚI</t>
  </si>
  <si>
    <t>TR501</t>
  </si>
  <si>
    <t>CHI6K</t>
  </si>
  <si>
    <t>ATM250</t>
  </si>
  <si>
    <t>TI200</t>
  </si>
  <si>
    <t>Công thiết bị mới</t>
  </si>
  <si>
    <t>A2. PHẦN THIẾT BỊ TRẠM THAY THẾ CHO CÁC TRẠM 1 CẤP THU HỒI</t>
  </si>
  <si>
    <t>TR251</t>
  </si>
  <si>
    <t>TR751</t>
  </si>
  <si>
    <t>TR1601</t>
  </si>
  <si>
    <t>TR1801</t>
  </si>
  <si>
    <t>CHI8K</t>
  </si>
  <si>
    <t>CHI10K</t>
  </si>
  <si>
    <t>Công thiết bị nâng cấp</t>
  </si>
  <si>
    <t xml:space="preserve">Đà composit đỡ FCO, LA 1 pha </t>
  </si>
  <si>
    <t>Bộ tiếp địa Trạm 1 pha</t>
  </si>
  <si>
    <t>so10</t>
  </si>
  <si>
    <t>PVC21</t>
  </si>
  <si>
    <t>CD21</t>
  </si>
  <si>
    <t>KE50</t>
  </si>
  <si>
    <t>KE25</t>
  </si>
  <si>
    <t>OXC50</t>
  </si>
  <si>
    <t>cos35</t>
  </si>
  <si>
    <t>cos70</t>
  </si>
  <si>
    <t>cd21s10</t>
  </si>
  <si>
    <t>BAKEDKDT</t>
  </si>
  <si>
    <t>chfco</t>
  </si>
  <si>
    <t>chla</t>
  </si>
  <si>
    <t>chmba</t>
  </si>
  <si>
    <t>Bộ dây dẫn hạ thế Trạm 50KVA</t>
  </si>
  <si>
    <t>CV120</t>
  </si>
  <si>
    <t>COS120</t>
  </si>
  <si>
    <t>CHCOS120</t>
  </si>
  <si>
    <t>COS25</t>
  </si>
  <si>
    <t>CHCOS25</t>
  </si>
  <si>
    <t>lpvc114cl</t>
  </si>
  <si>
    <t>ATM400</t>
  </si>
  <si>
    <t>ti300</t>
  </si>
  <si>
    <t>DK380-5A</t>
  </si>
  <si>
    <t>COM08-720</t>
  </si>
  <si>
    <t>B14100</t>
  </si>
  <si>
    <t>Bộ dây dẫn xuống trung thế 1 pha</t>
  </si>
  <si>
    <t xml:space="preserve">KQ2/0 </t>
  </si>
  <si>
    <t>CCĐfco</t>
  </si>
  <si>
    <t>CCĐLA</t>
  </si>
  <si>
    <t>CCĐmba</t>
  </si>
  <si>
    <t>Bộ dây dẫn hạ thế Trạm 75KVA</t>
  </si>
  <si>
    <t>CV185</t>
  </si>
  <si>
    <t>COS185</t>
  </si>
  <si>
    <t>Cos70</t>
  </si>
  <si>
    <t>chcos120</t>
  </si>
  <si>
    <t>chcos70</t>
  </si>
  <si>
    <t>kvrt114</t>
  </si>
  <si>
    <t>kvrn114</t>
  </si>
  <si>
    <t>T1001</t>
  </si>
  <si>
    <t>atm500</t>
  </si>
  <si>
    <t>COM110x800x5</t>
  </si>
  <si>
    <t>B1640</t>
  </si>
  <si>
    <t>Bộ dây dẫn hạ thế Trạm 100KVA</t>
  </si>
  <si>
    <t>CV240</t>
  </si>
  <si>
    <t>Cos240</t>
  </si>
  <si>
    <t>CHCOS240</t>
  </si>
  <si>
    <t>3x15</t>
  </si>
  <si>
    <t>DK3p50(100)A</t>
  </si>
  <si>
    <t>Giá chùm treo 3 MBT</t>
  </si>
  <si>
    <t>GTMBA15</t>
  </si>
  <si>
    <t>B1650</t>
  </si>
  <si>
    <t>D12</t>
  </si>
  <si>
    <t>B22650</t>
  </si>
  <si>
    <t xml:space="preserve">Xà đơn X-22Đ L75x75x8x2200 bắt FCO, LA </t>
  </si>
  <si>
    <t>SL75</t>
  </si>
  <si>
    <t>SL50</t>
  </si>
  <si>
    <t>B16250</t>
  </si>
  <si>
    <t>LXITL</t>
  </si>
  <si>
    <t xml:space="preserve">Bộ tiếp địa Trạm 3 pha : </t>
  </si>
  <si>
    <t>Gồm  có:</t>
  </si>
  <si>
    <t>GTDĐ</t>
  </si>
  <si>
    <t>KTDTBA</t>
  </si>
  <si>
    <t>DCTDTBA</t>
  </si>
  <si>
    <t>DTD3</t>
  </si>
  <si>
    <t>DATD3</t>
  </si>
  <si>
    <t>Tủ điện năng kế và MCCB 3 pha trạm treo</t>
  </si>
  <si>
    <t>TUAP3</t>
  </si>
  <si>
    <t>Bộ dây dẫn trung thế 3p xuống máy biến thế</t>
  </si>
  <si>
    <t xml:space="preserve">Bộ dây dẫn hạ thế Trạm 3x15kVA </t>
  </si>
  <si>
    <t>CD90</t>
  </si>
  <si>
    <t>CUT90T</t>
  </si>
  <si>
    <t>kvrt90</t>
  </si>
  <si>
    <t>kvrn90</t>
  </si>
  <si>
    <t>KEODAN</t>
  </si>
  <si>
    <t>KEOBIT</t>
  </si>
  <si>
    <t>LPVC90CL</t>
  </si>
  <si>
    <t>3x25</t>
  </si>
  <si>
    <t>DK3p5A</t>
  </si>
  <si>
    <t>GTMBA25</t>
  </si>
  <si>
    <t xml:space="preserve">Xà composite 2,4m bắt FCO, LA </t>
  </si>
  <si>
    <t>com110x800x5</t>
  </si>
  <si>
    <t>com40x10x920</t>
  </si>
  <si>
    <t>batLL</t>
  </si>
  <si>
    <t>B16100</t>
  </si>
  <si>
    <t>B16400</t>
  </si>
  <si>
    <t>lxiTL</t>
  </si>
  <si>
    <t>bake16-200x200</t>
  </si>
  <si>
    <t>Tủ điện năng kế và CB 3 pha</t>
  </si>
  <si>
    <t>tuap3</t>
  </si>
  <si>
    <t>Bộ dây dẫn xuống 22KV 3 pha</t>
  </si>
  <si>
    <t xml:space="preserve">Bộ dây dẫn hạ thế Trạm 3x25kVA </t>
  </si>
  <si>
    <t>cv70</t>
  </si>
  <si>
    <t>CVV4X2,5</t>
  </si>
  <si>
    <t>chcos50</t>
  </si>
  <si>
    <t xml:space="preserve">Bảng tên trạm ( theo mẫu Điện lực ) </t>
  </si>
  <si>
    <t>A1.PHẦN THIẾT BỊ LẮP MỚI</t>
  </si>
  <si>
    <t>3x37,5</t>
  </si>
  <si>
    <t>la12</t>
  </si>
  <si>
    <t>ATM200</t>
  </si>
  <si>
    <t>TUBU40</t>
  </si>
  <si>
    <t>Tủ bù hạ thế 45KVar</t>
  </si>
  <si>
    <t>A1.PHẦN THIẾT BỊ THAO DỠ</t>
  </si>
  <si>
    <t>TR37</t>
  </si>
  <si>
    <t>GTMBA37,5</t>
  </si>
  <si>
    <t xml:space="preserve">Xà Composit 110x80x5 dài 2,4m bắt FCO, LA </t>
  </si>
  <si>
    <t>com110x800x5-2,4</t>
  </si>
  <si>
    <t>B16150</t>
  </si>
  <si>
    <t>Bộ tiếp địa Trạm 3 pha</t>
  </si>
  <si>
    <t>OXC25</t>
  </si>
  <si>
    <t>GTD</t>
  </si>
  <si>
    <t>CD5x50</t>
  </si>
  <si>
    <t xml:space="preserve">Bêtông M200 đá 1x2 nền trạm 1000x1500x400 </t>
  </si>
  <si>
    <t>xm</t>
  </si>
  <si>
    <t>CV</t>
  </si>
  <si>
    <t>d1x2</t>
  </si>
  <si>
    <t>dbt20012</t>
  </si>
  <si>
    <t>Bộ dẫn cáp vào tủ tụ bù</t>
  </si>
  <si>
    <t>pvc90</t>
  </si>
  <si>
    <t>cut90t</t>
  </si>
  <si>
    <t xml:space="preserve">Bộ dây dẫn hạ thế Trạm 3x37,5KVA </t>
  </si>
  <si>
    <t>CV95</t>
  </si>
  <si>
    <t>CVV4X4</t>
  </si>
  <si>
    <t>COS95</t>
  </si>
  <si>
    <t>CHCOS95</t>
  </si>
  <si>
    <t>NPVC114-90</t>
  </si>
  <si>
    <t>CCĐMBA</t>
  </si>
  <si>
    <t>mongTB</t>
  </si>
  <si>
    <t>tr501</t>
  </si>
  <si>
    <t>chi6k</t>
  </si>
  <si>
    <t>atm200</t>
  </si>
  <si>
    <t>TUBU60</t>
  </si>
  <si>
    <t>GTMBA</t>
  </si>
  <si>
    <t>LapGTMBA</t>
  </si>
  <si>
    <t>COM110x800x5-2,4</t>
  </si>
  <si>
    <t>cv11</t>
  </si>
  <si>
    <t>BAKE16-200X200</t>
  </si>
  <si>
    <t>CD320</t>
  </si>
  <si>
    <t xml:space="preserve">Bộ dây dẫn hạ thế Trạm 3x50KVA </t>
  </si>
  <si>
    <t>cv150</t>
  </si>
  <si>
    <t>cv95</t>
  </si>
  <si>
    <t>cos5</t>
  </si>
  <si>
    <t>m5m</t>
  </si>
  <si>
    <t>KVRT114</t>
  </si>
  <si>
    <t>KVRN114</t>
  </si>
  <si>
    <t>ke150</t>
  </si>
  <si>
    <t>lcapdongTB150</t>
  </si>
  <si>
    <t>Bộ đo đếm:</t>
  </si>
  <si>
    <t>COS5</t>
  </si>
  <si>
    <t>Bảng tên trạm</t>
  </si>
  <si>
    <t>cái</t>
  </si>
  <si>
    <t>Bảng báo nguy hiểm trạm</t>
  </si>
  <si>
    <t>Phần cáp xuất từ MCCB lên lưới</t>
  </si>
  <si>
    <t>tr1601</t>
  </si>
  <si>
    <t>atm250</t>
  </si>
  <si>
    <t>tubu80</t>
  </si>
  <si>
    <t>TI250</t>
  </si>
  <si>
    <t>DK3P5A</t>
  </si>
  <si>
    <t>Trụ bê tông ly tâm 12m</t>
  </si>
  <si>
    <t>Trụ</t>
  </si>
  <si>
    <t>C12m-tba</t>
  </si>
  <si>
    <t>Trụ bê tông ly tâm 10,5m</t>
  </si>
  <si>
    <t>T105</t>
  </si>
  <si>
    <t>C10m-TBA</t>
  </si>
  <si>
    <t>Móng</t>
  </si>
  <si>
    <t>Móng M10a</t>
  </si>
  <si>
    <t>Đà đặt MBA trạm giàn</t>
  </si>
  <si>
    <t>U16-280</t>
  </si>
  <si>
    <t>U1004</t>
  </si>
  <si>
    <t>U1008</t>
  </si>
  <si>
    <t>B16400v</t>
  </si>
  <si>
    <t>Đà đặt MBA trạm ngồi</t>
  </si>
  <si>
    <t>U100-500</t>
  </si>
  <si>
    <t>U100-700</t>
  </si>
  <si>
    <t>U160-740</t>
  </si>
  <si>
    <t>U160-1100</t>
  </si>
  <si>
    <t>U160-1449</t>
  </si>
  <si>
    <t>U160-1700</t>
  </si>
  <si>
    <t>U160-2100</t>
  </si>
  <si>
    <t>B16200</t>
  </si>
  <si>
    <t>B16350v</t>
  </si>
  <si>
    <t>B16750v</t>
  </si>
  <si>
    <t>B16800v</t>
  </si>
  <si>
    <t>LXHN1</t>
  </si>
  <si>
    <t>Lắp xà trạm biến áp</t>
  </si>
  <si>
    <t>tấn</t>
  </si>
  <si>
    <t xml:space="preserve">Xà kép L75x75x8x2600 (3 ốp) đở CT, PT và sứ </t>
  </si>
  <si>
    <t>sl75</t>
  </si>
  <si>
    <t>B16300V</t>
  </si>
  <si>
    <t xml:space="preserve">Xà đơn L75x75x8x2600 (3 ốp) đỡ sứ </t>
  </si>
  <si>
    <t>BATLI</t>
  </si>
  <si>
    <t xml:space="preserve">Xà đơn composite 110x800x5-2600m bắt FCO và LA </t>
  </si>
  <si>
    <t>COM110x800x5-2,6</t>
  </si>
  <si>
    <t xml:space="preserve">Xà đơn L75x75x8x2600 (0 ốp) đở thùng CB </t>
  </si>
  <si>
    <t>BOCX</t>
  </si>
  <si>
    <t>bộ</t>
  </si>
  <si>
    <t>Xà kép L75x75x8x2400 (4 ốp)  bắt sứ treo, TI</t>
  </si>
  <si>
    <t>kg</t>
  </si>
  <si>
    <t>sl50</t>
  </si>
  <si>
    <t>LXINL</t>
  </si>
  <si>
    <t>Xà đơn L75x75x8x2400 (4 ốp) đỡ sú</t>
  </si>
  <si>
    <t>BATLi</t>
  </si>
  <si>
    <t>cdxa</t>
  </si>
  <si>
    <t>LXItl</t>
  </si>
  <si>
    <t>Bộ tiếp địa Trạm biến áp</t>
  </si>
  <si>
    <t>cv25</t>
  </si>
  <si>
    <t>Ke25</t>
  </si>
  <si>
    <t>ktdTBA</t>
  </si>
  <si>
    <t xml:space="preserve">Bêtông M200 đá 1x2 nền tủ bù 1000x3000x400 </t>
  </si>
  <si>
    <t>cat</t>
  </si>
  <si>
    <t>Bệ bêtông M200 đá 1x2 đỡ tủ và MBA</t>
  </si>
  <si>
    <t>Tủ CB 3 pha dày 2mm sơn tĩnh điện</t>
  </si>
  <si>
    <t>TUAP3l</t>
  </si>
  <si>
    <t>CD6x60</t>
  </si>
  <si>
    <t>GianoiCB</t>
  </si>
  <si>
    <t>Mương đỡ cáp trung thế vào tủ LBS</t>
  </si>
  <si>
    <t>mét</t>
  </si>
  <si>
    <t>D2x4</t>
  </si>
  <si>
    <t>gachtau</t>
  </si>
  <si>
    <t>Nilong</t>
  </si>
  <si>
    <t>PVC140</t>
  </si>
  <si>
    <t>Dcat</t>
  </si>
  <si>
    <t>DMC3</t>
  </si>
  <si>
    <t>DDMC3</t>
  </si>
  <si>
    <t>Giá đỡ cáp hạ thế trong mương từ MBA đến tủ CB</t>
  </si>
  <si>
    <t>stk140</t>
  </si>
  <si>
    <t>CUT140</t>
  </si>
  <si>
    <t>Cd140T</t>
  </si>
  <si>
    <t>gcap</t>
  </si>
  <si>
    <t>giacapTHT-10m</t>
  </si>
  <si>
    <t>lgia</t>
  </si>
  <si>
    <t>Bộ dây dẫn trung thế 24kV 3 pha từ FCO vào MBA</t>
  </si>
  <si>
    <t>XLPE350D</t>
  </si>
  <si>
    <t>XLPE50</t>
  </si>
  <si>
    <t>daucap50</t>
  </si>
  <si>
    <t>daucap50in</t>
  </si>
  <si>
    <t>ldaucap70</t>
  </si>
  <si>
    <t>KCNT6kg</t>
  </si>
  <si>
    <t>KCNT2kg</t>
  </si>
  <si>
    <t>DRC</t>
  </si>
  <si>
    <t>Bộ dây dẫn trung thế 24kV 3 pha</t>
  </si>
  <si>
    <t>batli</t>
  </si>
  <si>
    <t>stply</t>
  </si>
  <si>
    <t>lsd</t>
  </si>
  <si>
    <t>lsd_T</t>
  </si>
  <si>
    <t>LCHSNply</t>
  </si>
  <si>
    <t>PVC42</t>
  </si>
  <si>
    <t>CUT42T</t>
  </si>
  <si>
    <t>KVRT42</t>
  </si>
  <si>
    <t>KVRN42</t>
  </si>
  <si>
    <t>Bộ dây dẫn cáp xuất hạ thế từ MBA vào tủ CB</t>
  </si>
  <si>
    <t>cv120</t>
  </si>
  <si>
    <t>CHCOs95</t>
  </si>
  <si>
    <t>cut114</t>
  </si>
  <si>
    <t>cut114l</t>
  </si>
  <si>
    <t>CD114</t>
  </si>
  <si>
    <t>keobit</t>
  </si>
  <si>
    <t>drc</t>
  </si>
  <si>
    <t>lcapdongTB240</t>
  </si>
  <si>
    <t>MTBU</t>
  </si>
  <si>
    <t>xAtuti</t>
  </si>
  <si>
    <t>COS2,5</t>
  </si>
  <si>
    <t>D16/10</t>
  </si>
  <si>
    <t>CD42t</t>
  </si>
  <si>
    <t>CUT42</t>
  </si>
  <si>
    <t>NPVC42</t>
  </si>
  <si>
    <t>KEO</t>
  </si>
  <si>
    <t>TUDKDT</t>
  </si>
  <si>
    <t>M5M</t>
  </si>
  <si>
    <t>bang</t>
  </si>
  <si>
    <t>C. PHẦN THÁO DỠ THU HỒI</t>
  </si>
  <si>
    <t>LA12</t>
  </si>
  <si>
    <t>Tháo LA hiện hữu</t>
  </si>
  <si>
    <t>Tận dụng lại</t>
  </si>
  <si>
    <t>LCL</t>
  </si>
  <si>
    <t>Tháo bộ chống lệch</t>
  </si>
  <si>
    <t>tr2501</t>
  </si>
  <si>
    <t>chi10k</t>
  </si>
  <si>
    <t>atm400</t>
  </si>
  <si>
    <t>tubu90</t>
  </si>
  <si>
    <t>A cấp</t>
  </si>
  <si>
    <t>TI400</t>
  </si>
  <si>
    <t>Trụ bê tông ly tâm 12m: Trụ trạm</t>
  </si>
  <si>
    <t>Trụ bê tông ly tâm 10,5m: Trụ trạm</t>
  </si>
  <si>
    <t>Đà đặt MBA</t>
  </si>
  <si>
    <t>X-20ĐL2/3</t>
  </si>
  <si>
    <t>Bộ xà lệch đơn L75x75x8 dài 2m: X-20ĐL2/3</t>
  </si>
  <si>
    <t xml:space="preserve">Xà  bắt FCO </t>
  </si>
  <si>
    <t>Xà đơn L75x75x8x2600 (3 ốp) bắt LA, đỡ sứ</t>
  </si>
  <si>
    <t>Cat</t>
  </si>
  <si>
    <t>Tủ MCCB 3 pha dày 2mm sơn tĩnh điện</t>
  </si>
  <si>
    <t>TUAP3L</t>
  </si>
  <si>
    <t>Bộ dây dẫn trung thế 3 pha</t>
  </si>
  <si>
    <t>batll</t>
  </si>
  <si>
    <t>sd</t>
  </si>
  <si>
    <t>csd</t>
  </si>
  <si>
    <t>R1</t>
  </si>
  <si>
    <t>Stply</t>
  </si>
  <si>
    <t>MT</t>
  </si>
  <si>
    <t>KN185</t>
  </si>
  <si>
    <t>KN35</t>
  </si>
  <si>
    <t>k185</t>
  </si>
  <si>
    <t>BM16250</t>
  </si>
  <si>
    <t>BM16300</t>
  </si>
  <si>
    <t>KE70</t>
  </si>
  <si>
    <t>B1260</t>
  </si>
  <si>
    <t>KVRT90</t>
  </si>
  <si>
    <t>KVRN90</t>
  </si>
  <si>
    <t>cv185</t>
  </si>
  <si>
    <t>CHCOS185</t>
  </si>
  <si>
    <t>CUT90135</t>
  </si>
  <si>
    <t>tr3201</t>
  </si>
  <si>
    <t>tubu135</t>
  </si>
  <si>
    <t>TI500</t>
  </si>
  <si>
    <t>TU22</t>
  </si>
  <si>
    <t>DK3DT</t>
  </si>
  <si>
    <t>Xà kép L75x75x8x2600 (3 ốp) đỡ sứ</t>
  </si>
  <si>
    <t>Xà kép L75x75x8x2400 (4 ốp)  đỡ đường dây hiện hữu</t>
  </si>
  <si>
    <t>Xà đơn L75x75x8x2200 (4 ốp) đỡ đường dây hiện hữu</t>
  </si>
  <si>
    <t xml:space="preserve">Bêtông M200 đá 1x2 nền TBA 1000x3000x400 </t>
  </si>
  <si>
    <t>khung tu</t>
  </si>
  <si>
    <t>Bộ dây dẫn trung thế 24kV 3 pha từ FCO vào MBA (ngầm)</t>
  </si>
  <si>
    <t>Bộ dây dẫn trung thế 3 pha xuống máy biến áp</t>
  </si>
  <si>
    <t>COSe25</t>
  </si>
  <si>
    <t>ttf50</t>
  </si>
  <si>
    <t>Bộ dây dẫn cáp xuất hạ thế từ MBA vào tủ MCCB</t>
  </si>
  <si>
    <t>cv240</t>
  </si>
  <si>
    <t>COS240</t>
  </si>
  <si>
    <t>CUT114</t>
  </si>
  <si>
    <t>CUT114T</t>
  </si>
  <si>
    <t>CUT114L</t>
  </si>
  <si>
    <t>tr4001</t>
  </si>
  <si>
    <t>chi15k</t>
  </si>
  <si>
    <t>atm630</t>
  </si>
  <si>
    <t>tubu160</t>
  </si>
  <si>
    <t>TI600</t>
  </si>
  <si>
    <t>tu22</t>
  </si>
  <si>
    <t>U20-280</t>
  </si>
  <si>
    <t xml:space="preserve">Xà kép L75x75x8x2600 (3 ốp) đởø sứ </t>
  </si>
  <si>
    <t>Bộ dây dẫn trung thế 24kV 3 pha trên không</t>
  </si>
  <si>
    <t>cv200</t>
  </si>
  <si>
    <t>COS200</t>
  </si>
  <si>
    <t>CHCOS200</t>
  </si>
  <si>
    <t>tr5601</t>
  </si>
  <si>
    <t>chi25k</t>
  </si>
  <si>
    <t>atm1000</t>
  </si>
  <si>
    <t>atm800</t>
  </si>
  <si>
    <t>atm100</t>
  </si>
  <si>
    <t>atm75</t>
  </si>
  <si>
    <t>atm50</t>
  </si>
  <si>
    <t>tubu250</t>
  </si>
  <si>
    <t>ti15</t>
  </si>
  <si>
    <t>Xà kép L75x75x8x2600 (3 ốp) đở CT, PT</t>
  </si>
  <si>
    <t xml:space="preserve">Xà đơn L75x75x8x2600 (3 ốp) đỡû sứ </t>
  </si>
  <si>
    <t>Xà kép L75x75x8x2200 (4 ốp)  bắt sứ treo, TI</t>
  </si>
  <si>
    <t>B1230</t>
  </si>
  <si>
    <t xml:space="preserve">Bêtông M200 đá 1x2 nền tủ MCCB+ tủ bù 1000x3000x400 </t>
  </si>
  <si>
    <t>Bass đồng để đấu nối : 3 bass 40x5x200mm</t>
  </si>
  <si>
    <t>Bộ dây dẫn cáp xuất hạ thế từ MBA vào tủ MCCB đến các MCCB con</t>
  </si>
  <si>
    <t>CV300</t>
  </si>
  <si>
    <t>CV250</t>
  </si>
  <si>
    <t>COS300</t>
  </si>
  <si>
    <t>COS250</t>
  </si>
  <si>
    <t>CHCOS300</t>
  </si>
  <si>
    <t>CHCOS250</t>
  </si>
  <si>
    <t>Cd140</t>
  </si>
  <si>
    <t>CD140</t>
  </si>
  <si>
    <t>kvrt140</t>
  </si>
  <si>
    <t>kvrn140</t>
  </si>
  <si>
    <t>B10250</t>
  </si>
  <si>
    <t>tr6301</t>
  </si>
  <si>
    <t>chi30k</t>
  </si>
  <si>
    <t xml:space="preserve">Xà đơn L75x75x8x2600 (3 ốp) bắt FCO và đỡû sứ </t>
  </si>
  <si>
    <t>COS150</t>
  </si>
  <si>
    <t>CHCOS150</t>
  </si>
  <si>
    <t>tr10001</t>
  </si>
  <si>
    <t>DS3P</t>
  </si>
  <si>
    <t>tuLBS</t>
  </si>
  <si>
    <t>Chủ đầu tư cấp</t>
  </si>
  <si>
    <t>CHI40K</t>
  </si>
  <si>
    <t>tubu400</t>
  </si>
  <si>
    <t>TI25</t>
  </si>
  <si>
    <t>t105</t>
  </si>
  <si>
    <t>C105m</t>
  </si>
  <si>
    <t>mdd3</t>
  </si>
  <si>
    <t>Móng M8a</t>
  </si>
  <si>
    <t>05.6043</t>
  </si>
  <si>
    <t xml:space="preserve">Xà đơn L75x75x8x2600 (3 ốp) bắt  LA, FCO và  đở sứ </t>
  </si>
  <si>
    <t xml:space="preserve">Xà kép L75x75x8x2400 (4 ốp) đỡ TU, TI </t>
  </si>
  <si>
    <t xml:space="preserve">      </t>
  </si>
  <si>
    <t>05.6011</t>
  </si>
  <si>
    <t>Xà đơn  L75x75x8x2400 (4 ốp) đỡ FCO, sú</t>
  </si>
  <si>
    <t>LXIN</t>
  </si>
  <si>
    <t>05.6022</t>
  </si>
  <si>
    <t xml:space="preserve">Bộ tiếp địa Trạm 3 pha (chung với TBA 1600KVA) </t>
  </si>
  <si>
    <t>Mỗi bộ gồm:</t>
  </si>
  <si>
    <t>MDDA2</t>
  </si>
  <si>
    <t>Tủ CB 3 pha bằng tôn dày 2mm sơn tĩnh điện</t>
  </si>
  <si>
    <t>TuAP3-N</t>
  </si>
  <si>
    <t>Mương đỡ cáp trung thế vào FCO</t>
  </si>
  <si>
    <t>D1X2</t>
  </si>
  <si>
    <t>Giá đỡ cáp trung thế từ mương lên FCO vào MBA</t>
  </si>
  <si>
    <t>giacapTT-2m</t>
  </si>
  <si>
    <t>KCN6kg</t>
  </si>
  <si>
    <t>Giá đỡ cáp hạ thế xuất MBA và vào tủ:</t>
  </si>
  <si>
    <t>giacapHT-3m</t>
  </si>
  <si>
    <t>Bộ dây dẫn cáp xuất MBA vào tủ CB</t>
  </si>
  <si>
    <t>B. PHẦN THÁO DỠ THU HỒI</t>
  </si>
  <si>
    <t>LDN</t>
  </si>
  <si>
    <t>Tháo bộ dây néo</t>
  </si>
  <si>
    <t>lcl</t>
  </si>
  <si>
    <t>tr20001</t>
  </si>
  <si>
    <t>CHI30K</t>
  </si>
  <si>
    <t>tubu220</t>
  </si>
  <si>
    <t>TI800</t>
  </si>
  <si>
    <t>xlpe250ht</t>
  </si>
  <si>
    <t>Hệ số lắp xà:</t>
  </si>
  <si>
    <t>Hệ số lắp xà H:</t>
  </si>
  <si>
    <t>Hệ số dựng cột  :</t>
  </si>
  <si>
    <t>Hệ số kéo dây :</t>
  </si>
  <si>
    <t>Cấp đất:</t>
  </si>
  <si>
    <t>BẢNG KHỐI LƯỢNG PHẦN ĐƯỜNG DÂY
(Đính kèm biên bản nghiệm thu hoàn thành công trình đưa và sử dụng ngày….. tháng…..năm 2020)</t>
  </si>
  <si>
    <t>HỆ</t>
  </si>
  <si>
    <t>DANH MỤC</t>
  </si>
  <si>
    <t>SỐ</t>
  </si>
  <si>
    <t>3P 2 mạch</t>
  </si>
  <si>
    <t>CẢI TẠO</t>
  </si>
  <si>
    <t>3P 1 mạch</t>
  </si>
  <si>
    <t>1P</t>
  </si>
  <si>
    <t>HTHH</t>
  </si>
  <si>
    <t>HTĐL</t>
  </si>
  <si>
    <t>HTCS</t>
  </si>
  <si>
    <t>PS TĂNG</t>
  </si>
  <si>
    <t>PS GIẢM</t>
  </si>
  <si>
    <t>Thi công</t>
  </si>
  <si>
    <t>X</t>
  </si>
  <si>
    <t>I</t>
  </si>
  <si>
    <t>Phần móng và tiếp địa</t>
  </si>
  <si>
    <t>M7</t>
  </si>
  <si>
    <t>Móng M7</t>
  </si>
  <si>
    <t>dctc</t>
  </si>
  <si>
    <t>M7a</t>
  </si>
  <si>
    <t>Móng M7a</t>
  </si>
  <si>
    <t>b22550</t>
  </si>
  <si>
    <t>bocdc</t>
  </si>
  <si>
    <t>da</t>
  </si>
  <si>
    <t>daDAM</t>
  </si>
  <si>
    <t>M7b</t>
  </si>
  <si>
    <t>Móng M7b</t>
  </si>
  <si>
    <t>d15</t>
  </si>
  <si>
    <t>D2X4</t>
  </si>
  <si>
    <t>M7aa</t>
  </si>
  <si>
    <t>Móng M7aa</t>
  </si>
  <si>
    <t>M7ba</t>
  </si>
  <si>
    <t>Móng M7ba</t>
  </si>
  <si>
    <t>M7-2a</t>
  </si>
  <si>
    <t>Móng M7-2a</t>
  </si>
  <si>
    <t>b22750</t>
  </si>
  <si>
    <t>M8</t>
  </si>
  <si>
    <t>Móng M8</t>
  </si>
  <si>
    <t>M8a</t>
  </si>
  <si>
    <t>M8BT Đơn</t>
  </si>
  <si>
    <t>Móng bê tông trụ đơn 8,4m</t>
  </si>
  <si>
    <t>XM</t>
  </si>
  <si>
    <t>SO8</t>
  </si>
  <si>
    <t>KEM</t>
  </si>
  <si>
    <t>BOCXI</t>
  </si>
  <si>
    <t>BOCCAT</t>
  </si>
  <si>
    <t>BOCDA</t>
  </si>
  <si>
    <t>LCT10</t>
  </si>
  <si>
    <t>VCXM1</t>
  </si>
  <si>
    <t>VCCAT1</t>
  </si>
  <si>
    <t>VCLD1</t>
  </si>
  <si>
    <t>VCDC1</t>
  </si>
  <si>
    <t>DBT20012</t>
  </si>
  <si>
    <t>M7BT Đôi</t>
  </si>
  <si>
    <t>Móng bê tông trụ đôi 8,5m</t>
  </si>
  <si>
    <t>M8b</t>
  </si>
  <si>
    <t>Móng M8b</t>
  </si>
  <si>
    <t>M8aa</t>
  </si>
  <si>
    <t>Móng M8aa</t>
  </si>
  <si>
    <t>M8ba</t>
  </si>
  <si>
    <t>Móng M8ba</t>
  </si>
  <si>
    <t>M8bb</t>
  </si>
  <si>
    <t>Móng M8bb</t>
  </si>
  <si>
    <t>M8-2a</t>
  </si>
  <si>
    <t>Móng M8-2a</t>
  </si>
  <si>
    <t>M10</t>
  </si>
  <si>
    <t>Móng M10</t>
  </si>
  <si>
    <t>M10a</t>
  </si>
  <si>
    <t xml:space="preserve">Móng M10a </t>
  </si>
  <si>
    <t>M10b</t>
  </si>
  <si>
    <t>Móng M10b</t>
  </si>
  <si>
    <t>M10BT ĐƠN</t>
  </si>
  <si>
    <t>Móng bê tông trụ đơn 10.5m</t>
  </si>
  <si>
    <t>AH2120</t>
  </si>
  <si>
    <t>DBT15012</t>
  </si>
  <si>
    <t>M10aa</t>
  </si>
  <si>
    <t>Móng M10aa</t>
  </si>
  <si>
    <t>M10ba</t>
  </si>
  <si>
    <t>Móng M10ba</t>
  </si>
  <si>
    <t>BOCDC</t>
  </si>
  <si>
    <t>M10bb</t>
  </si>
  <si>
    <t>Móng M10bb</t>
  </si>
  <si>
    <t>M10-2bn</t>
  </si>
  <si>
    <t>Móng M10-2bn</t>
  </si>
  <si>
    <t>ct5</t>
  </si>
  <si>
    <t>b22800</t>
  </si>
  <si>
    <t>BOCCT5</t>
  </si>
  <si>
    <t>ctram</t>
  </si>
  <si>
    <t>M10-2a</t>
  </si>
  <si>
    <t>Móng M10-2a</t>
  </si>
  <si>
    <t>M10-2b</t>
  </si>
  <si>
    <t>Móng M10-2b</t>
  </si>
  <si>
    <t>M12</t>
  </si>
  <si>
    <t>Móng M12</t>
  </si>
  <si>
    <t>M12a</t>
  </si>
  <si>
    <t>b22600</t>
  </si>
  <si>
    <t>M12b</t>
  </si>
  <si>
    <t>Móng M12b</t>
  </si>
  <si>
    <t>M12aa</t>
  </si>
  <si>
    <t>Móng M12aa</t>
  </si>
  <si>
    <t>M12ba</t>
  </si>
  <si>
    <t>Móng M12ba</t>
  </si>
  <si>
    <t>M12bb</t>
  </si>
  <si>
    <t>Móng M12bb</t>
  </si>
  <si>
    <t>M12-2bn</t>
  </si>
  <si>
    <t>Móng M12-2bn</t>
  </si>
  <si>
    <t>b22850</t>
  </si>
  <si>
    <t>M12-2a</t>
  </si>
  <si>
    <t>Móng M12-2a</t>
  </si>
  <si>
    <t>M12-2b</t>
  </si>
  <si>
    <t>Móng M12-2b</t>
  </si>
  <si>
    <t>M12b-aa(hh)</t>
  </si>
  <si>
    <t>Móng M12b-aa(hh)</t>
  </si>
  <si>
    <t>b22700</t>
  </si>
  <si>
    <t>M12b-2a(hh)</t>
  </si>
  <si>
    <t>Móng M12b-2a(hh)</t>
  </si>
  <si>
    <t>M12 PĐ</t>
  </si>
  <si>
    <t>Móng M12 phá đá</t>
  </si>
  <si>
    <t>MDD31</t>
  </si>
  <si>
    <t>MDDA1</t>
  </si>
  <si>
    <t>MDAP4</t>
  </si>
  <si>
    <t>M12BT ĐƠN</t>
  </si>
  <si>
    <t>Móng bê tông trụ đơn 12m</t>
  </si>
  <si>
    <t>kem</t>
  </si>
  <si>
    <t>lct10</t>
  </si>
  <si>
    <t>M12BT ĐÔI</t>
  </si>
  <si>
    <t>Móng bê tông trụ đôi 12m</t>
  </si>
  <si>
    <t>dinh</t>
  </si>
  <si>
    <t>GO-CH</t>
  </si>
  <si>
    <t>GO-DN</t>
  </si>
  <si>
    <t>GO-V</t>
  </si>
  <si>
    <t>LVANK</t>
  </si>
  <si>
    <t>B16450V</t>
  </si>
  <si>
    <t>B16550v</t>
  </si>
  <si>
    <t>B16600v</t>
  </si>
  <si>
    <t>M12 CN</t>
  </si>
  <si>
    <t>Móng chống ngập nước</t>
  </si>
  <si>
    <t>so16</t>
  </si>
  <si>
    <t>so8</t>
  </si>
  <si>
    <t>cong 1</t>
  </si>
  <si>
    <t>cong 2</t>
  </si>
  <si>
    <t>cống D1000x400mm</t>
  </si>
  <si>
    <t>M12BT P500</t>
  </si>
  <si>
    <t>Móng bê tông trụ đôi 12m tim 500</t>
  </si>
  <si>
    <t>MDD4</t>
  </si>
  <si>
    <t>M14</t>
  </si>
  <si>
    <t>Móng M14</t>
  </si>
  <si>
    <t>M14a</t>
  </si>
  <si>
    <t>Móng M14a</t>
  </si>
  <si>
    <t>M14b</t>
  </si>
  <si>
    <t>Móng M14b</t>
  </si>
  <si>
    <t>M14BT ĐƠN</t>
  </si>
  <si>
    <t>Móng bê tông trụ đơn 14m</t>
  </si>
  <si>
    <t>M14aa</t>
  </si>
  <si>
    <t>Móng M14aa</t>
  </si>
  <si>
    <t>M14ba</t>
  </si>
  <si>
    <t>Móng M14ba</t>
  </si>
  <si>
    <t>M14bb</t>
  </si>
  <si>
    <t>Móng M14bb</t>
  </si>
  <si>
    <t>M14-2bn</t>
  </si>
  <si>
    <t>Móng M14-2bn</t>
  </si>
  <si>
    <t>M14-2a</t>
  </si>
  <si>
    <t>Móng M14-2a</t>
  </si>
  <si>
    <t>M14-2b</t>
  </si>
  <si>
    <t>Móng M14-2b</t>
  </si>
  <si>
    <t>M14-4b</t>
  </si>
  <si>
    <t>Móng M14-4b</t>
  </si>
  <si>
    <t>BTCL-14-500</t>
  </si>
  <si>
    <t>Móng BTCL-14-500</t>
  </si>
  <si>
    <t>DBT10046</t>
  </si>
  <si>
    <t>SO6</t>
  </si>
  <si>
    <t>dcat</t>
  </si>
  <si>
    <t>LDVANK</t>
  </si>
  <si>
    <t>THEP</t>
  </si>
  <si>
    <t>CAT</t>
  </si>
  <si>
    <t>M20-4b</t>
  </si>
  <si>
    <t>Móng M20-4b</t>
  </si>
  <si>
    <t>MTUPP</t>
  </si>
  <si>
    <t>Móng tủ phân phối hạ thế</t>
  </si>
  <si>
    <t>móng</t>
  </si>
  <si>
    <t>02.1104</t>
  </si>
  <si>
    <t>D4X6</t>
  </si>
  <si>
    <t>GO</t>
  </si>
  <si>
    <t>thepB</t>
  </si>
  <si>
    <t>03.1113</t>
  </si>
  <si>
    <t>03.2203</t>
  </si>
  <si>
    <t>MTUCS</t>
  </si>
  <si>
    <t>Móng tủ điều khiển chiếu sáng</t>
  </si>
  <si>
    <t>TD75</t>
  </si>
  <si>
    <t>Tiếp địa lặp lại (trụ 7.5m)</t>
  </si>
  <si>
    <t>GIP70-35</t>
  </si>
  <si>
    <t>Ghíp nối IPC 70-35</t>
  </si>
  <si>
    <t>KTD</t>
  </si>
  <si>
    <t>DCTD3</t>
  </si>
  <si>
    <t>bocpk</t>
  </si>
  <si>
    <t>TD</t>
  </si>
  <si>
    <t>TD85</t>
  </si>
  <si>
    <t>Tiếp địa lặp lại (trụ 8.4m)</t>
  </si>
  <si>
    <t>Ke50</t>
  </si>
  <si>
    <t>cos25</t>
  </si>
  <si>
    <t>TD85ABC</t>
  </si>
  <si>
    <t>Tiếp địa lặp lại trụ 8.5m cáp ABC</t>
  </si>
  <si>
    <t>TDTUPP</t>
  </si>
  <si>
    <t>Tiếp địa tủ phân phối hạ thế</t>
  </si>
  <si>
    <t>GIP50-35</t>
  </si>
  <si>
    <t>TDTT105</t>
  </si>
  <si>
    <t>Tiếp địa lặp lại (trụ 10.5m)</t>
  </si>
  <si>
    <t>KCUAL</t>
  </si>
  <si>
    <t>TDTT12</t>
  </si>
  <si>
    <t>Tiếp địa lặp lại (trụ 12m)</t>
  </si>
  <si>
    <t>TDLL12</t>
  </si>
  <si>
    <t>Tiếp địa lặp lại trụ 12m</t>
  </si>
  <si>
    <t>TDLL12BS</t>
  </si>
  <si>
    <t>Tiếp địa lặp lại bổ sung</t>
  </si>
  <si>
    <t>Ke70</t>
  </si>
  <si>
    <t>TDDD12</t>
  </si>
  <si>
    <t>Tiếp địa trụ recloser và TBA 1 pha</t>
  </si>
  <si>
    <t>TDTT14</t>
  </si>
  <si>
    <t>Tiếp địa lặp lại (trụ 14m)</t>
  </si>
  <si>
    <t>TDTT20</t>
  </si>
  <si>
    <t>Tiếp địa lặp lại (trụ 20m)</t>
  </si>
  <si>
    <t>TDMT</t>
  </si>
  <si>
    <t>Tiếp địa mái tole</t>
  </si>
  <si>
    <t>TDDD</t>
  </si>
  <si>
    <t>Tiếp địa trụ đo đếm</t>
  </si>
  <si>
    <t>II</t>
  </si>
  <si>
    <t>Phần trụ</t>
  </si>
  <si>
    <t>TRUTHEP</t>
  </si>
  <si>
    <t>Trụ thép bát giác cao 6m</t>
  </si>
  <si>
    <t>TRTHEP6</t>
  </si>
  <si>
    <t>ltruden</t>
  </si>
  <si>
    <t>boctr</t>
  </si>
  <si>
    <t>COT</t>
  </si>
  <si>
    <t>BTLT 7.5</t>
  </si>
  <si>
    <t>Trụ bê tông ly tâm 7.5m</t>
  </si>
  <si>
    <t>T75</t>
  </si>
  <si>
    <t>C8m</t>
  </si>
  <si>
    <t>BTLT 8.5</t>
  </si>
  <si>
    <t>Trụ bê tông ly tâm 8.4m</t>
  </si>
  <si>
    <t>T84</t>
  </si>
  <si>
    <t>C10m</t>
  </si>
  <si>
    <t>BTLT 8.4TD</t>
  </si>
  <si>
    <t>Trụ bê tông ly tâm 8.4m có dây tiếp địa</t>
  </si>
  <si>
    <t>T84td</t>
  </si>
  <si>
    <t>N-BTLT 8.4</t>
  </si>
  <si>
    <t>Nhổ trụ 8,4m</t>
  </si>
  <si>
    <t>Vật liệu nhổ trụ</t>
  </si>
  <si>
    <t>Nhổ trụ BTLT &lt;10m thủ công +cơ giới</t>
  </si>
  <si>
    <t>N-T-BTLT 8.4</t>
  </si>
  <si>
    <t>Nhổ và trồng trụ 8,4m</t>
  </si>
  <si>
    <t>BTLT 10.5</t>
  </si>
  <si>
    <t>Trụ bê tông ly tâm 10.5m</t>
  </si>
  <si>
    <t>N-BTLT 10.5</t>
  </si>
  <si>
    <t>Nhổ trụ bê tông ly tâm 10.5m</t>
  </si>
  <si>
    <t>Nhổ trụ BTLT 10,5m thủ công + cơ giới</t>
  </si>
  <si>
    <t>BTLT 12 TC</t>
  </si>
  <si>
    <t>Trụ bê tông ly tâm 12m trồng thủ công</t>
  </si>
  <si>
    <t>C12</t>
  </si>
  <si>
    <t>BTLT 12</t>
  </si>
  <si>
    <t>Trụ bê tông ly tâm 12m trồng thủ công+cơ giới</t>
  </si>
  <si>
    <t>C12m</t>
  </si>
  <si>
    <t>BTLT 12 TĐ</t>
  </si>
  <si>
    <t>Trụ bê tông ly tâm 12m (tiếp địa có sẵn) trồng thủ công+cơ giới</t>
  </si>
  <si>
    <t>T12TĐ</t>
  </si>
  <si>
    <t>BTLT 14</t>
  </si>
  <si>
    <t>Trụ bê tông ly tâm 14m</t>
  </si>
  <si>
    <t>T14</t>
  </si>
  <si>
    <t>C14m</t>
  </si>
  <si>
    <t>BTLT 20</t>
  </si>
  <si>
    <t>Trụ bê tông ly tâm 20m</t>
  </si>
  <si>
    <t>T20</t>
  </si>
  <si>
    <t>C20m</t>
  </si>
  <si>
    <t>III</t>
  </si>
  <si>
    <t>Phần xà, néo</t>
  </si>
  <si>
    <t>X-1,66Đ</t>
  </si>
  <si>
    <t>Bộ xà đơn L75x75x8 dài 1,66m:  X-1,66Đ</t>
  </si>
  <si>
    <t>Xa1660</t>
  </si>
  <si>
    <t>TC810</t>
  </si>
  <si>
    <t>CSDI</t>
  </si>
  <si>
    <t>bocx</t>
  </si>
  <si>
    <t>XA</t>
  </si>
  <si>
    <t>X-1,66K</t>
  </si>
  <si>
    <t>Bộ xà kép L75x75x8 dài 1,66m:  X-1,66K</t>
  </si>
  <si>
    <t>B16250v</t>
  </si>
  <si>
    <t>LXIn</t>
  </si>
  <si>
    <t>X-22K-Đ</t>
  </si>
  <si>
    <t>Bộ xà kép L75x75x8 dài 2.2m: X-22K-Đ - C810 (lắp trụ đơn)</t>
  </si>
  <si>
    <t>SL75-2200</t>
  </si>
  <si>
    <t>SL50-810</t>
  </si>
  <si>
    <t>B16300v</t>
  </si>
  <si>
    <t>X-20Đ</t>
  </si>
  <si>
    <t>Bộ xà đơn L75x75x8 dài 2m:  X-20Đ</t>
  </si>
  <si>
    <t>X-20K</t>
  </si>
  <si>
    <t xml:space="preserve">Bộ xà kép L75x75x8 dài 2m: X-20K </t>
  </si>
  <si>
    <t>SL75-2000</t>
  </si>
  <si>
    <t>X-22Đ</t>
  </si>
  <si>
    <t>Bộ xà đơn L75x75x8 dài 2.2m: X-22Đ - C810</t>
  </si>
  <si>
    <t>CD bắt xà</t>
  </si>
  <si>
    <t>CDXA</t>
  </si>
  <si>
    <t>X-22Đ - C920</t>
  </si>
  <si>
    <t>Bộ xà đơn L75x75x8 dài 2.2m: X-22Đ - C920</t>
  </si>
  <si>
    <t>TL X-21K</t>
  </si>
  <si>
    <t xml:space="preserve">Tháo và lắp bộ xà kép L75x75x8 dài 2.1m: X-21K </t>
  </si>
  <si>
    <t>LXID</t>
  </si>
  <si>
    <t>X-22K-K</t>
  </si>
  <si>
    <t>Bộ xà kép L75x75x8 dài 2.2m: X-22K-K - C810 (lắp theo hướng trụ ghép)</t>
  </si>
  <si>
    <t>B16500</t>
  </si>
  <si>
    <t>B16600</t>
  </si>
  <si>
    <t>B1635</t>
  </si>
  <si>
    <t>X-22K - C920</t>
  </si>
  <si>
    <t>X-22K-Đ-C920</t>
  </si>
  <si>
    <t>Bộ xà kép L75x75x8 dài 2.2m: X-22K-Đ-C920</t>
  </si>
  <si>
    <t>SL50-920</t>
  </si>
  <si>
    <t>LXINl</t>
  </si>
  <si>
    <t>X-22K-K-C920</t>
  </si>
  <si>
    <t>Bộ xà kép L75x75x8 dài 2.2m: X-22K-K-C920</t>
  </si>
  <si>
    <t>X-24Đ</t>
  </si>
  <si>
    <t xml:space="preserve">Bộ xà đơn L75x75x8 dài 2.4m: X-24Đ </t>
  </si>
  <si>
    <t>X-24K</t>
  </si>
  <si>
    <t xml:space="preserve">Bộ xà kép L75x75x8 dài 2.4m: X-24K </t>
  </si>
  <si>
    <t>TL X-26K</t>
  </si>
  <si>
    <t xml:space="preserve">Tháo và lắp bộ xà kép L75x75x8 dài 2.6m: X-26K_trụ PI </t>
  </si>
  <si>
    <t>X-8ĐL</t>
  </si>
  <si>
    <t>Bộ xà lệch đơn L75x75x8 dài 0,8m: X-8ĐL</t>
  </si>
  <si>
    <t>X-8KL</t>
  </si>
  <si>
    <t>Bộ xà lệch kép L75x75x8 dài 0,8m: X-8KL</t>
  </si>
  <si>
    <t>B16400V</t>
  </si>
  <si>
    <t>LXINN</t>
  </si>
  <si>
    <t>X-21ĐL</t>
  </si>
  <si>
    <t>Bộ xà lệch đơn L75x75x8 dài 2,1m: X-21ĐL</t>
  </si>
  <si>
    <t>SL75-2100</t>
  </si>
  <si>
    <t>SL50-1190</t>
  </si>
  <si>
    <t>S50</t>
  </si>
  <si>
    <t>LXITl</t>
  </si>
  <si>
    <t>X-21KL</t>
  </si>
  <si>
    <t>Bộ xà lệch kép L75x75x8 dài 2,1m: X-21KL</t>
  </si>
  <si>
    <t>X-20KL2/3</t>
  </si>
  <si>
    <t>Bộ xà lệch kép L75x75x8 dài 2m: X-20KL2/3</t>
  </si>
  <si>
    <t>X-24ĐP</t>
  </si>
  <si>
    <t>Bộ xà đơn 2400 trụ Pi tim 1400: X-24ĐP</t>
  </si>
  <si>
    <t>X-24KP</t>
  </si>
  <si>
    <t>Bộ xà kép 2400 trụ Pi tim 1400: X-24KP</t>
  </si>
  <si>
    <t>X-26ĐP</t>
  </si>
  <si>
    <t>Bộ xà đơn 2600 trụ Pi tim 2400: X-26ĐP</t>
  </si>
  <si>
    <t>Sắt góc L75 x75 x8</t>
  </si>
  <si>
    <t>Boulon 16x250+ long đền vuông</t>
  </si>
  <si>
    <t>Lắp xà cột Pi loại ≤140kg/xà</t>
  </si>
  <si>
    <t>Bốc dỡ xà, thép thanh</t>
  </si>
  <si>
    <t>02.1361</t>
  </si>
  <si>
    <t>V/c xà vào vị trí (cư ly &lt;=100m)</t>
  </si>
  <si>
    <t>02.1482</t>
  </si>
  <si>
    <t>V/c dụng cụ thi công ( cự ly &lt;=100m)</t>
  </si>
  <si>
    <t>X-26KP</t>
  </si>
  <si>
    <t>Bộ xà kép 2600 trụ Pi tim 2400: X-26KP</t>
  </si>
  <si>
    <t>Boulon 16x300VRS+ long đền vuông</t>
  </si>
  <si>
    <t>X-28KP</t>
  </si>
  <si>
    <t>Bộ xà kép 2800 trụ Pi tim 1400: X-28KP</t>
  </si>
  <si>
    <t>Giá nới + ty móc Þ16x50, ghép 2PL4x40x350 (2x0,45kg)</t>
  </si>
  <si>
    <t>X-30KP</t>
  </si>
  <si>
    <t>Bộ xà kép 3000 trụ Pi tim 1400: X-30KP</t>
  </si>
  <si>
    <t>S60</t>
  </si>
  <si>
    <t>X-38Đ</t>
  </si>
  <si>
    <t>Bộ xà đỡ đơn L75x75x8 dài 3,8m: X-38Đ</t>
  </si>
  <si>
    <t>X-42KP</t>
  </si>
  <si>
    <t>Bộ xà kép 4200 trụ Pi tim 1700: X-42KP</t>
  </si>
  <si>
    <t>X-24KP500</t>
  </si>
  <si>
    <t>Bộ xà kép 2400 trụ Pi tim 500: X-24KP500</t>
  </si>
  <si>
    <t>Sl50</t>
  </si>
  <si>
    <t>G-20KP</t>
  </si>
  <si>
    <t>Bộ thanh giằng trụ Pi tim 1400: G-20KP</t>
  </si>
  <si>
    <t>cd240</t>
  </si>
  <si>
    <t>cd250</t>
  </si>
  <si>
    <t>G-23KP</t>
  </si>
  <si>
    <t>Bộ thanh giằng trụ Pi tim 1700: G-23KP</t>
  </si>
  <si>
    <t>eke300</t>
  </si>
  <si>
    <t>G-720</t>
  </si>
  <si>
    <t>Bộ thanh giằng trụ Pi tim 500: G-720</t>
  </si>
  <si>
    <t>CODE th-Þ240</t>
  </si>
  <si>
    <t>Bộ CODE lắp néo trung hòa: CODE th-Þ240</t>
  </si>
  <si>
    <t>X-24COMPOSITE</t>
  </si>
  <si>
    <t>X-com800</t>
  </si>
  <si>
    <t>Bộ xà composite 0,8m bắt FCO</t>
  </si>
  <si>
    <t>com800</t>
  </si>
  <si>
    <t>Bộ xà composite 2,4m bắt FCO</t>
  </si>
  <si>
    <t>CX-ht</t>
  </si>
  <si>
    <t>Bộ chằng xuống đơn cho trụ hạ thế: CX.ht</t>
  </si>
  <si>
    <t>SN</t>
  </si>
  <si>
    <t>K3B</t>
  </si>
  <si>
    <t>C3/8</t>
  </si>
  <si>
    <t>YC</t>
  </si>
  <si>
    <t>MANG</t>
  </si>
  <si>
    <t>PK</t>
  </si>
  <si>
    <t>T CL-ht</t>
  </si>
  <si>
    <t>Tháo bộ chằng lệch đơn cho trụ hạ thế: CL.ht</t>
  </si>
  <si>
    <t>CL-ht</t>
  </si>
  <si>
    <t>Bộ chằng lệch đơn cho trụ hạ thế: CL.ht</t>
  </si>
  <si>
    <t>CLHT</t>
  </si>
  <si>
    <t>CX10-B</t>
  </si>
  <si>
    <t>Bộ chằng xuống đơn cho trụ 10,5m: CX10-B</t>
  </si>
  <si>
    <t>CL10-B</t>
  </si>
  <si>
    <t>Bộ chằng lệch đơn cho trụ 10,5m: CL10-B</t>
  </si>
  <si>
    <t>CL</t>
  </si>
  <si>
    <t>CXX10-B</t>
  </si>
  <si>
    <t>Bộ chằng xuống kép cho trụ 10,5m: CXX10-B</t>
  </si>
  <si>
    <t>T CX12-B</t>
  </si>
  <si>
    <t>Tháo bộ chằng xuống đơn cho trụ 12m: CX12-B</t>
  </si>
  <si>
    <t>CX12-B</t>
  </si>
  <si>
    <t>Bộ chằng xuống đơn cho trụ 12m: CX12-B</t>
  </si>
  <si>
    <t>C5/8</t>
  </si>
  <si>
    <t>C5/8m</t>
  </si>
  <si>
    <t>Tháo lắp bộ chằng xuống</t>
  </si>
  <si>
    <t>T CL12-B</t>
  </si>
  <si>
    <t>Tháo bộ chằng lệch đơn cho trụ 12m: CL12-B</t>
  </si>
  <si>
    <t>CL12-B</t>
  </si>
  <si>
    <t>Bộ chằng lệch đơn cho trụ 12m: CL12-B</t>
  </si>
  <si>
    <t>CXX12-B</t>
  </si>
  <si>
    <t>Bộ chằng xuống kép cho trụ 12m: CXX12-B</t>
  </si>
  <si>
    <t>CX14-B</t>
  </si>
  <si>
    <t>Bộ chằng xuống đơn cho trụ 14m: CX14-B</t>
  </si>
  <si>
    <t>CL14-B</t>
  </si>
  <si>
    <t>Bộ chằng lệch đơn cho trụ 14m: CL14-B</t>
  </si>
  <si>
    <t>CXX14-B</t>
  </si>
  <si>
    <t>Bộ chằng xuống kép cho trụ 14m: CXX14-B</t>
  </si>
  <si>
    <t>CK-B</t>
  </si>
  <si>
    <t>Bộ chằng vượt đơn: CK-B</t>
  </si>
  <si>
    <t>CKK-B</t>
  </si>
  <si>
    <t>Bộ chằng vượt kép: CKK-B</t>
  </si>
  <si>
    <t>CX10-C</t>
  </si>
  <si>
    <t>Bộ chằng xuống đơn cho trụ 10,5m: CX10-C</t>
  </si>
  <si>
    <t>cd195</t>
  </si>
  <si>
    <t>KH4/0</t>
  </si>
  <si>
    <t>mt</t>
  </si>
  <si>
    <t>B16100V</t>
  </si>
  <si>
    <t>XLCD</t>
  </si>
  <si>
    <t>CL10-C</t>
  </si>
  <si>
    <t>Bộ chằng lệch đơn cho trụ 10,5m: CL10-C</t>
  </si>
  <si>
    <t>CXX10-C</t>
  </si>
  <si>
    <t>Bộ chằng xuống kép cho trụ 10,5m: CXX10-C</t>
  </si>
  <si>
    <t>cd220</t>
  </si>
  <si>
    <t>CX12-C</t>
  </si>
  <si>
    <t>Bộ chằng xuống đơn cho trụ 12m: CX12-C</t>
  </si>
  <si>
    <t>CL12-C</t>
  </si>
  <si>
    <t>Bộ chằng lệch đơn cho trụ 12m: CL12-C</t>
  </si>
  <si>
    <t>CXX12-C</t>
  </si>
  <si>
    <t>Bộ chằng xuống kép cho trụ 12m: CXX12-C</t>
  </si>
  <si>
    <t>CX14-C</t>
  </si>
  <si>
    <t>Bộ chằng xuống đơn cho trụ 14m: CX14-C</t>
  </si>
  <si>
    <t>CL14-C</t>
  </si>
  <si>
    <t>Bộ chằng lệch đơn cho trụ 14m: CL14-C</t>
  </si>
  <si>
    <t>B16270</t>
  </si>
  <si>
    <t>CXX14-C</t>
  </si>
  <si>
    <t>Bộ chằng xuống kép cho trụ 14m: CXX14-C</t>
  </si>
  <si>
    <t>CX20-C</t>
  </si>
  <si>
    <t>Bộ chằng xuống đơn cho trụ 20m: CX20-C</t>
  </si>
  <si>
    <t>CK-C</t>
  </si>
  <si>
    <t>Bộ chằng vượt đơn: CK-C</t>
  </si>
  <si>
    <t>CKK-C</t>
  </si>
  <si>
    <t>Bộ chằng vượt kép: CKK-C</t>
  </si>
  <si>
    <t>NXX</t>
  </si>
  <si>
    <t>Bộ móng neo xòe cho chằng xuống: NXX</t>
  </si>
  <si>
    <t>TN2224</t>
  </si>
  <si>
    <t>NX</t>
  </si>
  <si>
    <t>bocNX</t>
  </si>
  <si>
    <t>DCTC</t>
  </si>
  <si>
    <t>NXL</t>
  </si>
  <si>
    <t>Bộ móng neo xòe cho chằng lệch: NXL</t>
  </si>
  <si>
    <t xml:space="preserve">MNX12-2 </t>
  </si>
  <si>
    <t>Bộ móng neo 1200x200 cho chằng xuống: MNX12-2</t>
  </si>
  <si>
    <t>TN30</t>
  </si>
  <si>
    <t>DN0212</t>
  </si>
  <si>
    <t>BT</t>
  </si>
  <si>
    <t>DN</t>
  </si>
  <si>
    <t>MNL12-2</t>
  </si>
  <si>
    <t>Bộ móng neo 1200x200 cho chằng lệch: MNL12-2</t>
  </si>
  <si>
    <t>TN1618</t>
  </si>
  <si>
    <t xml:space="preserve">MNX12-4 </t>
  </si>
  <si>
    <t>Bộ móng neo 1200x400 cho chằng xuống: MNX12-4</t>
  </si>
  <si>
    <t>TN37</t>
  </si>
  <si>
    <t>DN0412</t>
  </si>
  <si>
    <t xml:space="preserve">MNL12-4 </t>
  </si>
  <si>
    <t>Bộ móng neo 1200x400 cho chằng lệch: MNL12-4</t>
  </si>
  <si>
    <t xml:space="preserve">MNX15-4 </t>
  </si>
  <si>
    <t>Bộ móng neo 1500x400 cho chằng xuống: MNX15-4</t>
  </si>
  <si>
    <t>DN0415</t>
  </si>
  <si>
    <t>MNL15-4</t>
  </si>
  <si>
    <t>Bộ móng neo 1500x400 cho chằng lệch: MNL15-4</t>
  </si>
  <si>
    <t xml:space="preserve">MNX15-6 </t>
  </si>
  <si>
    <t>Bộ móng neo 1500x600 cho chằng xuống: MNX15-6</t>
  </si>
  <si>
    <t>DN0615</t>
  </si>
  <si>
    <t xml:space="preserve">MNL15-6 </t>
  </si>
  <si>
    <t>Bộ móng neo 1500x600 cho chằng lệch: MNL15-6</t>
  </si>
  <si>
    <t>IV</t>
  </si>
  <si>
    <t>Phần dây, sứ và phụ kiện</t>
  </si>
  <si>
    <t>DDTT3P-ct</t>
  </si>
  <si>
    <t>a</t>
  </si>
  <si>
    <t>Phần trung thế cải tạo</t>
  </si>
  <si>
    <t>Tbộ</t>
  </si>
  <si>
    <t>AC240</t>
  </si>
  <si>
    <t>AC185</t>
  </si>
  <si>
    <t>AC150</t>
  </si>
  <si>
    <t>AC120</t>
  </si>
  <si>
    <t>AC95</t>
  </si>
  <si>
    <t>AC70</t>
  </si>
  <si>
    <t>AC50</t>
  </si>
  <si>
    <t>ACXV50</t>
  </si>
  <si>
    <t>XLPE240A</t>
  </si>
  <si>
    <t>XLPE185A</t>
  </si>
  <si>
    <t>XLPE150A</t>
  </si>
  <si>
    <t>XLPE120A</t>
  </si>
  <si>
    <t>XLPE95A</t>
  </si>
  <si>
    <t>XLPE70A</t>
  </si>
  <si>
    <t>Đth-U</t>
  </si>
  <si>
    <t>Bộ Uclevis đỡ dây trung hòa: Đth-U</t>
  </si>
  <si>
    <t>Nth-U</t>
  </si>
  <si>
    <t>Bộ Uclevis néo dây trung hòa vào trụ: Nth-U</t>
  </si>
  <si>
    <t>K50</t>
  </si>
  <si>
    <t>Nth-T</t>
  </si>
  <si>
    <t>Bộ khóa néo dây trung hòa vào trụ: Nth-T</t>
  </si>
  <si>
    <t>kn50</t>
  </si>
  <si>
    <t>Nth-X</t>
  </si>
  <si>
    <t>Bộ khóa néo dây trung hòa vào xà: Nth-X</t>
  </si>
  <si>
    <t>SĐU</t>
  </si>
  <si>
    <t>Bộ cách điện đứng+ty sứ : SĐU</t>
  </si>
  <si>
    <t>SĐI</t>
  </si>
  <si>
    <t>Bộ cách điện đỉnh+ty sứ đơn : SĐI</t>
  </si>
  <si>
    <t>SĐG</t>
  </si>
  <si>
    <t>Bộ cách điện đỉnh góc + ty sứ đơn : SĐG</t>
  </si>
  <si>
    <t>CSDG</t>
  </si>
  <si>
    <t>CĐT 2BAT-T</t>
  </si>
  <si>
    <t>Chuỗi sứ treo 2bát 25kV lắp vào trụ : CĐT 2BAT-T</t>
  </si>
  <si>
    <t>chuỗi</t>
  </si>
  <si>
    <t>St</t>
  </si>
  <si>
    <t>VT</t>
  </si>
  <si>
    <t>MND</t>
  </si>
  <si>
    <t>Bm16300</t>
  </si>
  <si>
    <t>CĐT 2BAT-X</t>
  </si>
  <si>
    <t>Chuỗi sứ treo 2bát 24kV lắp vào xà : CĐT 2BAT-X</t>
  </si>
  <si>
    <t>ST</t>
  </si>
  <si>
    <t>CĐT ply-X</t>
  </si>
  <si>
    <t>Chuỗi sứ treo Polymer 25kV lắp vào xà : CĐT ply-X</t>
  </si>
  <si>
    <t>Bộ khóa néo, đỡ dây</t>
  </si>
  <si>
    <t>KD240</t>
  </si>
  <si>
    <t>KD185</t>
  </si>
  <si>
    <t>KD150</t>
  </si>
  <si>
    <t>KD120</t>
  </si>
  <si>
    <t>KD95</t>
  </si>
  <si>
    <t>KD70</t>
  </si>
  <si>
    <t>KD50</t>
  </si>
  <si>
    <t>KN240</t>
  </si>
  <si>
    <t>KN150</t>
  </si>
  <si>
    <t>KN120</t>
  </si>
  <si>
    <t>KN95</t>
  </si>
  <si>
    <t>KN70</t>
  </si>
  <si>
    <t>KN50</t>
  </si>
  <si>
    <t>k50</t>
  </si>
  <si>
    <t>k70</t>
  </si>
  <si>
    <t>k95</t>
  </si>
  <si>
    <t>ke95</t>
  </si>
  <si>
    <t>kE150</t>
  </si>
  <si>
    <t>ke185</t>
  </si>
  <si>
    <t>kE240</t>
  </si>
  <si>
    <t>cose70</t>
  </si>
  <si>
    <t>cose95</t>
  </si>
  <si>
    <t>cose120</t>
  </si>
  <si>
    <t>cose150</t>
  </si>
  <si>
    <t>cose185</t>
  </si>
  <si>
    <t>cose240</t>
  </si>
  <si>
    <t>KQ4/0</t>
  </si>
  <si>
    <t>ON50</t>
  </si>
  <si>
    <t>ON70</t>
  </si>
  <si>
    <t>ON95</t>
  </si>
  <si>
    <t>ON120</t>
  </si>
  <si>
    <t>ON150</t>
  </si>
  <si>
    <t>ON185</t>
  </si>
  <si>
    <t>ON240</t>
  </si>
  <si>
    <t>DAYA</t>
  </si>
  <si>
    <t>bnh</t>
  </si>
  <si>
    <t>KDAC50</t>
  </si>
  <si>
    <t>Thu hồi dây nhôm lõi thép AC 50mm2</t>
  </si>
  <si>
    <t>KDAC70</t>
  </si>
  <si>
    <t>KDAC95</t>
  </si>
  <si>
    <t>KDAC120</t>
  </si>
  <si>
    <t>KDAC150</t>
  </si>
  <si>
    <t>KDACXV50</t>
  </si>
  <si>
    <t>KDAC185</t>
  </si>
  <si>
    <t>KDAC240</t>
  </si>
  <si>
    <t>KDA70B</t>
  </si>
  <si>
    <t>KDA95B</t>
  </si>
  <si>
    <t>KDA120B</t>
  </si>
  <si>
    <t>KDA150B</t>
  </si>
  <si>
    <t>KDA185B</t>
  </si>
  <si>
    <t>KDA240B</t>
  </si>
  <si>
    <t>LCHSD</t>
  </si>
  <si>
    <t>LCHSN</t>
  </si>
  <si>
    <t>Tháo chuỗi sứ néo polymer</t>
  </si>
  <si>
    <t>Lắp sứ đứng 24KV</t>
  </si>
  <si>
    <t>LSOC</t>
  </si>
  <si>
    <t>tháo uclevis + sứ ống chỉ</t>
  </si>
  <si>
    <t>LR3</t>
  </si>
  <si>
    <t>Tháo R3 + sứ ống chỉ</t>
  </si>
  <si>
    <t>LFCO</t>
  </si>
  <si>
    <t>Tháo FCO 24kV - 100A</t>
  </si>
  <si>
    <t>Tháo LA 18kV 10kA</t>
  </si>
  <si>
    <t>Lắp LA 18kV 10kA</t>
  </si>
  <si>
    <t>LGFCO</t>
  </si>
  <si>
    <t>Tháo giá đỡ FCO</t>
  </si>
  <si>
    <t>Lắp giá đỡ FCO</t>
  </si>
  <si>
    <t>KDQG2</t>
  </si>
  <si>
    <t>KDQS</t>
  </si>
  <si>
    <t>bocd</t>
  </si>
  <si>
    <t>DAY</t>
  </si>
  <si>
    <t>DDTT3P2m-m</t>
  </si>
  <si>
    <t>b</t>
  </si>
  <si>
    <t>Phân trung thế 3 pha XD mới 2 mạch</t>
  </si>
  <si>
    <t>kn120</t>
  </si>
  <si>
    <t>KE120</t>
  </si>
  <si>
    <t>Chuỗi sứ đỡ 2bát 25kV lắp vào trụ : CĐT 2BAT-T</t>
  </si>
  <si>
    <t>CĐT pty-X</t>
  </si>
  <si>
    <t>Chuỗi sứ treo Polymer 25kV lắp vào xà : CĐT 2BAT-X</t>
  </si>
  <si>
    <t>Chuỗi sứ treo 2 bat 25kV lắp vào xà : CĐT ply-X</t>
  </si>
  <si>
    <t>GNIU</t>
  </si>
  <si>
    <t>ke240</t>
  </si>
  <si>
    <t>k240</t>
  </si>
  <si>
    <t>LCSD</t>
  </si>
  <si>
    <t>DDTT3P1m-m</t>
  </si>
  <si>
    <t>Phần trung thế 3 pha xây dựng mới</t>
  </si>
  <si>
    <t>XLPE50A</t>
  </si>
  <si>
    <t>M38</t>
  </si>
  <si>
    <t>Bộ Uclevis đỡ dây trung hòa: Đth-U (trụ đơn)</t>
  </si>
  <si>
    <t>Đth-U-g</t>
  </si>
  <si>
    <t>Bộ Uclevis đỡ dây trung hòa trụ ghép: Đth-U-g (trụ ghép)</t>
  </si>
  <si>
    <t>Đth-X</t>
  </si>
  <si>
    <t>Bộ Uclevis đỡ dây trung hòa vào xà: Đth-X</t>
  </si>
  <si>
    <t>Nth-T-g</t>
  </si>
  <si>
    <t>Bộ khóa néo dây trung hòa vào trụ: Nth-T-g</t>
  </si>
  <si>
    <t>BulonVRS + ĐO</t>
  </si>
  <si>
    <t>Bộ khóa néo dây trung hòa vào xa: Nth-X</t>
  </si>
  <si>
    <t>Chuỗi sứ treo 2bát 25kV lắp vào xà : CĐT 2BAT-X</t>
  </si>
  <si>
    <t>CĐTply-X</t>
  </si>
  <si>
    <t>kn185</t>
  </si>
  <si>
    <t>khanhkep</t>
  </si>
  <si>
    <t>gniu</t>
  </si>
  <si>
    <t>CĐTply-T</t>
  </si>
  <si>
    <t>Chuỗi sứ treo Polymer 25kV lắp vào trụ: CĐT ply-T</t>
  </si>
  <si>
    <t>cdtru140</t>
  </si>
  <si>
    <t>Cổ dê băt xà</t>
  </si>
  <si>
    <t>B1040</t>
  </si>
  <si>
    <t>Phụ kiện đấu nối đầu đường dây</t>
  </si>
  <si>
    <t>oxc50</t>
  </si>
  <si>
    <t>ke35</t>
  </si>
  <si>
    <t>ke70</t>
  </si>
  <si>
    <t>k150</t>
  </si>
  <si>
    <t>cose50</t>
  </si>
  <si>
    <t>cos95</t>
  </si>
  <si>
    <t>cos120</t>
  </si>
  <si>
    <t>cos150</t>
  </si>
  <si>
    <t>ssf50</t>
  </si>
  <si>
    <t>CHQ-H</t>
  </si>
  <si>
    <t>CDTRUDOI</t>
  </si>
  <si>
    <t>R2</t>
  </si>
  <si>
    <t>R3</t>
  </si>
  <si>
    <t>R4</t>
  </si>
  <si>
    <t>b16350</t>
  </si>
  <si>
    <t>batliA</t>
  </si>
  <si>
    <t>DAYA70</t>
  </si>
  <si>
    <t>KDM25</t>
  </si>
  <si>
    <t>KDM25b</t>
  </si>
  <si>
    <t>KDM50b</t>
  </si>
  <si>
    <t>KDA50B</t>
  </si>
  <si>
    <t xml:space="preserve">Tháo chuỗi sứ néo Polymer đường dây 1 pha </t>
  </si>
  <si>
    <t>Tháo sứ đứng</t>
  </si>
  <si>
    <t>LSD_T</t>
  </si>
  <si>
    <t>Tháo chuỗi sứ néo 2 bát/chuỗi hiện hữu: sử dụng lại</t>
  </si>
  <si>
    <t>la18</t>
  </si>
  <si>
    <t>KNGUNG95</t>
  </si>
  <si>
    <t>BMOC16300</t>
  </si>
  <si>
    <t>GIATFCO</t>
  </si>
  <si>
    <t>Tháo giá T hiện hữu đầu nhánh: trả điện lực Thống Nhất</t>
  </si>
  <si>
    <t>GUFCO</t>
  </si>
  <si>
    <t>Tháo sứ đỉnh hiện hữu: sử dụng lại sứ, thu hồi ty sứ</t>
  </si>
  <si>
    <t>Tháo lắp bộ chằng xuống (tháo + lắp)</t>
  </si>
  <si>
    <t>Tháo rack sứ + sứ ống chỉ</t>
  </si>
  <si>
    <t>Lr2</t>
  </si>
  <si>
    <t>lr3</t>
  </si>
  <si>
    <t>Tháo rack 3 sứ + sứ ống chỉ</t>
  </si>
  <si>
    <t>Lr3</t>
  </si>
  <si>
    <t>lr4</t>
  </si>
  <si>
    <t>Tháo rack 4 sứ + sứ ống chỉ</t>
  </si>
  <si>
    <t>Lr4</t>
  </si>
  <si>
    <t>DDTT1P-m</t>
  </si>
  <si>
    <t>Phần trung thế 1 pha XD mới</t>
  </si>
  <si>
    <t>Chuỗi sứ treo Polymer 25kV lắp vào trụ : CĐT ply-T</t>
  </si>
  <si>
    <t>KDPLY</t>
  </si>
  <si>
    <t>Chuỗi sứ đỡ 2bát 25kV lắp vào xà : CĐT 2BAT-X</t>
  </si>
  <si>
    <t>kn70</t>
  </si>
  <si>
    <t>kE50</t>
  </si>
  <si>
    <t>ccdqu</t>
  </si>
  <si>
    <t>c3/8</t>
  </si>
  <si>
    <t>BBD</t>
  </si>
  <si>
    <t>Kéo dây vượt sông</t>
  </si>
  <si>
    <t>DDHTDL</t>
  </si>
  <si>
    <t>Phần hạ thế độc lập xây dựng mới</t>
  </si>
  <si>
    <t>AV95</t>
  </si>
  <si>
    <t>AV50</t>
  </si>
  <si>
    <t>ABC3x50</t>
  </si>
  <si>
    <t>ABC3x70</t>
  </si>
  <si>
    <t>ABC4x50</t>
  </si>
  <si>
    <t>ABC4x70</t>
  </si>
  <si>
    <t>ABC4x95</t>
  </si>
  <si>
    <t>ABC4x150</t>
  </si>
  <si>
    <t>XLPE350+35DHT</t>
  </si>
  <si>
    <t>COSE50</t>
  </si>
  <si>
    <t>COSE70</t>
  </si>
  <si>
    <t>B1250TH</t>
  </si>
  <si>
    <t>GIP50-25</t>
  </si>
  <si>
    <t>GIP50-50</t>
  </si>
  <si>
    <t>Ghíp nối IPC 70-35 2 bulong</t>
  </si>
  <si>
    <t>GIP70-70</t>
  </si>
  <si>
    <t>GIP95-70</t>
  </si>
  <si>
    <t>GIP150-70</t>
  </si>
  <si>
    <t>GIP95-150</t>
  </si>
  <si>
    <t>GIP95-25</t>
  </si>
  <si>
    <t>GIP95-95</t>
  </si>
  <si>
    <t>GIP95-50</t>
  </si>
  <si>
    <t>KE399</t>
  </si>
  <si>
    <t>HOP6C</t>
  </si>
  <si>
    <t>HOP9C</t>
  </si>
  <si>
    <t>Hộp phân phối loại 9CB (rỗng)</t>
  </si>
  <si>
    <t>KTREO120</t>
  </si>
  <si>
    <t>KTREO95</t>
  </si>
  <si>
    <t>KTREO70</t>
  </si>
  <si>
    <t>KTREO50</t>
  </si>
  <si>
    <t>MTREO A</t>
  </si>
  <si>
    <t>KNGUNG150</t>
  </si>
  <si>
    <t>KNGUNG70</t>
  </si>
  <si>
    <t>KNGUNG50</t>
  </si>
  <si>
    <t>BIT150</t>
  </si>
  <si>
    <t>BIT95</t>
  </si>
  <si>
    <t>BIT70</t>
  </si>
  <si>
    <t>BIT50</t>
  </si>
  <si>
    <t>BIT35</t>
  </si>
  <si>
    <t>TDLLCD</t>
  </si>
  <si>
    <t>HopCBpd</t>
  </si>
  <si>
    <t>mocdung</t>
  </si>
  <si>
    <t xml:space="preserve">MTREO </t>
  </si>
  <si>
    <t>r2</t>
  </si>
  <si>
    <t>r3</t>
  </si>
  <si>
    <t>r4s</t>
  </si>
  <si>
    <t>TUPP</t>
  </si>
  <si>
    <t>PVC60</t>
  </si>
  <si>
    <t>CD60</t>
  </si>
  <si>
    <t>CUT60</t>
  </si>
  <si>
    <t>abc4x150</t>
  </si>
  <si>
    <t>pvc114</t>
  </si>
  <si>
    <t>cut114t</t>
  </si>
  <si>
    <t>BMoc16250</t>
  </si>
  <si>
    <t>BMoc16300</t>
  </si>
  <si>
    <t>B16500V</t>
  </si>
  <si>
    <t>cdtrudoiHT</t>
  </si>
  <si>
    <t>TUN</t>
  </si>
  <si>
    <t>KCN4KG</t>
  </si>
  <si>
    <t>KCN3KG</t>
  </si>
  <si>
    <t>KDAABC150</t>
  </si>
  <si>
    <t>KDAABC95</t>
  </si>
  <si>
    <t>KDAABC70</t>
  </si>
  <si>
    <t>KDAABC50</t>
  </si>
  <si>
    <t>Kéo dây ABC 3x50mm2</t>
  </si>
  <si>
    <t>LR2</t>
  </si>
  <si>
    <t>LR4</t>
  </si>
  <si>
    <t>LBNH</t>
  </si>
  <si>
    <t>DDHTHH</t>
  </si>
  <si>
    <t>c</t>
  </si>
  <si>
    <t>Phần hạ thế cải tạo</t>
  </si>
  <si>
    <t>Duplex 211</t>
  </si>
  <si>
    <t>r1</t>
  </si>
  <si>
    <t>r4</t>
  </si>
  <si>
    <t>soc</t>
  </si>
  <si>
    <t>Lsoc</t>
  </si>
  <si>
    <t>f</t>
  </si>
  <si>
    <t>Phần hạ thế chiếu sáng</t>
  </si>
  <si>
    <t>Duplex 316</t>
  </si>
  <si>
    <t>Duplex 411</t>
  </si>
  <si>
    <t>Duplex 416</t>
  </si>
  <si>
    <t>abc4x50</t>
  </si>
  <si>
    <t>CV16</t>
  </si>
  <si>
    <t>CV2,5</t>
  </si>
  <si>
    <t>CVV2x2,5</t>
  </si>
  <si>
    <t>CDDOI</t>
  </si>
  <si>
    <t>CDDON+C</t>
  </si>
  <si>
    <t>cd-sonadezi</t>
  </si>
  <si>
    <t>DEN</t>
  </si>
  <si>
    <t>tudkcs</t>
  </si>
  <si>
    <t>cut60</t>
  </si>
  <si>
    <t>DCAPHT350</t>
  </si>
  <si>
    <t>GIP150-50</t>
  </si>
  <si>
    <t>COSE16</t>
  </si>
  <si>
    <t>CHI5</t>
  </si>
  <si>
    <t>BAKE6200</t>
  </si>
  <si>
    <t>KTREO35</t>
  </si>
  <si>
    <t>KNGUNG35</t>
  </si>
  <si>
    <t>GIP35-35</t>
  </si>
  <si>
    <t>BMOC16250</t>
  </si>
  <si>
    <t>keu50</t>
  </si>
  <si>
    <t>STK60</t>
  </si>
  <si>
    <t>STK42</t>
  </si>
  <si>
    <t>LPVC60CL CS</t>
  </si>
  <si>
    <t>LSTK120d CS</t>
  </si>
  <si>
    <t>KCAPDEN</t>
  </si>
  <si>
    <t>LDAUCAPCS</t>
  </si>
  <si>
    <t>LCAN+c</t>
  </si>
  <si>
    <t>LDEN</t>
  </si>
  <si>
    <t>LUONDAY</t>
  </si>
  <si>
    <t>lcauchi</t>
  </si>
  <si>
    <t>LBAKE</t>
  </si>
  <si>
    <t>Hotline</t>
  </si>
  <si>
    <t>V</t>
  </si>
  <si>
    <t>Phần đấu nối HOTLINE</t>
  </si>
  <si>
    <t>TBDD3pct</t>
  </si>
  <si>
    <t>VI</t>
  </si>
  <si>
    <t>Phần thiết bị đường dây 3 pha cải tạo</t>
  </si>
  <si>
    <t>LTD</t>
  </si>
  <si>
    <t>lbfco200-22</t>
  </si>
  <si>
    <t>FCO200-22</t>
  </si>
  <si>
    <t>chi12k</t>
  </si>
  <si>
    <t>ccđfco</t>
  </si>
  <si>
    <t>DS1P</t>
  </si>
  <si>
    <t>DS3p</t>
  </si>
  <si>
    <t>LBS 16</t>
  </si>
  <si>
    <t>Recloser</t>
  </si>
  <si>
    <t>TBDD3p2m</t>
  </si>
  <si>
    <t>Phần thiết bị đường dây 3 pha XDM 2 mạch</t>
  </si>
  <si>
    <t>lbfco100-22</t>
  </si>
  <si>
    <t>TBDD3p1m</t>
  </si>
  <si>
    <t>Phần thiết bị đường dây 3 pha 1 mạch</t>
  </si>
  <si>
    <t>chi80K</t>
  </si>
  <si>
    <t>chi100K</t>
  </si>
  <si>
    <t>chi8k</t>
  </si>
  <si>
    <t>ti20</t>
  </si>
  <si>
    <t>dk3dt</t>
  </si>
  <si>
    <t>batLI</t>
  </si>
  <si>
    <t>TĐĐ</t>
  </si>
  <si>
    <t>VIII</t>
  </si>
  <si>
    <t>Phần vật liệu trụ đo đếm</t>
  </si>
  <si>
    <t>CD25x2</t>
  </si>
  <si>
    <t>bangnhua</t>
  </si>
  <si>
    <t>cd320</t>
  </si>
  <si>
    <t>b12150</t>
  </si>
  <si>
    <t>TBDD1p</t>
  </si>
  <si>
    <t>Phần thiết bị đường dây trung thế 1 pha XDM</t>
  </si>
  <si>
    <t>chi8K</t>
  </si>
  <si>
    <t>chi10K</t>
  </si>
  <si>
    <t>chi12K</t>
  </si>
  <si>
    <t>TBHT</t>
  </si>
  <si>
    <t xml:space="preserve">Phần thiết bị đường dây hạ thế </t>
  </si>
  <si>
    <t>DK3P</t>
  </si>
  <si>
    <t>COTATOR</t>
  </si>
  <si>
    <t>BBVS</t>
  </si>
  <si>
    <t>XI</t>
  </si>
  <si>
    <t>Phần biển báo vượt sông</t>
  </si>
  <si>
    <t>CBH9</t>
  </si>
  <si>
    <t>Cột báo hiệu cao 9m</t>
  </si>
  <si>
    <t>Cột</t>
  </si>
  <si>
    <t>SO12</t>
  </si>
  <si>
    <t>thept6</t>
  </si>
  <si>
    <t>qhan</t>
  </si>
  <si>
    <t>soncr</t>
  </si>
  <si>
    <t>son</t>
  </si>
  <si>
    <t>oxy</t>
  </si>
  <si>
    <t>axetylen</t>
  </si>
  <si>
    <t>coson</t>
  </si>
  <si>
    <t>LCbh9</t>
  </si>
  <si>
    <t>SonCBH</t>
  </si>
  <si>
    <t>VCT</t>
  </si>
  <si>
    <t>BBH1212</t>
  </si>
  <si>
    <t>Biển báo hiệu 1.2mx1.2m</t>
  </si>
  <si>
    <t>Biển</t>
  </si>
  <si>
    <t>SL45</t>
  </si>
  <si>
    <t>Thept4</t>
  </si>
  <si>
    <t>Thept2</t>
  </si>
  <si>
    <t>LBbh</t>
  </si>
  <si>
    <t>SonBBH</t>
  </si>
  <si>
    <t>MCBH1212</t>
  </si>
  <si>
    <t>Móng cột báo hiệu 1.2mx1.2m</t>
  </si>
  <si>
    <t>D1x2</t>
  </si>
  <si>
    <t>D4x6</t>
  </si>
  <si>
    <t>NU</t>
  </si>
  <si>
    <t>Thepb</t>
  </si>
  <si>
    <t>CT25</t>
  </si>
  <si>
    <t>MDD2</t>
  </si>
  <si>
    <t>MDAp2</t>
  </si>
  <si>
    <t>XIMANG</t>
  </si>
  <si>
    <t>DADAM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</si>
</sst>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#,##0.000"/>
    <numFmt numFmtId="165" formatCode="#,##0.0"/>
    <numFmt numFmtId="166" formatCode="_(* #,##0.00_);_(* \(#,##0.00\);_(* &quot;-&quot;??_);_(@_)"/>
    <numFmt numFmtId="167" formatCode="_(* #,##0_);_(* \(#,##0\);_(* &quot;-&quot;??_);_(@_)"/>
    <numFmt numFmtId="168" formatCode="&quot;BAÛNG  &quot;#"/>
    <numFmt numFmtId="169" formatCode="0.0"/>
    <numFmt numFmtId="170" formatCode="#,##0.0000"/>
    <numFmt numFmtId="171" formatCode="_(* #,##0.000_);_(* \(#,##0.000\);_(* &quot;-&quot;??_);_(@_)"/>
    <numFmt numFmtId="172" formatCode="_(* #,##0.0_);_(* \(#,##0.0\);_(* &quot;-&quot;??_);_(@_)"/>
    <numFmt numFmtId="173" formatCode="_(* #,##0.0000_);_(* \(#,##0.0000\);_(* &quot;-&quot;??_);_(@_)"/>
    <numFmt numFmtId="174" formatCode="00&quot;m&quot;"/>
    <numFmt numFmtId="175" formatCode="###,###&quot; m&quot;"/>
    <numFmt numFmtId="176" formatCode="&quot;KD&quot;###"/>
    <numFmt numFmtId="177" formatCode="###,###.0&quot; m&quot;"/>
    <numFmt numFmtId="178" formatCode="0.0000"/>
  </numFmts>
  <fonts count="49">
    <font>
      <sz val="13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11"/>
      <name val="Times New Roman"/>
      <family val="1"/>
    </font>
    <font>
      <sz val="11"/>
      <color indexed="12"/>
      <name val="Times New Roman"/>
      <family val="1"/>
    </font>
    <font>
      <sz val="10"/>
      <name val="Arial"/>
      <family val="2"/>
    </font>
    <font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10"/>
      <name val="VNI-Helve-Condense"/>
    </font>
    <font>
      <sz val="11"/>
      <color indexed="10"/>
      <name val="Times New Roman"/>
      <family val="1"/>
    </font>
    <font>
      <b/>
      <sz val="11"/>
      <color indexed="10"/>
      <name val="Times New Roman"/>
      <family val="1"/>
    </font>
    <font>
      <sz val="12"/>
      <color indexed="10"/>
      <name val="Times New Roman"/>
      <family val="1"/>
    </font>
    <font>
      <sz val="11"/>
      <color indexed="9"/>
      <name val="Times New Roman"/>
      <family val="1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sz val="12"/>
      <color indexed="8"/>
      <name val="Times New Roman"/>
      <family val="1"/>
    </font>
    <font>
      <sz val="10"/>
      <name val="VNI-Times"/>
    </font>
    <font>
      <b/>
      <i/>
      <sz val="12"/>
      <name val="Times New Roman"/>
      <family val="1"/>
    </font>
    <font>
      <sz val="12"/>
      <name val="VNI-Times"/>
    </font>
    <font>
      <u/>
      <sz val="12"/>
      <color indexed="14"/>
      <name val="Times New Roman"/>
      <family val="1"/>
    </font>
    <font>
      <sz val="12"/>
      <color rgb="FF0000FF"/>
      <name val="Times New Roman"/>
      <family val="1"/>
    </font>
    <font>
      <b/>
      <u/>
      <sz val="12"/>
      <color indexed="14"/>
      <name val="Times New Roman"/>
      <family val="1"/>
    </font>
    <font>
      <sz val="10"/>
      <color indexed="8"/>
      <name val="VNI-Helve-Condense"/>
    </font>
    <font>
      <sz val="10"/>
      <name val="VNI-Helve-Condense"/>
    </font>
    <font>
      <sz val="10"/>
      <color indexed="10"/>
      <name val="VNI-Helve-Condense"/>
    </font>
    <font>
      <b/>
      <sz val="10"/>
      <name val="VNI-Helve-Condense"/>
    </font>
    <font>
      <b/>
      <sz val="12"/>
      <color indexed="10"/>
      <name val="Times New Roman"/>
      <family val="1"/>
    </font>
    <font>
      <sz val="10"/>
      <name val="Times New Roman"/>
      <family val="1"/>
    </font>
    <font>
      <sz val="12"/>
      <color theme="0"/>
      <name val="Times New Roman"/>
      <family val="1"/>
    </font>
    <font>
      <sz val="12"/>
      <color rgb="FF00B0F0"/>
      <name val="Times New Roman"/>
      <family val="1"/>
    </font>
    <font>
      <b/>
      <sz val="12"/>
      <color rgb="FF00B0F0"/>
      <name val="Times New Roman"/>
      <family val="1"/>
    </font>
    <font>
      <b/>
      <sz val="12"/>
      <color indexed="81"/>
      <name val="Times New Roman"/>
      <family val="1"/>
    </font>
    <font>
      <b/>
      <sz val="13"/>
      <name val="Times New Roman"/>
      <family val="1"/>
    </font>
    <font>
      <sz val="10"/>
      <color rgb="FFFF0000"/>
      <name val="Times New Roman"/>
      <family val="1"/>
    </font>
    <font>
      <b/>
      <sz val="14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rgb="FFFF0000"/>
      <name val="Times New Roman"/>
      <family val="1"/>
    </font>
    <font>
      <sz val="10"/>
      <color indexed="18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i/>
      <sz val="10"/>
      <name val="Times New Roman"/>
      <family val="1"/>
    </font>
    <font>
      <i/>
      <sz val="12"/>
      <name val="Times New Roman"/>
      <family val="1"/>
    </font>
    <font>
      <b/>
      <i/>
      <sz val="12"/>
      <color theme="0"/>
      <name val="Times New Roman"/>
      <family val="1"/>
    </font>
    <font>
      <i/>
      <sz val="12"/>
      <color indexed="10"/>
      <name val="Times New Roman"/>
      <family val="1"/>
    </font>
    <font>
      <b/>
      <sz val="13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>
      <alignment horizontal="center" vertical="center"/>
    </xf>
    <xf numFmtId="166" fontId="19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21" fillId="0" borderId="0"/>
    <xf numFmtId="0" fontId="1" fillId="0" borderId="0"/>
  </cellStyleXfs>
  <cellXfs count="566">
    <xf numFmtId="0" fontId="0" fillId="0" borderId="0" xfId="0">
      <alignment horizontal="center" vertical="center"/>
    </xf>
    <xf numFmtId="3" fontId="3" fillId="0" borderId="0" xfId="2" applyNumberFormat="1" applyFont="1"/>
    <xf numFmtId="3" fontId="3" fillId="0" borderId="0" xfId="2" applyNumberFormat="1" applyFont="1" applyAlignment="1">
      <alignment wrapText="1"/>
    </xf>
    <xf numFmtId="0" fontId="3" fillId="0" borderId="0" xfId="2" applyFont="1" applyAlignment="1">
      <alignment horizontal="center"/>
    </xf>
    <xf numFmtId="3" fontId="3" fillId="0" borderId="0" xfId="2" applyNumberFormat="1" applyFont="1" applyAlignment="1">
      <alignment horizontal="center"/>
    </xf>
    <xf numFmtId="3" fontId="4" fillId="0" borderId="1" xfId="2" applyNumberFormat="1" applyFont="1" applyBorder="1" applyAlignment="1">
      <alignment horizontal="center" wrapText="1"/>
    </xf>
    <xf numFmtId="3" fontId="6" fillId="2" borderId="1" xfId="3" applyNumberFormat="1" applyFont="1" applyFill="1" applyBorder="1"/>
    <xf numFmtId="0" fontId="6" fillId="2" borderId="1" xfId="3" applyFont="1" applyFill="1" applyBorder="1" applyAlignment="1">
      <alignment horizontal="center"/>
    </xf>
    <xf numFmtId="0" fontId="7" fillId="2" borderId="1" xfId="3" applyFont="1" applyFill="1" applyBorder="1" applyAlignment="1">
      <alignment horizontal="center"/>
    </xf>
    <xf numFmtId="3" fontId="7" fillId="2" borderId="1" xfId="3" applyNumberFormat="1" applyFont="1" applyFill="1" applyBorder="1" applyAlignment="1">
      <alignment horizontal="center"/>
    </xf>
    <xf numFmtId="3" fontId="3" fillId="3" borderId="1" xfId="2" applyNumberFormat="1" applyFont="1" applyFill="1" applyBorder="1" applyAlignment="1">
      <alignment wrapText="1"/>
    </xf>
    <xf numFmtId="3" fontId="6" fillId="2" borderId="1" xfId="2" quotePrefix="1" applyNumberFormat="1" applyFont="1" applyFill="1" applyBorder="1"/>
    <xf numFmtId="0" fontId="8" fillId="2" borderId="1" xfId="3" applyFont="1" applyFill="1" applyBorder="1" applyAlignment="1">
      <alignment horizontal="center"/>
    </xf>
    <xf numFmtId="3" fontId="9" fillId="2" borderId="0" xfId="2" applyNumberFormat="1" applyFont="1" applyFill="1"/>
    <xf numFmtId="3" fontId="9" fillId="2" borderId="1" xfId="2" applyNumberFormat="1" applyFont="1" applyFill="1" applyBorder="1"/>
    <xf numFmtId="3" fontId="7" fillId="2" borderId="1" xfId="3" quotePrefix="1" applyNumberFormat="1" applyFont="1" applyFill="1" applyBorder="1" applyAlignment="1">
      <alignment horizontal="center"/>
    </xf>
    <xf numFmtId="3" fontId="10" fillId="2" borderId="1" xfId="2" applyNumberFormat="1" applyFont="1" applyFill="1" applyBorder="1" applyAlignment="1">
      <alignment horizontal="center"/>
    </xf>
    <xf numFmtId="4" fontId="3" fillId="3" borderId="1" xfId="2" applyNumberFormat="1" applyFont="1" applyFill="1" applyBorder="1" applyAlignment="1">
      <alignment wrapText="1"/>
    </xf>
    <xf numFmtId="3" fontId="11" fillId="2" borderId="1" xfId="3" applyNumberFormat="1" applyFont="1" applyFill="1" applyBorder="1" applyAlignment="1">
      <alignment horizontal="center"/>
    </xf>
    <xf numFmtId="0" fontId="11" fillId="2" borderId="1" xfId="3" applyFont="1" applyFill="1" applyBorder="1" applyAlignment="1">
      <alignment horizontal="center"/>
    </xf>
    <xf numFmtId="3" fontId="6" fillId="2" borderId="1" xfId="3" applyNumberFormat="1" applyFont="1" applyFill="1" applyBorder="1" applyAlignment="1">
      <alignment horizontal="center"/>
    </xf>
    <xf numFmtId="3" fontId="6" fillId="2" borderId="1" xfId="3" quotePrefix="1" applyNumberFormat="1" applyFont="1" applyFill="1" applyBorder="1" applyAlignment="1">
      <alignment horizontal="right"/>
    </xf>
    <xf numFmtId="3" fontId="9" fillId="2" borderId="1" xfId="2" applyNumberFormat="1" applyFont="1" applyFill="1" applyBorder="1" applyAlignment="1">
      <alignment horizontal="center"/>
    </xf>
    <xf numFmtId="3" fontId="9" fillId="2" borderId="2" xfId="2" applyNumberFormat="1" applyFont="1" applyFill="1" applyBorder="1" applyAlignment="1">
      <alignment horizontal="center" vertical="center"/>
    </xf>
    <xf numFmtId="4" fontId="3" fillId="0" borderId="0" xfId="2" applyNumberFormat="1" applyFont="1"/>
    <xf numFmtId="164" fontId="3" fillId="3" borderId="1" xfId="2" applyNumberFormat="1" applyFont="1" applyFill="1" applyBorder="1" applyAlignment="1">
      <alignment wrapText="1"/>
    </xf>
    <xf numFmtId="0" fontId="6" fillId="2" borderId="1" xfId="3" quotePrefix="1" applyFont="1" applyFill="1" applyBorder="1" applyAlignment="1">
      <alignment horizontal="center"/>
    </xf>
    <xf numFmtId="3" fontId="12" fillId="2" borderId="3" xfId="2" applyNumberFormat="1" applyFont="1" applyFill="1" applyBorder="1" applyAlignment="1">
      <alignment horizontal="center" vertical="center"/>
    </xf>
    <xf numFmtId="164" fontId="3" fillId="0" borderId="0" xfId="2" applyNumberFormat="1" applyFont="1"/>
    <xf numFmtId="165" fontId="3" fillId="0" borderId="0" xfId="2" applyNumberFormat="1" applyFont="1"/>
    <xf numFmtId="4" fontId="6" fillId="2" borderId="1" xfId="3" applyNumberFormat="1" applyFont="1" applyFill="1" applyBorder="1" applyAlignment="1">
      <alignment horizontal="center"/>
    </xf>
    <xf numFmtId="4" fontId="6" fillId="2" borderId="2" xfId="3" applyNumberFormat="1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3" fontId="6" fillId="2" borderId="2" xfId="3" applyNumberFormat="1" applyFont="1" applyFill="1" applyBorder="1" applyAlignment="1">
      <alignment horizontal="right"/>
    </xf>
    <xf numFmtId="3" fontId="9" fillId="2" borderId="4" xfId="2" applyNumberFormat="1" applyFont="1" applyFill="1" applyBorder="1" applyAlignment="1">
      <alignment horizontal="center" vertical="center"/>
    </xf>
    <xf numFmtId="0" fontId="6" fillId="2" borderId="2" xfId="3" quotePrefix="1" applyFont="1" applyFill="1" applyBorder="1" applyAlignment="1">
      <alignment horizontal="center"/>
    </xf>
    <xf numFmtId="3" fontId="6" fillId="2" borderId="2" xfId="3" applyNumberFormat="1" applyFont="1" applyFill="1" applyBorder="1" applyAlignment="1">
      <alignment horizontal="center"/>
    </xf>
    <xf numFmtId="4" fontId="13" fillId="2" borderId="2" xfId="3" applyNumberFormat="1" applyFont="1" applyFill="1" applyBorder="1" applyAlignment="1">
      <alignment horizontal="center"/>
    </xf>
    <xf numFmtId="3" fontId="7" fillId="2" borderId="2" xfId="3" applyNumberFormat="1" applyFont="1" applyFill="1" applyBorder="1"/>
    <xf numFmtId="3" fontId="12" fillId="2" borderId="4" xfId="2" applyNumberFormat="1" applyFont="1" applyFill="1" applyBorder="1" applyAlignment="1">
      <alignment horizontal="center" vertical="center"/>
    </xf>
    <xf numFmtId="3" fontId="3" fillId="0" borderId="0" xfId="2" applyNumberFormat="1" applyFont="1" applyAlignment="1">
      <alignment shrinkToFit="1"/>
    </xf>
    <xf numFmtId="3" fontId="13" fillId="2" borderId="2" xfId="3" applyNumberFormat="1" applyFont="1" applyFill="1" applyBorder="1"/>
    <xf numFmtId="165" fontId="7" fillId="2" borderId="2" xfId="3" applyNumberFormat="1" applyFont="1" applyFill="1" applyBorder="1" applyAlignment="1">
      <alignment horizontal="center"/>
    </xf>
    <xf numFmtId="3" fontId="7" fillId="2" borderId="1" xfId="3" applyNumberFormat="1" applyFont="1" applyFill="1" applyBorder="1"/>
    <xf numFmtId="3" fontId="13" fillId="0" borderId="5" xfId="3" applyNumberFormat="1" applyFont="1" applyBorder="1"/>
    <xf numFmtId="0" fontId="13" fillId="0" borderId="5" xfId="3" applyFont="1" applyBorder="1" applyAlignment="1">
      <alignment horizontal="center"/>
    </xf>
    <xf numFmtId="0" fontId="14" fillId="0" borderId="5" xfId="3" applyFont="1" applyBorder="1" applyAlignment="1">
      <alignment horizontal="center"/>
    </xf>
    <xf numFmtId="165" fontId="7" fillId="2" borderId="1" xfId="3" applyNumberFormat="1" applyFont="1" applyFill="1" applyBorder="1" applyAlignment="1">
      <alignment horizontal="center"/>
    </xf>
    <xf numFmtId="3" fontId="14" fillId="0" borderId="0" xfId="3" applyNumberFormat="1" applyFont="1"/>
    <xf numFmtId="3" fontId="14" fillId="0" borderId="0" xfId="3" applyNumberFormat="1" applyFont="1" applyAlignment="1">
      <alignment horizontal="center"/>
    </xf>
    <xf numFmtId="3" fontId="12" fillId="0" borderId="0" xfId="2" applyNumberFormat="1" applyFont="1" applyAlignment="1">
      <alignment horizontal="center" vertical="center"/>
    </xf>
    <xf numFmtId="3" fontId="15" fillId="0" borderId="0" xfId="2" applyNumberFormat="1" applyFont="1" applyAlignment="1">
      <alignment vertical="center"/>
    </xf>
    <xf numFmtId="3" fontId="15" fillId="0" borderId="0" xfId="2" applyNumberFormat="1" applyFont="1" applyAlignment="1">
      <alignment vertical="center" shrinkToFit="1"/>
    </xf>
    <xf numFmtId="0" fontId="16" fillId="0" borderId="0" xfId="0" applyFont="1" applyAlignment="1" applyProtection="1">
      <alignment horizontal="centerContinuous" vertical="center" wrapText="1"/>
      <protection hidden="1"/>
    </xf>
    <xf numFmtId="3" fontId="15" fillId="0" borderId="0" xfId="2" applyNumberFormat="1" applyFont="1" applyAlignment="1">
      <alignment horizontal="centerContinuous" vertical="center"/>
    </xf>
    <xf numFmtId="0" fontId="15" fillId="0" borderId="0" xfId="2" applyFont="1" applyAlignment="1">
      <alignment horizontal="centerContinuous" vertical="center"/>
    </xf>
    <xf numFmtId="3" fontId="15" fillId="0" borderId="0" xfId="2" applyNumberFormat="1" applyFont="1" applyAlignment="1">
      <alignment horizontal="center" vertical="center"/>
    </xf>
    <xf numFmtId="3" fontId="15" fillId="0" borderId="0" xfId="2" applyNumberFormat="1" applyFont="1"/>
    <xf numFmtId="3" fontId="15" fillId="0" borderId="0" xfId="2" applyNumberFormat="1" applyFont="1" applyAlignment="1">
      <alignment shrinkToFit="1"/>
    </xf>
    <xf numFmtId="0" fontId="16" fillId="0" borderId="0" xfId="0" applyFont="1" applyAlignment="1">
      <alignment horizontal="centerContinuous" vertical="center" wrapText="1"/>
    </xf>
    <xf numFmtId="3" fontId="16" fillId="0" borderId="0" xfId="2" applyNumberFormat="1" applyFont="1" applyAlignment="1">
      <alignment horizontal="centerContinuous" vertical="center" wrapText="1"/>
    </xf>
    <xf numFmtId="0" fontId="16" fillId="0" borderId="0" xfId="2" applyFont="1" applyAlignment="1">
      <alignment horizontal="centerContinuous" vertical="center" wrapText="1"/>
    </xf>
    <xf numFmtId="3" fontId="11" fillId="4" borderId="0" xfId="2" applyNumberFormat="1" applyFont="1" applyFill="1" applyAlignment="1">
      <alignment horizontal="center"/>
    </xf>
    <xf numFmtId="0" fontId="16" fillId="0" borderId="0" xfId="0" applyFont="1" applyAlignment="1">
      <alignment horizontal="centerContinuous" vertical="center"/>
    </xf>
    <xf numFmtId="3" fontId="16" fillId="0" borderId="6" xfId="2" applyNumberFormat="1" applyFont="1" applyBorder="1" applyAlignment="1">
      <alignment horizontal="centerContinuous" vertical="center" wrapText="1"/>
    </xf>
    <xf numFmtId="0" fontId="16" fillId="0" borderId="6" xfId="2" applyFont="1" applyBorder="1" applyAlignment="1">
      <alignment horizontal="centerContinuous" vertical="center" wrapText="1"/>
    </xf>
    <xf numFmtId="0" fontId="15" fillId="0" borderId="0" xfId="2" applyFont="1" applyAlignment="1">
      <alignment horizontal="center" vertical="center"/>
    </xf>
    <xf numFmtId="0" fontId="15" fillId="0" borderId="0" xfId="2" applyFont="1"/>
    <xf numFmtId="3" fontId="11" fillId="0" borderId="0" xfId="2" applyNumberFormat="1" applyFont="1" applyAlignment="1">
      <alignment horizontal="center" vertical="center"/>
    </xf>
    <xf numFmtId="3" fontId="11" fillId="0" borderId="0" xfId="2" applyNumberFormat="1" applyFont="1" applyAlignment="1">
      <alignment vertical="center" shrinkToFit="1"/>
    </xf>
    <xf numFmtId="0" fontId="17" fillId="5" borderId="2" xfId="0" applyFont="1" applyFill="1" applyBorder="1" applyAlignment="1">
      <alignment horizontal="center" vertical="center" wrapText="1"/>
    </xf>
    <xf numFmtId="0" fontId="17" fillId="5" borderId="7" xfId="4" applyFont="1" applyFill="1" applyBorder="1" applyAlignment="1">
      <alignment horizontal="centerContinuous" vertical="center"/>
    </xf>
    <xf numFmtId="0" fontId="16" fillId="5" borderId="8" xfId="4" applyFont="1" applyFill="1" applyBorder="1" applyAlignment="1">
      <alignment horizontal="centerContinuous" vertical="center"/>
    </xf>
    <xf numFmtId="3" fontId="16" fillId="5" borderId="8" xfId="4" applyNumberFormat="1" applyFont="1" applyFill="1" applyBorder="1" applyAlignment="1">
      <alignment horizontal="centerContinuous" vertical="center"/>
    </xf>
    <xf numFmtId="3" fontId="16" fillId="5" borderId="9" xfId="4" applyNumberFormat="1" applyFont="1" applyFill="1" applyBorder="1" applyAlignment="1">
      <alignment horizontal="centerContinuous" vertical="center"/>
    </xf>
    <xf numFmtId="3" fontId="16" fillId="5" borderId="2" xfId="2" applyNumberFormat="1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3" fontId="16" fillId="5" borderId="3" xfId="2" applyNumberFormat="1" applyFont="1" applyFill="1" applyBorder="1" applyAlignment="1">
      <alignment horizontal="center" vertical="center" wrapText="1"/>
    </xf>
    <xf numFmtId="3" fontId="16" fillId="0" borderId="7" xfId="2" applyNumberFormat="1" applyFont="1" applyBorder="1" applyAlignment="1">
      <alignment horizontal="left" vertical="center"/>
    </xf>
    <xf numFmtId="3" fontId="16" fillId="0" borderId="9" xfId="2" applyNumberFormat="1" applyFont="1" applyBorder="1" applyAlignment="1">
      <alignment horizontal="left" vertical="center"/>
    </xf>
    <xf numFmtId="3" fontId="16" fillId="6" borderId="8" xfId="2" applyNumberFormat="1" applyFont="1" applyFill="1" applyBorder="1" applyAlignment="1">
      <alignment horizontal="center" vertical="center" wrapText="1"/>
    </xf>
    <xf numFmtId="3" fontId="16" fillId="0" borderId="8" xfId="2" applyNumberFormat="1" applyFont="1" applyBorder="1" applyAlignment="1">
      <alignment horizontal="left" vertical="center"/>
    </xf>
    <xf numFmtId="0" fontId="16" fillId="0" borderId="8" xfId="2" applyFont="1" applyBorder="1" applyAlignment="1">
      <alignment horizontal="center" vertical="center"/>
    </xf>
    <xf numFmtId="3" fontId="16" fillId="0" borderId="1" xfId="2" applyNumberFormat="1" applyFont="1" applyBorder="1" applyAlignment="1">
      <alignment horizontal="center" vertical="center"/>
    </xf>
    <xf numFmtId="0" fontId="15" fillId="0" borderId="0" xfId="2" applyFont="1" applyAlignment="1">
      <alignment vertical="center"/>
    </xf>
    <xf numFmtId="0" fontId="11" fillId="0" borderId="0" xfId="0" applyFont="1" applyAlignment="1">
      <alignment vertical="center" shrinkToFit="1"/>
    </xf>
    <xf numFmtId="3" fontId="15" fillId="0" borderId="10" xfId="5" applyNumberFormat="1" applyFont="1" applyBorder="1" applyAlignment="1">
      <alignment horizontal="center" vertical="center"/>
    </xf>
    <xf numFmtId="0" fontId="15" fillId="0" borderId="10" xfId="0" applyFont="1" applyBorder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8" fillId="0" borderId="11" xfId="2" applyFont="1" applyBorder="1" applyAlignment="1">
      <alignment horizontal="center" vertical="center"/>
    </xf>
    <xf numFmtId="0" fontId="15" fillId="0" borderId="10" xfId="1" applyNumberFormat="1" applyFont="1" applyBorder="1" applyAlignment="1" applyProtection="1">
      <alignment horizontal="center" vertical="center"/>
    </xf>
    <xf numFmtId="167" fontId="15" fillId="0" borderId="10" xfId="1" applyNumberFormat="1" applyFont="1" applyBorder="1" applyAlignment="1" applyProtection="1">
      <alignment vertical="center"/>
    </xf>
    <xf numFmtId="3" fontId="15" fillId="0" borderId="12" xfId="2" applyNumberFormat="1" applyFont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3" fontId="18" fillId="0" borderId="10" xfId="2" applyNumberFormat="1" applyFont="1" applyBorder="1" applyAlignment="1">
      <alignment horizontal="right" vertical="center"/>
    </xf>
    <xf numFmtId="3" fontId="15" fillId="0" borderId="10" xfId="2" applyNumberFormat="1" applyFont="1" applyBorder="1" applyAlignment="1">
      <alignment horizontal="center" vertical="center"/>
    </xf>
    <xf numFmtId="3" fontId="15" fillId="0" borderId="0" xfId="2" applyNumberFormat="1" applyFont="1" applyAlignment="1">
      <alignment horizontal="left" vertical="center"/>
    </xf>
    <xf numFmtId="3" fontId="11" fillId="0" borderId="0" xfId="0" applyNumberFormat="1" applyFont="1" applyAlignment="1">
      <alignment vertical="center" shrinkToFit="1"/>
    </xf>
    <xf numFmtId="3" fontId="15" fillId="0" borderId="13" xfId="2" applyNumberFormat="1" applyFont="1" applyBorder="1" applyAlignment="1">
      <alignment horizontal="right" vertical="center"/>
    </xf>
    <xf numFmtId="3" fontId="15" fillId="0" borderId="1" xfId="2" applyNumberFormat="1" applyFont="1" applyBorder="1" applyAlignment="1">
      <alignment horizontal="center" vertical="center"/>
    </xf>
    <xf numFmtId="49" fontId="15" fillId="0" borderId="1" xfId="2" applyNumberFormat="1" applyFont="1" applyBorder="1" applyAlignment="1">
      <alignment horizontal="center" vertical="center"/>
    </xf>
    <xf numFmtId="3" fontId="16" fillId="0" borderId="1" xfId="2" applyNumberFormat="1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3" fontId="16" fillId="0" borderId="7" xfId="2" applyNumberFormat="1" applyFont="1" applyBorder="1" applyAlignment="1">
      <alignment horizontal="center" vertical="center"/>
    </xf>
    <xf numFmtId="3" fontId="16" fillId="0" borderId="9" xfId="2" applyNumberFormat="1" applyFont="1" applyBorder="1" applyAlignment="1">
      <alignment horizontal="center" vertical="center"/>
    </xf>
    <xf numFmtId="3" fontId="16" fillId="0" borderId="8" xfId="2" applyNumberFormat="1" applyFont="1" applyBorder="1" applyAlignment="1">
      <alignment horizontal="center" vertical="center" wrapText="1"/>
    </xf>
    <xf numFmtId="3" fontId="16" fillId="0" borderId="8" xfId="2" applyNumberFormat="1" applyFont="1" applyBorder="1" applyAlignment="1">
      <alignment horizontal="center" vertical="center"/>
    </xf>
    <xf numFmtId="3" fontId="16" fillId="0" borderId="11" xfId="5" applyNumberFormat="1" applyFont="1" applyBorder="1" applyAlignment="1">
      <alignment horizontal="center" vertical="center"/>
    </xf>
    <xf numFmtId="3" fontId="16" fillId="0" borderId="14" xfId="2" applyNumberFormat="1" applyFont="1" applyBorder="1" applyAlignment="1">
      <alignment horizontal="center" vertical="center"/>
    </xf>
    <xf numFmtId="0" fontId="16" fillId="0" borderId="10" xfId="2" applyFont="1" applyBorder="1" applyAlignment="1">
      <alignment horizontal="center" vertical="center"/>
    </xf>
    <xf numFmtId="3" fontId="16" fillId="0" borderId="10" xfId="5" applyNumberFormat="1" applyFont="1" applyBorder="1" applyAlignment="1">
      <alignment horizontal="center" vertical="center"/>
    </xf>
    <xf numFmtId="49" fontId="16" fillId="0" borderId="15" xfId="2" applyNumberFormat="1" applyFont="1" applyBorder="1" applyAlignment="1">
      <alignment horizontal="center" vertical="center"/>
    </xf>
    <xf numFmtId="3" fontId="16" fillId="0" borderId="10" xfId="2" applyNumberFormat="1" applyFont="1" applyBorder="1" applyAlignment="1">
      <alignment vertical="center" wrapText="1"/>
    </xf>
    <xf numFmtId="3" fontId="16" fillId="0" borderId="10" xfId="2" applyNumberFormat="1" applyFont="1" applyBorder="1" applyAlignment="1">
      <alignment horizontal="center" vertical="center"/>
    </xf>
    <xf numFmtId="3" fontId="20" fillId="6" borderId="10" xfId="2" applyNumberFormat="1" applyFont="1" applyFill="1" applyBorder="1" applyAlignment="1">
      <alignment vertical="center" wrapText="1"/>
    </xf>
    <xf numFmtId="49" fontId="15" fillId="0" borderId="15" xfId="2" applyNumberFormat="1" applyFont="1" applyBorder="1" applyAlignment="1">
      <alignment horizontal="center" vertical="center"/>
    </xf>
    <xf numFmtId="3" fontId="15" fillId="0" borderId="10" xfId="2" applyNumberFormat="1" applyFont="1" applyBorder="1" applyAlignment="1">
      <alignment vertical="center"/>
    </xf>
    <xf numFmtId="3" fontId="16" fillId="0" borderId="16" xfId="2" applyNumberFormat="1" applyFont="1" applyBorder="1" applyAlignment="1">
      <alignment horizontal="center" vertical="center"/>
    </xf>
    <xf numFmtId="49" fontId="16" fillId="0" borderId="17" xfId="2" applyNumberFormat="1" applyFont="1" applyBorder="1" applyAlignment="1">
      <alignment horizontal="center" vertical="center"/>
    </xf>
    <xf numFmtId="0" fontId="16" fillId="0" borderId="16" xfId="2" applyFont="1" applyBorder="1" applyAlignment="1">
      <alignment horizontal="center" vertical="center"/>
    </xf>
    <xf numFmtId="3" fontId="15" fillId="0" borderId="16" xfId="2" applyNumberFormat="1" applyFont="1" applyBorder="1" applyAlignment="1">
      <alignment horizontal="center" vertical="center"/>
    </xf>
    <xf numFmtId="3" fontId="15" fillId="0" borderId="7" xfId="2" applyNumberFormat="1" applyFont="1" applyBorder="1" applyAlignment="1">
      <alignment vertical="center"/>
    </xf>
    <xf numFmtId="3" fontId="15" fillId="0" borderId="8" xfId="2" applyNumberFormat="1" applyFont="1" applyBorder="1" applyAlignment="1">
      <alignment vertical="center"/>
    </xf>
    <xf numFmtId="3" fontId="15" fillId="0" borderId="8" xfId="2" applyNumberFormat="1" applyFont="1" applyBorder="1" applyAlignment="1">
      <alignment horizontal="center" vertical="center"/>
    </xf>
    <xf numFmtId="0" fontId="15" fillId="0" borderId="8" xfId="2" applyFont="1" applyBorder="1" applyAlignment="1">
      <alignment horizontal="center" vertical="center"/>
    </xf>
    <xf numFmtId="3" fontId="16" fillId="0" borderId="8" xfId="2" applyNumberFormat="1" applyFont="1" applyBorder="1" applyAlignment="1">
      <alignment vertical="center"/>
    </xf>
    <xf numFmtId="3" fontId="16" fillId="0" borderId="9" xfId="2" applyNumberFormat="1" applyFont="1" applyBorder="1" applyAlignment="1">
      <alignment vertical="center"/>
    </xf>
    <xf numFmtId="168" fontId="22" fillId="0" borderId="0" xfId="6" quotePrefix="1" applyNumberFormat="1" applyFont="1" applyAlignment="1">
      <alignment horizontal="center" vertical="center"/>
    </xf>
    <xf numFmtId="3" fontId="16" fillId="0" borderId="0" xfId="2" applyNumberFormat="1" applyFont="1" applyAlignment="1">
      <alignment horizontal="left" vertical="center"/>
    </xf>
    <xf numFmtId="3" fontId="16" fillId="0" borderId="0" xfId="2" quotePrefix="1" applyNumberFormat="1" applyFont="1" applyAlignment="1">
      <alignment horizontal="center" vertical="center"/>
    </xf>
    <xf numFmtId="3" fontId="16" fillId="0" borderId="0" xfId="2" applyNumberFormat="1" applyFont="1" applyAlignment="1">
      <alignment horizontal="center" vertical="center"/>
    </xf>
    <xf numFmtId="0" fontId="16" fillId="0" borderId="0" xfId="2" applyFont="1" applyAlignment="1">
      <alignment horizontal="center" vertical="center"/>
    </xf>
    <xf numFmtId="3" fontId="15" fillId="0" borderId="1" xfId="2" applyNumberFormat="1" applyFont="1" applyBorder="1" applyAlignment="1">
      <alignment vertical="center"/>
    </xf>
    <xf numFmtId="0" fontId="18" fillId="0" borderId="10" xfId="2" applyFont="1" applyBorder="1" applyAlignment="1">
      <alignment horizontal="center" vertical="center"/>
    </xf>
    <xf numFmtId="3" fontId="15" fillId="0" borderId="12" xfId="2" applyNumberFormat="1" applyFont="1" applyBorder="1" applyAlignment="1">
      <alignment vertical="center"/>
    </xf>
    <xf numFmtId="3" fontId="16" fillId="0" borderId="10" xfId="2" applyNumberFormat="1" applyFont="1" applyBorder="1" applyAlignment="1">
      <alignment vertical="center"/>
    </xf>
    <xf numFmtId="3" fontId="20" fillId="6" borderId="10" xfId="2" applyNumberFormat="1" applyFont="1" applyFill="1" applyBorder="1" applyAlignment="1">
      <alignment vertical="center"/>
    </xf>
    <xf numFmtId="3" fontId="16" fillId="0" borderId="18" xfId="2" applyNumberFormat="1" applyFont="1" applyBorder="1" applyAlignment="1">
      <alignment horizontal="center" vertical="center"/>
    </xf>
    <xf numFmtId="49" fontId="16" fillId="0" borderId="19" xfId="2" applyNumberFormat="1" applyFont="1" applyBorder="1" applyAlignment="1">
      <alignment horizontal="center" vertical="center"/>
    </xf>
    <xf numFmtId="0" fontId="16" fillId="0" borderId="18" xfId="2" applyFont="1" applyBorder="1" applyAlignment="1">
      <alignment horizontal="center" vertical="center"/>
    </xf>
    <xf numFmtId="3" fontId="15" fillId="0" borderId="16" xfId="2" applyNumberFormat="1" applyFont="1" applyBorder="1" applyAlignment="1">
      <alignment vertical="center"/>
    </xf>
    <xf numFmtId="3" fontId="16" fillId="0" borderId="0" xfId="2" quotePrefix="1" applyNumberFormat="1" applyFont="1" applyAlignment="1">
      <alignment horizontal="centerContinuous" vertical="center"/>
    </xf>
    <xf numFmtId="3" fontId="16" fillId="0" borderId="0" xfId="2" applyNumberFormat="1" applyFont="1" applyAlignment="1">
      <alignment horizontal="centerContinuous" vertical="center"/>
    </xf>
    <xf numFmtId="0" fontId="15" fillId="2" borderId="10" xfId="0" applyFont="1" applyFill="1" applyBorder="1" applyAlignment="1">
      <alignment vertical="center" shrinkToFit="1"/>
    </xf>
    <xf numFmtId="0" fontId="15" fillId="0" borderId="10" xfId="4" applyFont="1" applyBorder="1" applyAlignment="1">
      <alignment horizontal="center" vertical="center"/>
    </xf>
    <xf numFmtId="3" fontId="18" fillId="0" borderId="13" xfId="2" applyNumberFormat="1" applyFont="1" applyBorder="1" applyAlignment="1">
      <alignment horizontal="right" vertical="center"/>
    </xf>
    <xf numFmtId="3" fontId="16" fillId="0" borderId="0" xfId="2" applyNumberFormat="1" applyFont="1" applyAlignment="1">
      <alignment vertical="center"/>
    </xf>
    <xf numFmtId="0" fontId="23" fillId="0" borderId="10" xfId="2" applyFont="1" applyBorder="1" applyAlignment="1">
      <alignment horizontal="center" vertical="center"/>
    </xf>
    <xf numFmtId="3" fontId="15" fillId="0" borderId="2" xfId="2" applyNumberFormat="1" applyFont="1" applyBorder="1" applyAlignment="1">
      <alignment horizontal="center" vertical="center"/>
    </xf>
    <xf numFmtId="49" fontId="15" fillId="0" borderId="2" xfId="2" applyNumberFormat="1" applyFont="1" applyBorder="1" applyAlignment="1">
      <alignment horizontal="center" vertical="center"/>
    </xf>
    <xf numFmtId="3" fontId="16" fillId="0" borderId="2" xfId="2" applyNumberFormat="1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15" fillId="0" borderId="16" xfId="1" applyNumberFormat="1" applyFont="1" applyBorder="1" applyAlignment="1" applyProtection="1">
      <alignment horizontal="center" vertical="center"/>
    </xf>
    <xf numFmtId="3" fontId="15" fillId="0" borderId="2" xfId="2" applyNumberFormat="1" applyFont="1" applyBorder="1" applyAlignment="1">
      <alignment vertical="center"/>
    </xf>
    <xf numFmtId="0" fontId="15" fillId="0" borderId="8" xfId="1" applyNumberFormat="1" applyFont="1" applyBorder="1" applyAlignment="1" applyProtection="1">
      <alignment horizontal="center" vertical="center"/>
    </xf>
    <xf numFmtId="3" fontId="15" fillId="0" borderId="9" xfId="2" applyNumberFormat="1" applyFont="1" applyBorder="1" applyAlignment="1">
      <alignment vertical="center"/>
    </xf>
    <xf numFmtId="3" fontId="16" fillId="0" borderId="12" xfId="5" applyNumberFormat="1" applyFont="1" applyBorder="1" applyAlignment="1">
      <alignment horizontal="center" vertical="center"/>
    </xf>
    <xf numFmtId="49" fontId="16" fillId="0" borderId="20" xfId="2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0" fontId="15" fillId="0" borderId="12" xfId="0" applyFont="1" applyBorder="1">
      <alignment horizontal="center" vertical="center"/>
    </xf>
    <xf numFmtId="0" fontId="16" fillId="0" borderId="12" xfId="2" applyFont="1" applyBorder="1" applyAlignment="1">
      <alignment horizontal="center" vertical="center"/>
    </xf>
    <xf numFmtId="0" fontId="15" fillId="0" borderId="12" xfId="1" applyNumberFormat="1" applyFont="1" applyBorder="1" applyAlignment="1" applyProtection="1">
      <alignment horizontal="center" vertical="center"/>
    </xf>
    <xf numFmtId="167" fontId="15" fillId="0" borderId="12" xfId="1" applyNumberFormat="1" applyFont="1" applyBorder="1" applyAlignment="1" applyProtection="1">
      <alignment vertical="center"/>
    </xf>
    <xf numFmtId="164" fontId="11" fillId="0" borderId="0" xfId="2" applyNumberFormat="1" applyFont="1" applyAlignment="1">
      <alignment vertical="center" shrinkToFit="1"/>
    </xf>
    <xf numFmtId="169" fontId="15" fillId="0" borderId="10" xfId="2" applyNumberFormat="1" applyFont="1" applyBorder="1" applyAlignment="1">
      <alignment horizontal="center" vertical="center"/>
    </xf>
    <xf numFmtId="169" fontId="15" fillId="0" borderId="10" xfId="1" applyNumberFormat="1" applyFont="1" applyBorder="1" applyAlignment="1" applyProtection="1">
      <alignment horizontal="center" vertical="center"/>
    </xf>
    <xf numFmtId="2" fontId="15" fillId="0" borderId="10" xfId="2" applyNumberFormat="1" applyFont="1" applyBorder="1" applyAlignment="1">
      <alignment horizontal="center" vertical="center"/>
    </xf>
    <xf numFmtId="0" fontId="11" fillId="0" borderId="0" xfId="2" applyFont="1" applyAlignment="1">
      <alignment vertical="center" shrinkToFit="1"/>
    </xf>
    <xf numFmtId="168" fontId="24" fillId="0" borderId="0" xfId="6" quotePrefix="1" applyNumberFormat="1" applyFont="1" applyAlignment="1">
      <alignment horizontal="center" vertical="center"/>
    </xf>
    <xf numFmtId="168" fontId="24" fillId="0" borderId="0" xfId="6" quotePrefix="1" applyNumberFormat="1" applyFont="1" applyAlignment="1">
      <alignment vertical="center"/>
    </xf>
    <xf numFmtId="3" fontId="15" fillId="0" borderId="10" xfId="0" applyNumberFormat="1" applyFont="1" applyBorder="1" applyAlignment="1">
      <alignment horizontal="left" vertical="center"/>
    </xf>
    <xf numFmtId="0" fontId="16" fillId="0" borderId="9" xfId="2" applyFont="1" applyBorder="1" applyAlignment="1">
      <alignment horizontal="center" vertical="center"/>
    </xf>
    <xf numFmtId="3" fontId="16" fillId="0" borderId="11" xfId="2" applyNumberFormat="1" applyFont="1" applyBorder="1" applyAlignment="1">
      <alignment horizontal="center" vertical="center"/>
    </xf>
    <xf numFmtId="0" fontId="16" fillId="0" borderId="21" xfId="2" applyFont="1" applyBorder="1" applyAlignment="1">
      <alignment horizontal="center" vertical="center"/>
    </xf>
    <xf numFmtId="3" fontId="16" fillId="0" borderId="11" xfId="2" applyNumberFormat="1" applyFont="1" applyBorder="1" applyAlignment="1">
      <alignment vertical="center"/>
    </xf>
    <xf numFmtId="0" fontId="16" fillId="0" borderId="11" xfId="2" applyFont="1" applyBorder="1" applyAlignment="1">
      <alignment horizontal="center" vertical="center"/>
    </xf>
    <xf numFmtId="3" fontId="16" fillId="0" borderId="22" xfId="2" applyNumberFormat="1" applyFont="1" applyBorder="1" applyAlignment="1">
      <alignment horizontal="center" vertical="center"/>
    </xf>
    <xf numFmtId="0" fontId="16" fillId="0" borderId="15" xfId="2" applyFont="1" applyBorder="1" applyAlignment="1">
      <alignment horizontal="center" vertical="center"/>
    </xf>
    <xf numFmtId="3" fontId="16" fillId="0" borderId="13" xfId="2" applyNumberFormat="1" applyFont="1" applyBorder="1" applyAlignment="1">
      <alignment horizontal="right" vertical="center"/>
    </xf>
    <xf numFmtId="0" fontId="15" fillId="0" borderId="16" xfId="2" applyFont="1" applyBorder="1" applyAlignment="1">
      <alignment horizontal="center" vertical="center"/>
    </xf>
    <xf numFmtId="0" fontId="11" fillId="7" borderId="14" xfId="0" applyFont="1" applyFill="1" applyBorder="1" applyAlignment="1">
      <alignment vertical="center" shrinkToFit="1"/>
    </xf>
    <xf numFmtId="0" fontId="15" fillId="0" borderId="15" xfId="2" applyFont="1" applyBorder="1" applyAlignment="1">
      <alignment horizontal="center" vertical="center"/>
    </xf>
    <xf numFmtId="3" fontId="16" fillId="0" borderId="16" xfId="2" applyNumberFormat="1" applyFont="1" applyBorder="1" applyAlignment="1">
      <alignment horizontal="left" vertical="center"/>
    </xf>
    <xf numFmtId="3" fontId="15" fillId="0" borderId="0" xfId="4" applyNumberFormat="1" applyFont="1" applyAlignment="1">
      <alignment vertical="center" shrinkToFit="1"/>
    </xf>
    <xf numFmtId="3" fontId="16" fillId="0" borderId="5" xfId="2" applyNumberFormat="1" applyFont="1" applyBorder="1" applyAlignment="1">
      <alignment vertical="center" wrapText="1"/>
    </xf>
    <xf numFmtId="0" fontId="16" fillId="0" borderId="5" xfId="2" applyFont="1" applyBorder="1" applyAlignment="1">
      <alignment horizontal="center" vertical="center" wrapText="1"/>
    </xf>
    <xf numFmtId="3" fontId="16" fillId="0" borderId="0" xfId="4" applyNumberFormat="1" applyFont="1" applyAlignment="1">
      <alignment horizontal="center" vertical="center"/>
    </xf>
    <xf numFmtId="0" fontId="16" fillId="0" borderId="0" xfId="4" applyFont="1" applyAlignment="1">
      <alignment horizontal="center" vertical="center"/>
    </xf>
    <xf numFmtId="3" fontId="16" fillId="0" borderId="8" xfId="4" applyNumberFormat="1" applyFont="1" applyBorder="1" applyAlignment="1">
      <alignment horizontal="center" vertical="center"/>
    </xf>
    <xf numFmtId="3" fontId="16" fillId="0" borderId="8" xfId="4" applyNumberFormat="1" applyFont="1" applyBorder="1" applyAlignment="1">
      <alignment horizontal="left" vertical="center"/>
    </xf>
    <xf numFmtId="0" fontId="16" fillId="0" borderId="8" xfId="4" applyFont="1" applyBorder="1" applyAlignment="1">
      <alignment horizontal="center" vertical="center"/>
    </xf>
    <xf numFmtId="0" fontId="25" fillId="0" borderId="10" xfId="4" applyFont="1" applyBorder="1" applyAlignment="1">
      <alignment horizontal="center"/>
    </xf>
    <xf numFmtId="0" fontId="26" fillId="0" borderId="10" xfId="4" applyFont="1" applyBorder="1" applyAlignment="1">
      <alignment horizontal="center"/>
    </xf>
    <xf numFmtId="0" fontId="27" fillId="0" borderId="10" xfId="4" applyFont="1" applyBorder="1" applyAlignment="1">
      <alignment horizontal="center"/>
    </xf>
    <xf numFmtId="0" fontId="15" fillId="6" borderId="10" xfId="0" applyFont="1" applyFill="1" applyBorder="1" applyAlignment="1">
      <alignment horizontal="left" vertical="center"/>
    </xf>
    <xf numFmtId="0" fontId="26" fillId="0" borderId="16" xfId="4" applyFont="1" applyBorder="1" applyAlignment="1">
      <alignment horizontal="center"/>
    </xf>
    <xf numFmtId="3" fontId="16" fillId="0" borderId="7" xfId="4" applyNumberFormat="1" applyFont="1" applyBorder="1" applyAlignment="1">
      <alignment horizontal="center" vertical="center"/>
    </xf>
    <xf numFmtId="0" fontId="15" fillId="0" borderId="23" xfId="0" applyFont="1" applyBorder="1">
      <alignment horizontal="center" vertical="center"/>
    </xf>
    <xf numFmtId="0" fontId="26" fillId="0" borderId="10" xfId="2" applyFont="1" applyBorder="1" applyAlignment="1">
      <alignment horizontal="center"/>
    </xf>
    <xf numFmtId="3" fontId="15" fillId="0" borderId="17" xfId="2" applyNumberFormat="1" applyFont="1" applyBorder="1" applyAlignment="1">
      <alignment vertical="center"/>
    </xf>
    <xf numFmtId="3" fontId="15" fillId="0" borderId="4" xfId="5" applyNumberFormat="1" applyFont="1" applyBorder="1" applyAlignment="1">
      <alignment horizontal="center" vertical="center"/>
    </xf>
    <xf numFmtId="0" fontId="15" fillId="0" borderId="4" xfId="0" applyFont="1" applyBorder="1">
      <alignment horizontal="center" vertical="center"/>
    </xf>
    <xf numFmtId="0" fontId="15" fillId="0" borderId="14" xfId="0" applyFont="1" applyBorder="1" applyAlignment="1">
      <alignment horizontal="left" vertical="center"/>
    </xf>
    <xf numFmtId="0" fontId="15" fillId="0" borderId="4" xfId="2" applyFont="1" applyBorder="1" applyAlignment="1">
      <alignment horizontal="center" vertical="center"/>
    </xf>
    <xf numFmtId="3" fontId="16" fillId="0" borderId="9" xfId="4" applyNumberFormat="1" applyFont="1" applyBorder="1" applyAlignment="1">
      <alignment horizontal="center" vertical="center"/>
    </xf>
    <xf numFmtId="3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center" vertical="center"/>
    </xf>
    <xf numFmtId="3" fontId="16" fillId="0" borderId="5" xfId="4" applyNumberFormat="1" applyFont="1" applyBorder="1" applyAlignment="1">
      <alignment horizontal="center" vertical="center"/>
    </xf>
    <xf numFmtId="0" fontId="16" fillId="0" borderId="5" xfId="4" applyFont="1" applyBorder="1" applyAlignment="1">
      <alignment horizontal="center" vertical="center"/>
    </xf>
    <xf numFmtId="167" fontId="15" fillId="0" borderId="16" xfId="1" applyNumberFormat="1" applyFont="1" applyBorder="1" applyAlignment="1" applyProtection="1">
      <alignment vertical="center"/>
    </xf>
    <xf numFmtId="3" fontId="16" fillId="2" borderId="1" xfId="2" applyNumberFormat="1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center" vertical="center"/>
    </xf>
    <xf numFmtId="3" fontId="16" fillId="2" borderId="1" xfId="4" applyNumberFormat="1" applyFont="1" applyFill="1" applyBorder="1" applyAlignment="1">
      <alignment vertical="center"/>
    </xf>
    <xf numFmtId="3" fontId="16" fillId="2" borderId="1" xfId="4" applyNumberFormat="1" applyFont="1" applyFill="1" applyBorder="1" applyAlignment="1">
      <alignment horizontal="center" vertical="center"/>
    </xf>
    <xf numFmtId="0" fontId="16" fillId="2" borderId="1" xfId="4" applyFont="1" applyFill="1" applyBorder="1" applyAlignment="1">
      <alignment horizontal="center" vertical="center"/>
    </xf>
    <xf numFmtId="3" fontId="16" fillId="0" borderId="12" xfId="2" applyNumberFormat="1" applyFont="1" applyBorder="1" applyAlignment="1">
      <alignment horizontal="center" vertical="center"/>
    </xf>
    <xf numFmtId="3" fontId="20" fillId="6" borderId="20" xfId="4" applyNumberFormat="1" applyFont="1" applyFill="1" applyBorder="1" applyAlignment="1">
      <alignment vertical="center"/>
    </xf>
    <xf numFmtId="3" fontId="15" fillId="0" borderId="12" xfId="4" applyNumberFormat="1" applyFont="1" applyBorder="1" applyAlignment="1">
      <alignment horizontal="center" vertical="center"/>
    </xf>
    <xf numFmtId="0" fontId="15" fillId="0" borderId="12" xfId="4" applyFont="1" applyBorder="1" applyAlignment="1">
      <alignment horizontal="center" vertical="center"/>
    </xf>
    <xf numFmtId="3" fontId="16" fillId="2" borderId="10" xfId="5" applyNumberFormat="1" applyFont="1" applyFill="1" applyBorder="1" applyAlignment="1">
      <alignment horizontal="center" vertical="center"/>
    </xf>
    <xf numFmtId="49" fontId="16" fillId="2" borderId="15" xfId="2" applyNumberFormat="1" applyFont="1" applyFill="1" applyBorder="1" applyAlignment="1">
      <alignment horizontal="center" vertical="center"/>
    </xf>
    <xf numFmtId="3" fontId="16" fillId="2" borderId="10" xfId="2" applyNumberFormat="1" applyFont="1" applyFill="1" applyBorder="1" applyAlignment="1">
      <alignment vertical="center" wrapText="1"/>
    </xf>
    <xf numFmtId="3" fontId="16" fillId="2" borderId="10" xfId="2" applyNumberFormat="1" applyFont="1" applyFill="1" applyBorder="1" applyAlignment="1">
      <alignment horizontal="center" vertical="center"/>
    </xf>
    <xf numFmtId="0" fontId="16" fillId="2" borderId="10" xfId="2" applyFont="1" applyFill="1" applyBorder="1" applyAlignment="1">
      <alignment horizontal="center" vertical="center"/>
    </xf>
    <xf numFmtId="3" fontId="16" fillId="2" borderId="10" xfId="4" applyNumberFormat="1" applyFont="1" applyFill="1" applyBorder="1" applyAlignment="1">
      <alignment horizontal="center" vertical="center"/>
    </xf>
    <xf numFmtId="0" fontId="28" fillId="2" borderId="10" xfId="2" applyFont="1" applyFill="1" applyBorder="1" applyAlignment="1">
      <alignment horizontal="center"/>
    </xf>
    <xf numFmtId="0" fontId="15" fillId="0" borderId="16" xfId="0" applyFont="1" applyBorder="1">
      <alignment horizontal="center" vertical="center"/>
    </xf>
    <xf numFmtId="0" fontId="15" fillId="0" borderId="16" xfId="0" applyFont="1" applyBorder="1" applyAlignment="1">
      <alignment horizontal="left" vertical="center"/>
    </xf>
    <xf numFmtId="0" fontId="16" fillId="2" borderId="1" xfId="2" applyFont="1" applyFill="1" applyBorder="1" applyAlignment="1">
      <alignment horizontal="center" vertical="center"/>
    </xf>
    <xf numFmtId="3" fontId="16" fillId="2" borderId="1" xfId="2" applyNumberFormat="1" applyFont="1" applyFill="1" applyBorder="1" applyAlignment="1">
      <alignment vertical="center"/>
    </xf>
    <xf numFmtId="0" fontId="28" fillId="2" borderId="10" xfId="4" applyFont="1" applyFill="1" applyBorder="1" applyAlignment="1">
      <alignment horizontal="center"/>
    </xf>
    <xf numFmtId="0" fontId="15" fillId="0" borderId="10" xfId="0" applyFont="1" applyBorder="1" applyAlignment="1">
      <alignment vertical="center" shrinkToFit="1"/>
    </xf>
    <xf numFmtId="0" fontId="15" fillId="0" borderId="12" xfId="2" applyFont="1" applyBorder="1" applyAlignment="1">
      <alignment horizontal="center" vertical="center"/>
    </xf>
    <xf numFmtId="0" fontId="15" fillId="7" borderId="10" xfId="0" applyFont="1" applyFill="1" applyBorder="1" applyAlignment="1">
      <alignment vertical="center" shrinkToFit="1"/>
    </xf>
    <xf numFmtId="3" fontId="16" fillId="2" borderId="1" xfId="5" applyNumberFormat="1" applyFont="1" applyFill="1" applyBorder="1" applyAlignment="1">
      <alignment horizontal="center" vertical="center"/>
    </xf>
    <xf numFmtId="49" fontId="16" fillId="2" borderId="1" xfId="5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49" fontId="16" fillId="2" borderId="15" xfId="5" applyNumberFormat="1" applyFont="1" applyFill="1" applyBorder="1" applyAlignment="1">
      <alignment horizontal="center" vertical="center"/>
    </xf>
    <xf numFmtId="3" fontId="16" fillId="2" borderId="10" xfId="5" applyNumberFormat="1" applyFont="1" applyFill="1" applyBorder="1" applyAlignment="1">
      <alignment vertical="center" wrapText="1"/>
    </xf>
    <xf numFmtId="0" fontId="16" fillId="2" borderId="10" xfId="4" applyFont="1" applyFill="1" applyBorder="1" applyAlignment="1">
      <alignment horizontal="center" vertical="center"/>
    </xf>
    <xf numFmtId="3" fontId="16" fillId="2" borderId="11" xfId="4" applyNumberFormat="1" applyFont="1" applyFill="1" applyBorder="1" applyAlignment="1">
      <alignment horizontal="center" vertical="center"/>
    </xf>
    <xf numFmtId="49" fontId="16" fillId="0" borderId="15" xfId="5" applyNumberFormat="1" applyFont="1" applyBorder="1" applyAlignment="1">
      <alignment horizontal="center" vertical="center"/>
    </xf>
    <xf numFmtId="3" fontId="20" fillId="6" borderId="10" xfId="5" applyNumberFormat="1" applyFont="1" applyFill="1" applyBorder="1" applyAlignment="1">
      <alignment vertical="center"/>
    </xf>
    <xf numFmtId="0" fontId="16" fillId="0" borderId="10" xfId="4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>
      <alignment horizontal="center" vertical="center"/>
    </xf>
    <xf numFmtId="0" fontId="16" fillId="2" borderId="10" xfId="0" applyFont="1" applyFill="1" applyBorder="1" applyAlignment="1">
      <alignment horizontal="left" vertical="center"/>
    </xf>
    <xf numFmtId="3" fontId="20" fillId="6" borderId="10" xfId="5" applyNumberFormat="1" applyFont="1" applyFill="1" applyBorder="1" applyAlignment="1">
      <alignment vertical="center" wrapText="1"/>
    </xf>
    <xf numFmtId="3" fontId="15" fillId="0" borderId="16" xfId="5" applyNumberFormat="1" applyFont="1" applyBorder="1" applyAlignment="1">
      <alignment horizontal="center" vertical="center"/>
    </xf>
    <xf numFmtId="0" fontId="15" fillId="0" borderId="16" xfId="4" applyFont="1" applyBorder="1" applyAlignment="1">
      <alignment horizontal="center" vertical="center"/>
    </xf>
    <xf numFmtId="3" fontId="16" fillId="2" borderId="1" xfId="4" applyNumberFormat="1" applyFont="1" applyFill="1" applyBorder="1" applyAlignment="1">
      <alignment vertical="center" wrapText="1"/>
    </xf>
    <xf numFmtId="3" fontId="20" fillId="6" borderId="20" xfId="4" applyNumberFormat="1" applyFont="1" applyFill="1" applyBorder="1" applyAlignment="1">
      <alignment vertical="center" wrapText="1"/>
    </xf>
    <xf numFmtId="3" fontId="16" fillId="0" borderId="12" xfId="4" applyNumberFormat="1" applyFont="1" applyBorder="1" applyAlignment="1">
      <alignment horizontal="center" vertical="center"/>
    </xf>
    <xf numFmtId="0" fontId="16" fillId="0" borderId="12" xfId="4" applyFont="1" applyBorder="1" applyAlignment="1">
      <alignment horizontal="center" vertical="center"/>
    </xf>
    <xf numFmtId="49" fontId="15" fillId="0" borderId="16" xfId="2" applyNumberFormat="1" applyFont="1" applyBorder="1" applyAlignment="1">
      <alignment horizontal="center" vertical="center"/>
    </xf>
    <xf numFmtId="3" fontId="16" fillId="0" borderId="1" xfId="4" applyNumberFormat="1" applyFont="1" applyBorder="1" applyAlignment="1">
      <alignment horizontal="center" vertical="center"/>
    </xf>
    <xf numFmtId="3" fontId="16" fillId="0" borderId="7" xfId="4" applyNumberFormat="1" applyFont="1" applyBorder="1" applyAlignment="1">
      <alignment vertical="center"/>
    </xf>
    <xf numFmtId="3" fontId="16" fillId="0" borderId="9" xfId="4" applyNumberFormat="1" applyFont="1" applyBorder="1" applyAlignment="1">
      <alignment vertical="center"/>
    </xf>
    <xf numFmtId="49" fontId="15" fillId="0" borderId="0" xfId="2" applyNumberFormat="1" applyFont="1" applyAlignment="1">
      <alignment horizontal="center" vertical="center"/>
    </xf>
    <xf numFmtId="3" fontId="15" fillId="0" borderId="0" xfId="4" applyNumberFormat="1" applyFont="1" applyAlignment="1">
      <alignment horizontal="center" vertical="center"/>
    </xf>
    <xf numFmtId="0" fontId="15" fillId="0" borderId="0" xfId="4" applyFont="1" applyAlignment="1">
      <alignment horizontal="center" vertical="center"/>
    </xf>
    <xf numFmtId="3" fontId="15" fillId="0" borderId="0" xfId="5" applyNumberFormat="1" applyFont="1" applyAlignment="1">
      <alignment vertical="center" shrinkToFit="1"/>
    </xf>
    <xf numFmtId="3" fontId="16" fillId="0" borderId="6" xfId="2" applyNumberFormat="1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3" fontId="16" fillId="0" borderId="7" xfId="5" applyNumberFormat="1" applyFont="1" applyBorder="1" applyAlignment="1">
      <alignment horizontal="left" vertical="center"/>
    </xf>
    <xf numFmtId="3" fontId="16" fillId="0" borderId="9" xfId="5" applyNumberFormat="1" applyFont="1" applyBorder="1" applyAlignment="1">
      <alignment horizontal="left" vertical="center"/>
    </xf>
    <xf numFmtId="3" fontId="16" fillId="0" borderId="8" xfId="5" applyNumberFormat="1" applyFont="1" applyBorder="1" applyAlignment="1">
      <alignment horizontal="center" vertical="center"/>
    </xf>
    <xf numFmtId="3" fontId="16" fillId="0" borderId="8" xfId="5" applyNumberFormat="1" applyFont="1" applyBorder="1" applyAlignment="1">
      <alignment horizontal="left" vertical="center"/>
    </xf>
    <xf numFmtId="0" fontId="16" fillId="0" borderId="8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1" fillId="0" borderId="10" xfId="4" applyFont="1" applyBorder="1" applyAlignment="1">
      <alignment horizontal="center" vertical="center"/>
    </xf>
    <xf numFmtId="3" fontId="15" fillId="0" borderId="1" xfId="5" applyNumberFormat="1" applyFont="1" applyBorder="1" applyAlignment="1">
      <alignment horizontal="center" vertical="center"/>
    </xf>
    <xf numFmtId="49" fontId="15" fillId="0" borderId="1" xfId="5" applyNumberFormat="1" applyFont="1" applyBorder="1" applyAlignment="1">
      <alignment horizontal="center" vertical="center"/>
    </xf>
    <xf numFmtId="3" fontId="16" fillId="0" borderId="1" xfId="5" applyNumberFormat="1" applyFont="1" applyBorder="1" applyAlignment="1">
      <alignment horizontal="center" vertical="center"/>
    </xf>
    <xf numFmtId="3" fontId="15" fillId="0" borderId="18" xfId="2" applyNumberFormat="1" applyFont="1" applyBorder="1" applyAlignment="1">
      <alignment vertical="center"/>
    </xf>
    <xf numFmtId="3" fontId="16" fillId="0" borderId="7" xfId="5" applyNumberFormat="1" applyFont="1" applyBorder="1" applyAlignment="1">
      <alignment horizontal="center" vertical="center"/>
    </xf>
    <xf numFmtId="3" fontId="16" fillId="0" borderId="9" xfId="5" applyNumberFormat="1" applyFont="1" applyBorder="1" applyAlignment="1">
      <alignment horizontal="center" vertical="center"/>
    </xf>
    <xf numFmtId="49" fontId="16" fillId="0" borderId="21" xfId="5" applyNumberFormat="1" applyFont="1" applyBorder="1" applyAlignment="1">
      <alignment horizontal="center" vertical="center"/>
    </xf>
    <xf numFmtId="3" fontId="16" fillId="0" borderId="11" xfId="5" applyNumberFormat="1" applyFont="1" applyBorder="1" applyAlignment="1">
      <alignment vertical="center"/>
    </xf>
    <xf numFmtId="0" fontId="16" fillId="0" borderId="11" xfId="4" applyFont="1" applyBorder="1" applyAlignment="1">
      <alignment horizontal="center" vertical="center"/>
    </xf>
    <xf numFmtId="3" fontId="16" fillId="0" borderId="22" xfId="5" applyNumberFormat="1" applyFont="1" applyBorder="1" applyAlignment="1">
      <alignment horizontal="center" vertical="center"/>
    </xf>
    <xf numFmtId="3" fontId="16" fillId="0" borderId="13" xfId="5" applyNumberFormat="1" applyFont="1" applyBorder="1" applyAlignment="1">
      <alignment horizontal="right" vertical="center"/>
    </xf>
    <xf numFmtId="3" fontId="16" fillId="0" borderId="10" xfId="5" applyNumberFormat="1" applyFont="1" applyBorder="1" applyAlignment="1">
      <alignment vertical="center"/>
    </xf>
    <xf numFmtId="49" fontId="16" fillId="0" borderId="15" xfId="5" applyNumberFormat="1" applyFont="1" applyBorder="1" applyAlignment="1">
      <alignment vertical="center"/>
    </xf>
    <xf numFmtId="3" fontId="16" fillId="0" borderId="10" xfId="5" applyNumberFormat="1" applyFont="1" applyBorder="1" applyAlignment="1">
      <alignment vertical="center" wrapText="1"/>
    </xf>
    <xf numFmtId="3" fontId="18" fillId="0" borderId="10" xfId="2" applyNumberFormat="1" applyFont="1" applyBorder="1" applyAlignment="1">
      <alignment vertical="center"/>
    </xf>
    <xf numFmtId="0" fontId="11" fillId="0" borderId="14" xfId="0" applyFont="1" applyBorder="1" applyAlignment="1">
      <alignment vertical="center" shrinkToFit="1"/>
    </xf>
    <xf numFmtId="3" fontId="15" fillId="0" borderId="15" xfId="5" applyNumberFormat="1" applyFont="1" applyBorder="1" applyAlignment="1">
      <alignment horizontal="center" vertical="center"/>
    </xf>
    <xf numFmtId="49" fontId="15" fillId="0" borderId="15" xfId="5" applyNumberFormat="1" applyFont="1" applyBorder="1" applyAlignment="1">
      <alignment horizontal="center" vertical="center"/>
    </xf>
    <xf numFmtId="3" fontId="16" fillId="0" borderId="16" xfId="5" applyNumberFormat="1" applyFont="1" applyBorder="1" applyAlignment="1">
      <alignment horizontal="center" vertical="center"/>
    </xf>
    <xf numFmtId="49" fontId="16" fillId="0" borderId="17" xfId="5" applyNumberFormat="1" applyFont="1" applyBorder="1" applyAlignment="1">
      <alignment horizontal="center" vertical="center"/>
    </xf>
    <xf numFmtId="0" fontId="16" fillId="0" borderId="16" xfId="4" applyFont="1" applyBorder="1" applyAlignment="1">
      <alignment horizontal="center" vertical="center"/>
    </xf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>
      <alignment horizontal="center" vertical="center"/>
    </xf>
    <xf numFmtId="3" fontId="15" fillId="0" borderId="7" xfId="5" applyNumberFormat="1" applyFont="1" applyBorder="1" applyAlignment="1">
      <alignment vertical="center"/>
    </xf>
    <xf numFmtId="3" fontId="15" fillId="0" borderId="8" xfId="5" applyNumberFormat="1" applyFont="1" applyBorder="1" applyAlignment="1">
      <alignment vertical="center"/>
    </xf>
    <xf numFmtId="3" fontId="15" fillId="0" borderId="8" xfId="5" applyNumberFormat="1" applyFont="1" applyBorder="1" applyAlignment="1">
      <alignment horizontal="center" vertical="center"/>
    </xf>
    <xf numFmtId="0" fontId="15" fillId="0" borderId="8" xfId="5" applyFont="1" applyBorder="1" applyAlignment="1">
      <alignment horizontal="center" vertical="center"/>
    </xf>
    <xf numFmtId="3" fontId="15" fillId="0" borderId="0" xfId="5" applyNumberFormat="1" applyFont="1" applyAlignment="1">
      <alignment vertical="center"/>
    </xf>
    <xf numFmtId="3" fontId="16" fillId="0" borderId="0" xfId="5" applyNumberFormat="1" applyFont="1" applyAlignment="1">
      <alignment horizontal="center" vertical="center"/>
    </xf>
    <xf numFmtId="3" fontId="15" fillId="0" borderId="0" xfId="5" applyNumberFormat="1" applyFont="1" applyAlignment="1">
      <alignment horizontal="center" vertical="center"/>
    </xf>
    <xf numFmtId="0" fontId="15" fillId="0" borderId="0" xfId="5" applyFont="1" applyAlignment="1">
      <alignment horizontal="center" vertical="center"/>
    </xf>
    <xf numFmtId="3" fontId="15" fillId="0" borderId="0" xfId="2" applyNumberFormat="1" applyFont="1" applyAlignment="1">
      <alignment horizontal="center" vertical="center" wrapText="1"/>
    </xf>
    <xf numFmtId="3" fontId="16" fillId="0" borderId="6" xfId="2" applyNumberFormat="1" applyFont="1" applyBorder="1" applyAlignment="1">
      <alignment horizontal="left" vertical="center"/>
    </xf>
    <xf numFmtId="0" fontId="16" fillId="0" borderId="6" xfId="5" applyFont="1" applyBorder="1" applyAlignment="1">
      <alignment horizontal="center" vertical="center"/>
    </xf>
    <xf numFmtId="0" fontId="15" fillId="0" borderId="10" xfId="5" applyFont="1" applyBorder="1" applyAlignment="1">
      <alignment horizontal="center" vertical="center"/>
    </xf>
    <xf numFmtId="3" fontId="15" fillId="0" borderId="11" xfId="2" applyNumberFormat="1" applyFont="1" applyBorder="1" applyAlignment="1">
      <alignment horizontal="center" vertical="center"/>
    </xf>
    <xf numFmtId="0" fontId="18" fillId="0" borderId="10" xfId="4" applyFont="1" applyBorder="1" applyAlignment="1">
      <alignment horizontal="center" vertical="center"/>
    </xf>
    <xf numFmtId="167" fontId="18" fillId="0" borderId="10" xfId="1" applyNumberFormat="1" applyFont="1" applyBorder="1" applyAlignment="1" applyProtection="1">
      <alignment horizontal="center" vertical="center"/>
    </xf>
    <xf numFmtId="0" fontId="11" fillId="4" borderId="0" xfId="0" applyFont="1" applyFill="1" applyAlignment="1">
      <alignment vertical="center" shrinkToFit="1"/>
    </xf>
    <xf numFmtId="167" fontId="18" fillId="0" borderId="16" xfId="1" applyNumberFormat="1" applyFont="1" applyBorder="1" applyAlignment="1" applyProtection="1">
      <alignment horizontal="center" vertical="center"/>
    </xf>
    <xf numFmtId="3" fontId="16" fillId="6" borderId="8" xfId="5" applyNumberFormat="1" applyFont="1" applyFill="1" applyBorder="1" applyAlignment="1">
      <alignment horizontal="center" vertical="center"/>
    </xf>
    <xf numFmtId="0" fontId="11" fillId="0" borderId="0" xfId="1" applyNumberFormat="1" applyFont="1" applyFill="1" applyBorder="1" applyAlignment="1" applyProtection="1">
      <alignment vertical="center" shrinkToFit="1"/>
    </xf>
    <xf numFmtId="3" fontId="16" fillId="2" borderId="12" xfId="5" applyNumberFormat="1" applyFont="1" applyFill="1" applyBorder="1" applyAlignment="1">
      <alignment horizontal="center" vertical="center"/>
    </xf>
    <xf numFmtId="0" fontId="15" fillId="2" borderId="10" xfId="0" applyFont="1" applyFill="1" applyBorder="1">
      <alignment horizontal="center" vertical="center"/>
    </xf>
    <xf numFmtId="3" fontId="16" fillId="2" borderId="12" xfId="5" applyNumberFormat="1" applyFont="1" applyFill="1" applyBorder="1" applyAlignment="1">
      <alignment vertical="center"/>
    </xf>
    <xf numFmtId="0" fontId="16" fillId="2" borderId="10" xfId="0" applyFont="1" applyFill="1" applyBorder="1">
      <alignment horizontal="center" vertical="center"/>
    </xf>
    <xf numFmtId="0" fontId="16" fillId="8" borderId="10" xfId="0" applyFont="1" applyFill="1" applyBorder="1">
      <alignment horizontal="center" vertical="center"/>
    </xf>
    <xf numFmtId="0" fontId="11" fillId="0" borderId="10" xfId="0" applyFont="1" applyBorder="1">
      <alignment horizontal="center" vertical="center"/>
    </xf>
    <xf numFmtId="0" fontId="15" fillId="0" borderId="10" xfId="0" applyFont="1" applyBorder="1" applyAlignment="1">
      <alignment vertical="center"/>
    </xf>
    <xf numFmtId="0" fontId="15" fillId="8" borderId="10" xfId="0" applyFont="1" applyFill="1" applyBorder="1">
      <alignment horizontal="center" vertical="center"/>
    </xf>
    <xf numFmtId="0" fontId="11" fillId="8" borderId="0" xfId="0" applyFont="1" applyFill="1" applyAlignment="1">
      <alignment vertical="center" shrinkToFit="1"/>
    </xf>
    <xf numFmtId="0" fontId="15" fillId="9" borderId="10" xfId="0" applyFont="1" applyFill="1" applyBorder="1">
      <alignment horizontal="center" vertical="center"/>
    </xf>
    <xf numFmtId="167" fontId="15" fillId="0" borderId="10" xfId="1" applyNumberFormat="1" applyFont="1" applyFill="1" applyBorder="1" applyAlignment="1" applyProtection="1">
      <alignment vertical="center"/>
    </xf>
    <xf numFmtId="49" fontId="16" fillId="2" borderId="12" xfId="5" applyNumberFormat="1" applyFont="1" applyFill="1" applyBorder="1" applyAlignment="1">
      <alignment horizontal="center" vertical="center"/>
    </xf>
    <xf numFmtId="0" fontId="16" fillId="2" borderId="12" xfId="4" applyFont="1" applyFill="1" applyBorder="1" applyAlignment="1">
      <alignment horizontal="center" vertical="center"/>
    </xf>
    <xf numFmtId="3" fontId="16" fillId="0" borderId="24" xfId="5" applyNumberFormat="1" applyFont="1" applyBorder="1" applyAlignment="1">
      <alignment horizontal="center" vertical="center"/>
    </xf>
    <xf numFmtId="49" fontId="16" fillId="0" borderId="10" xfId="5" applyNumberFormat="1" applyFont="1" applyBorder="1" applyAlignment="1">
      <alignment horizontal="center" vertical="center"/>
    </xf>
    <xf numFmtId="3" fontId="16" fillId="2" borderId="10" xfId="5" applyNumberFormat="1" applyFont="1" applyFill="1" applyBorder="1" applyAlignment="1">
      <alignment vertical="center"/>
    </xf>
    <xf numFmtId="4" fontId="11" fillId="0" borderId="0" xfId="2" applyNumberFormat="1" applyFont="1" applyAlignment="1">
      <alignment vertical="center" shrinkToFit="1"/>
    </xf>
    <xf numFmtId="4" fontId="16" fillId="0" borderId="10" xfId="5" applyNumberFormat="1" applyFont="1" applyBorder="1" applyAlignment="1">
      <alignment horizontal="center" vertical="center"/>
    </xf>
    <xf numFmtId="2" fontId="15" fillId="0" borderId="10" xfId="1" applyNumberFormat="1" applyFont="1" applyBorder="1" applyAlignment="1" applyProtection="1">
      <alignment horizontal="center" vertical="center"/>
    </xf>
    <xf numFmtId="2" fontId="23" fillId="0" borderId="10" xfId="2" applyNumberFormat="1" applyFont="1" applyBorder="1" applyAlignment="1">
      <alignment horizontal="center" vertical="center"/>
    </xf>
    <xf numFmtId="3" fontId="11" fillId="9" borderId="0" xfId="2" applyNumberFormat="1" applyFont="1" applyFill="1" applyAlignment="1">
      <alignment vertical="center" shrinkToFit="1"/>
    </xf>
    <xf numFmtId="170" fontId="15" fillId="0" borderId="0" xfId="2" applyNumberFormat="1" applyFont="1" applyAlignment="1">
      <alignment vertical="center"/>
    </xf>
    <xf numFmtId="0" fontId="23" fillId="0" borderId="10" xfId="4" applyFont="1" applyBorder="1" applyAlignment="1">
      <alignment horizontal="center" vertical="center"/>
    </xf>
    <xf numFmtId="0" fontId="15" fillId="2" borderId="10" xfId="4" applyFont="1" applyFill="1" applyBorder="1" applyAlignment="1">
      <alignment horizontal="center" vertical="center"/>
    </xf>
    <xf numFmtId="4" fontId="29" fillId="0" borderId="0" xfId="2" applyNumberFormat="1" applyFont="1" applyAlignment="1">
      <alignment vertical="center" shrinkToFit="1"/>
    </xf>
    <xf numFmtId="167" fontId="15" fillId="0" borderId="10" xfId="1" applyNumberFormat="1" applyFont="1" applyBorder="1" applyAlignment="1" applyProtection="1">
      <alignment horizontal="center" vertical="center"/>
    </xf>
    <xf numFmtId="0" fontId="15" fillId="9" borderId="10" xfId="4" applyFont="1" applyFill="1" applyBorder="1" applyAlignment="1">
      <alignment horizontal="center" vertical="center"/>
    </xf>
    <xf numFmtId="3" fontId="15" fillId="0" borderId="1" xfId="5" applyNumberFormat="1" applyFont="1" applyBorder="1" applyAlignment="1">
      <alignment vertical="center"/>
    </xf>
    <xf numFmtId="3" fontId="16" fillId="0" borderId="8" xfId="5" applyNumberFormat="1" applyFont="1" applyBorder="1" applyAlignment="1">
      <alignment vertical="center"/>
    </xf>
    <xf numFmtId="3" fontId="16" fillId="0" borderId="9" xfId="5" applyNumberFormat="1" applyFont="1" applyBorder="1" applyAlignment="1">
      <alignment vertical="center"/>
    </xf>
    <xf numFmtId="3" fontId="15" fillId="0" borderId="0" xfId="2" applyNumberFormat="1" applyFont="1" applyAlignment="1">
      <alignment vertical="center" wrapText="1"/>
    </xf>
    <xf numFmtId="3" fontId="16" fillId="0" borderId="6" xfId="5" applyNumberFormat="1" applyFont="1" applyBorder="1" applyAlignment="1">
      <alignment horizontal="center" vertical="center"/>
    </xf>
    <xf numFmtId="3" fontId="15" fillId="0" borderId="6" xfId="2" applyNumberFormat="1" applyFont="1" applyBorder="1" applyAlignment="1">
      <alignment horizontal="center" vertical="center"/>
    </xf>
    <xf numFmtId="2" fontId="15" fillId="0" borderId="10" xfId="4" applyNumberFormat="1" applyFont="1" applyBorder="1" applyAlignment="1">
      <alignment horizontal="center" vertical="center"/>
    </xf>
    <xf numFmtId="0" fontId="15" fillId="4" borderId="0" xfId="0" applyFont="1" applyFill="1" applyAlignment="1">
      <alignment vertical="center" shrinkToFit="1"/>
    </xf>
    <xf numFmtId="0" fontId="16" fillId="4" borderId="10" xfId="0" applyFont="1" applyFill="1" applyBorder="1" applyProtection="1">
      <alignment horizontal="center" vertical="center"/>
      <protection hidden="1"/>
    </xf>
    <xf numFmtId="1" fontId="15" fillId="0" borderId="10" xfId="4" applyNumberFormat="1" applyFont="1" applyBorder="1" applyAlignment="1">
      <alignment horizontal="center" vertical="center"/>
    </xf>
    <xf numFmtId="1" fontId="15" fillId="0" borderId="10" xfId="1" applyNumberFormat="1" applyFont="1" applyBorder="1" applyAlignment="1" applyProtection="1">
      <alignment horizontal="center" vertical="center"/>
    </xf>
    <xf numFmtId="0" fontId="30" fillId="7" borderId="10" xfId="0" applyFont="1" applyFill="1" applyBorder="1" applyAlignment="1">
      <alignment horizontal="left"/>
    </xf>
    <xf numFmtId="0" fontId="30" fillId="2" borderId="10" xfId="0" quotePrefix="1" applyFont="1" applyFill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11" fillId="10" borderId="0" xfId="0" applyFont="1" applyFill="1" applyAlignment="1">
      <alignment vertical="center" shrinkToFit="1"/>
    </xf>
    <xf numFmtId="0" fontId="30" fillId="2" borderId="10" xfId="0" applyFont="1" applyFill="1" applyBorder="1" applyAlignment="1">
      <alignment horizontal="left"/>
    </xf>
    <xf numFmtId="0" fontId="17" fillId="0" borderId="8" xfId="5" applyFont="1" applyBorder="1" applyAlignment="1">
      <alignment horizontal="center" vertical="center"/>
    </xf>
    <xf numFmtId="0" fontId="31" fillId="0" borderId="10" xfId="4" applyFont="1" applyBorder="1" applyAlignment="1">
      <alignment horizontal="center" vertical="center"/>
    </xf>
    <xf numFmtId="0" fontId="31" fillId="0" borderId="10" xfId="1" applyNumberFormat="1" applyFont="1" applyBorder="1" applyAlignment="1" applyProtection="1">
      <alignment horizontal="center" vertical="center"/>
    </xf>
    <xf numFmtId="167" fontId="15" fillId="0" borderId="10" xfId="1" applyNumberFormat="1" applyFont="1" applyBorder="1" applyAlignment="1" applyProtection="1">
      <alignment horizontal="right" vertical="center"/>
    </xf>
    <xf numFmtId="169" fontId="15" fillId="0" borderId="10" xfId="4" applyNumberFormat="1" applyFont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5" fillId="11" borderId="10" xfId="0" applyFont="1" applyFill="1" applyBorder="1" applyAlignment="1">
      <alignment vertical="center" shrinkToFit="1"/>
    </xf>
    <xf numFmtId="0" fontId="32" fillId="0" borderId="10" xfId="4" applyFont="1" applyBorder="1" applyAlignment="1">
      <alignment horizontal="center" vertical="center"/>
    </xf>
    <xf numFmtId="0" fontId="32" fillId="12" borderId="10" xfId="4" applyFont="1" applyFill="1" applyBorder="1" applyAlignment="1">
      <alignment horizontal="center" vertical="center"/>
    </xf>
    <xf numFmtId="3" fontId="15" fillId="0" borderId="11" xfId="2" applyNumberFormat="1" applyFont="1" applyBorder="1" applyAlignment="1">
      <alignment vertical="center"/>
    </xf>
    <xf numFmtId="0" fontId="18" fillId="0" borderId="16" xfId="4" applyFont="1" applyBorder="1" applyAlignment="1">
      <alignment horizontal="center" vertical="center"/>
    </xf>
    <xf numFmtId="0" fontId="11" fillId="4" borderId="13" xfId="0" applyFont="1" applyFill="1" applyBorder="1" applyAlignment="1">
      <alignment vertical="center" shrinkToFit="1"/>
    </xf>
    <xf numFmtId="3" fontId="15" fillId="0" borderId="10" xfId="5" applyNumberFormat="1" applyFont="1" applyBorder="1" applyAlignment="1">
      <alignment vertical="center"/>
    </xf>
    <xf numFmtId="0" fontId="11" fillId="0" borderId="13" xfId="0" applyFont="1" applyBorder="1" applyAlignment="1">
      <alignment vertical="center" shrinkToFit="1"/>
    </xf>
    <xf numFmtId="0" fontId="33" fillId="12" borderId="10" xfId="4" applyFont="1" applyFill="1" applyBorder="1" applyAlignment="1">
      <alignment horizontal="center" vertical="center"/>
    </xf>
    <xf numFmtId="167" fontId="15" fillId="9" borderId="10" xfId="1" applyNumberFormat="1" applyFont="1" applyFill="1" applyBorder="1" applyAlignment="1" applyProtection="1">
      <alignment vertical="center"/>
    </xf>
    <xf numFmtId="0" fontId="33" fillId="12" borderId="8" xfId="4" applyFont="1" applyFill="1" applyBorder="1" applyAlignment="1">
      <alignment horizontal="center" vertical="center"/>
    </xf>
    <xf numFmtId="167" fontId="15" fillId="9" borderId="16" xfId="1" applyNumberFormat="1" applyFont="1" applyFill="1" applyBorder="1" applyAlignment="1" applyProtection="1">
      <alignment vertical="center"/>
    </xf>
    <xf numFmtId="167" fontId="15" fillId="0" borderId="16" xfId="1" applyNumberFormat="1" applyFont="1" applyBorder="1" applyAlignment="1" applyProtection="1">
      <alignment horizontal="center" vertical="center"/>
    </xf>
    <xf numFmtId="3" fontId="18" fillId="0" borderId="25" xfId="2" applyNumberFormat="1" applyFont="1" applyBorder="1" applyAlignment="1">
      <alignment horizontal="right" vertical="center"/>
    </xf>
    <xf numFmtId="0" fontId="3" fillId="0" borderId="0" xfId="2" applyFont="1" applyAlignment="1">
      <alignment horizontal="center" vertical="center"/>
    </xf>
    <xf numFmtId="3" fontId="3" fillId="0" borderId="0" xfId="2" applyNumberFormat="1" applyFont="1" applyAlignment="1">
      <alignment horizontal="center" vertical="center"/>
    </xf>
    <xf numFmtId="0" fontId="30" fillId="0" borderId="0" xfId="0" applyFont="1">
      <alignment horizontal="center" vertical="center"/>
    </xf>
    <xf numFmtId="0" fontId="30" fillId="0" borderId="0" xfId="0" applyFont="1" applyAlignment="1">
      <alignment horizontal="left" shrinkToFit="1"/>
    </xf>
    <xf numFmtId="0" fontId="36" fillId="0" borderId="0" xfId="0" applyFont="1">
      <alignment horizontal="center" vertical="center"/>
    </xf>
    <xf numFmtId="0" fontId="30" fillId="0" borderId="0" xfId="0" applyFont="1" applyProtection="1">
      <alignment horizontal="center" vertical="center"/>
      <protection hidden="1"/>
    </xf>
    <xf numFmtId="164" fontId="30" fillId="3" borderId="0" xfId="0" applyNumberFormat="1" applyFont="1" applyFill="1" applyAlignment="1" applyProtection="1">
      <protection hidden="1"/>
    </xf>
    <xf numFmtId="0" fontId="6" fillId="3" borderId="0" xfId="0" applyFont="1" applyFill="1" applyProtection="1">
      <alignment horizontal="center" vertical="center"/>
      <protection hidden="1"/>
    </xf>
    <xf numFmtId="3" fontId="6" fillId="3" borderId="0" xfId="0" applyNumberFormat="1" applyFont="1" applyFill="1" applyProtection="1">
      <alignment horizontal="center" vertical="center"/>
      <protection hidden="1"/>
    </xf>
    <xf numFmtId="0" fontId="30" fillId="9" borderId="0" xfId="0" applyFont="1" applyFill="1" applyAlignment="1">
      <alignment horizontal="center" vertical="center" shrinkToFit="1"/>
    </xf>
    <xf numFmtId="0" fontId="36" fillId="0" borderId="0" xfId="0" applyFont="1" applyAlignment="1">
      <alignment horizontal="centerContinuous" vertical="center"/>
    </xf>
    <xf numFmtId="0" fontId="37" fillId="0" borderId="0" xfId="0" applyFont="1" applyAlignment="1" applyProtection="1">
      <alignment horizontal="centerContinuous" vertical="center" wrapText="1"/>
      <protection hidden="1"/>
    </xf>
    <xf numFmtId="0" fontId="30" fillId="0" borderId="0" xfId="0" applyFont="1" applyAlignment="1" applyProtection="1">
      <alignment horizontal="centerContinuous" vertical="center"/>
      <protection hidden="1"/>
    </xf>
    <xf numFmtId="0" fontId="30" fillId="0" borderId="0" xfId="0" applyFont="1" applyAlignment="1" applyProtection="1">
      <alignment horizontal="center"/>
      <protection hidden="1"/>
    </xf>
    <xf numFmtId="0" fontId="30" fillId="0" borderId="0" xfId="0" applyFont="1" applyAlignment="1">
      <alignment horizontal="centerContinuous" vertical="center"/>
    </xf>
    <xf numFmtId="0" fontId="30" fillId="0" borderId="0" xfId="0" applyFont="1" applyAlignment="1"/>
    <xf numFmtId="0" fontId="30" fillId="0" borderId="0" xfId="0" applyFont="1" applyAlignment="1">
      <alignment horizontal="center" vertical="center" shrinkToFit="1"/>
    </xf>
    <xf numFmtId="0" fontId="38" fillId="0" borderId="0" xfId="0" applyFont="1" applyAlignment="1">
      <alignment horizontal="centerContinuous" vertical="center" wrapText="1"/>
    </xf>
    <xf numFmtId="0" fontId="35" fillId="0" borderId="0" xfId="0" applyFont="1" applyAlignment="1">
      <alignment horizontal="centerContinuous" vertical="center" wrapText="1"/>
    </xf>
    <xf numFmtId="0" fontId="39" fillId="0" borderId="0" xfId="0" applyFont="1" applyAlignment="1">
      <alignment horizontal="centerContinuous" vertical="center" wrapText="1"/>
    </xf>
    <xf numFmtId="0" fontId="39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Continuous" vertical="center"/>
    </xf>
    <xf numFmtId="0" fontId="6" fillId="0" borderId="0" xfId="0" applyFont="1" applyAlignment="1">
      <alignment horizontal="center" vertical="center" shrinkToFit="1"/>
    </xf>
    <xf numFmtId="0" fontId="6" fillId="0" borderId="0" xfId="0" applyFont="1">
      <alignment horizontal="center" vertical="center"/>
    </xf>
    <xf numFmtId="0" fontId="40" fillId="0" borderId="26" xfId="0" applyFont="1" applyBorder="1">
      <alignment horizontal="center" vertical="center"/>
    </xf>
    <xf numFmtId="0" fontId="17" fillId="5" borderId="7" xfId="0" applyFont="1" applyFill="1" applyBorder="1" applyAlignment="1">
      <alignment horizontal="centerContinuous" vertical="center" wrapText="1"/>
    </xf>
    <xf numFmtId="0" fontId="16" fillId="0" borderId="8" xfId="0" applyFont="1" applyBorder="1" applyAlignment="1" applyProtection="1">
      <alignment horizontal="centerContinuous" vertical="center"/>
      <protection hidden="1"/>
    </xf>
    <xf numFmtId="0" fontId="17" fillId="5" borderId="8" xfId="0" applyFont="1" applyFill="1" applyBorder="1" applyAlignment="1">
      <alignment horizontal="centerContinuous" vertical="center" wrapText="1"/>
    </xf>
    <xf numFmtId="0" fontId="17" fillId="5" borderId="9" xfId="0" applyFont="1" applyFill="1" applyBorder="1" applyAlignment="1">
      <alignment horizontal="centerContinuous" vertical="center" wrapText="1"/>
    </xf>
    <xf numFmtId="0" fontId="6" fillId="0" borderId="0" xfId="0" applyFont="1" applyAlignment="1">
      <alignment horizontal="left" vertical="center" shrinkToFit="1"/>
    </xf>
    <xf numFmtId="0" fontId="40" fillId="0" borderId="27" xfId="0" applyFont="1" applyBorder="1">
      <alignment horizontal="center" vertical="center"/>
    </xf>
    <xf numFmtId="0" fontId="16" fillId="0" borderId="1" xfId="0" applyFont="1" applyBorder="1" applyProtection="1">
      <alignment horizontal="center" vertical="center"/>
      <protection hidden="1"/>
    </xf>
    <xf numFmtId="0" fontId="17" fillId="5" borderId="2" xfId="0" applyFont="1" applyFill="1" applyBorder="1">
      <alignment horizontal="center" vertical="center"/>
    </xf>
    <xf numFmtId="0" fontId="6" fillId="0" borderId="0" xfId="0" applyFont="1" applyAlignment="1">
      <alignment horizontal="left" shrinkToFit="1"/>
    </xf>
    <xf numFmtId="0" fontId="6" fillId="0" borderId="0" xfId="0" applyFont="1" applyAlignment="1">
      <alignment horizontal="center"/>
    </xf>
    <xf numFmtId="0" fontId="40" fillId="0" borderId="1" xfId="0" applyFont="1" applyBorder="1">
      <alignment horizontal="center" vertical="center"/>
    </xf>
    <xf numFmtId="0" fontId="15" fillId="0" borderId="1" xfId="0" applyFont="1" applyBorder="1" applyProtection="1">
      <alignment horizontal="center" vertical="center"/>
      <protection hidden="1"/>
    </xf>
    <xf numFmtId="0" fontId="15" fillId="0" borderId="1" xfId="0" applyFont="1" applyBorder="1" applyAlignment="1" applyProtection="1">
      <alignment vertical="center"/>
      <protection hidden="1"/>
    </xf>
    <xf numFmtId="0" fontId="15" fillId="0" borderId="3" xfId="0" applyFont="1" applyBorder="1" applyProtection="1">
      <alignment horizontal="center" vertical="center"/>
      <protection hidden="1"/>
    </xf>
    <xf numFmtId="0" fontId="40" fillId="0" borderId="11" xfId="0" applyFont="1" applyBorder="1">
      <alignment horizontal="center" vertical="center"/>
    </xf>
    <xf numFmtId="0" fontId="15" fillId="0" borderId="11" xfId="0" applyFont="1" applyBorder="1" applyProtection="1">
      <alignment horizontal="center"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40" fillId="0" borderId="10" xfId="0" applyFont="1" applyBorder="1">
      <alignment horizontal="center" vertical="center"/>
    </xf>
    <xf numFmtId="0" fontId="16" fillId="0" borderId="10" xfId="0" applyFont="1" applyBorder="1" applyProtection="1">
      <alignment horizontal="center" vertical="center"/>
      <protection hidden="1"/>
    </xf>
    <xf numFmtId="0" fontId="16" fillId="4" borderId="10" xfId="0" applyFont="1" applyFill="1" applyBorder="1" applyAlignment="1" applyProtection="1">
      <alignment vertical="center"/>
      <protection hidden="1"/>
    </xf>
    <xf numFmtId="0" fontId="15" fillId="0" borderId="10" xfId="0" applyFont="1" applyBorder="1" applyProtection="1">
      <alignment horizontal="center" vertical="center"/>
      <protection hidden="1"/>
    </xf>
    <xf numFmtId="0" fontId="30" fillId="4" borderId="0" xfId="0" applyFont="1" applyFill="1">
      <alignment horizontal="center" vertical="center"/>
    </xf>
    <xf numFmtId="0" fontId="6" fillId="4" borderId="0" xfId="0" applyFont="1" applyFill="1" applyAlignment="1">
      <alignment horizontal="left" shrinkToFit="1"/>
    </xf>
    <xf numFmtId="0" fontId="6" fillId="4" borderId="0" xfId="0" applyFont="1" applyFill="1" applyAlignment="1">
      <alignment horizontal="center"/>
    </xf>
    <xf numFmtId="167" fontId="40" fillId="4" borderId="10" xfId="1" applyNumberFormat="1" applyFont="1" applyFill="1" applyBorder="1" applyAlignment="1" applyProtection="1">
      <alignment vertical="center"/>
    </xf>
    <xf numFmtId="0" fontId="15" fillId="4" borderId="10" xfId="0" applyFont="1" applyFill="1" applyBorder="1" applyProtection="1">
      <alignment horizontal="center" vertical="center"/>
      <protection hidden="1"/>
    </xf>
    <xf numFmtId="0" fontId="16" fillId="4" borderId="10" xfId="0" applyFont="1" applyFill="1" applyBorder="1" applyAlignment="1" applyProtection="1">
      <alignment horizontal="left" vertical="center"/>
      <protection hidden="1"/>
    </xf>
    <xf numFmtId="0" fontId="16" fillId="4" borderId="10" xfId="1" applyNumberFormat="1" applyFont="1" applyFill="1" applyBorder="1" applyAlignment="1" applyProtection="1">
      <alignment horizontal="center" vertical="center"/>
      <protection hidden="1"/>
    </xf>
    <xf numFmtId="0" fontId="15" fillId="4" borderId="10" xfId="1" applyNumberFormat="1" applyFont="1" applyFill="1" applyBorder="1" applyAlignment="1" applyProtection="1">
      <alignment horizontal="center" vertical="center"/>
      <protection hidden="1"/>
    </xf>
    <xf numFmtId="167" fontId="15" fillId="4" borderId="10" xfId="1" applyNumberFormat="1" applyFont="1" applyFill="1" applyBorder="1" applyAlignment="1" applyProtection="1">
      <alignment vertical="center"/>
      <protection hidden="1"/>
    </xf>
    <xf numFmtId="167" fontId="15" fillId="0" borderId="0" xfId="0" applyNumberFormat="1" applyFont="1" applyAlignment="1"/>
    <xf numFmtId="171" fontId="40" fillId="0" borderId="10" xfId="1" applyNumberFormat="1" applyFont="1" applyBorder="1" applyAlignment="1" applyProtection="1">
      <alignment vertical="center"/>
    </xf>
    <xf numFmtId="0" fontId="15" fillId="6" borderId="10" xfId="0" applyFont="1" applyFill="1" applyBorder="1" applyAlignment="1" applyProtection="1">
      <alignment vertical="center"/>
      <protection hidden="1"/>
    </xf>
    <xf numFmtId="0" fontId="15" fillId="0" borderId="10" xfId="1" applyNumberFormat="1" applyFont="1" applyBorder="1" applyAlignment="1" applyProtection="1">
      <alignment horizontal="center" vertical="center"/>
      <protection hidden="1"/>
    </xf>
    <xf numFmtId="0" fontId="15" fillId="0" borderId="10" xfId="1" applyNumberFormat="1" applyFont="1" applyFill="1" applyBorder="1" applyAlignment="1" applyProtection="1">
      <alignment horizontal="center" vertical="center"/>
      <protection hidden="1"/>
    </xf>
    <xf numFmtId="166" fontId="15" fillId="0" borderId="10" xfId="1" applyFont="1" applyBorder="1" applyAlignment="1" applyProtection="1">
      <alignment vertical="center"/>
      <protection hidden="1"/>
    </xf>
    <xf numFmtId="0" fontId="41" fillId="0" borderId="0" xfId="0" applyFont="1" applyAlignment="1">
      <alignment horizontal="left" shrinkToFit="1"/>
    </xf>
    <xf numFmtId="166" fontId="40" fillId="0" borderId="10" xfId="1" applyFont="1" applyBorder="1" applyAlignment="1" applyProtection="1">
      <alignment vertical="center"/>
    </xf>
    <xf numFmtId="167" fontId="40" fillId="0" borderId="10" xfId="1" applyNumberFormat="1" applyFont="1" applyBorder="1" applyAlignment="1" applyProtection="1">
      <alignment vertical="center"/>
    </xf>
    <xf numFmtId="0" fontId="15" fillId="0" borderId="10" xfId="0" applyFont="1" applyBorder="1" applyAlignment="1" applyProtection="1">
      <alignment vertical="center"/>
      <protection hidden="1"/>
    </xf>
    <xf numFmtId="167" fontId="15" fillId="0" borderId="10" xfId="1" applyNumberFormat="1" applyFont="1" applyBorder="1" applyAlignment="1" applyProtection="1">
      <alignment vertical="center"/>
      <protection hidden="1"/>
    </xf>
    <xf numFmtId="171" fontId="40" fillId="0" borderId="10" xfId="1" applyNumberFormat="1" applyFont="1" applyFill="1" applyBorder="1" applyAlignment="1" applyProtection="1">
      <alignment vertical="center"/>
    </xf>
    <xf numFmtId="166" fontId="15" fillId="0" borderId="10" xfId="1" applyFont="1" applyFill="1" applyBorder="1" applyAlignment="1" applyProtection="1">
      <alignment vertical="center"/>
      <protection hidden="1"/>
    </xf>
    <xf numFmtId="166" fontId="40" fillId="0" borderId="10" xfId="1" applyFont="1" applyFill="1" applyBorder="1" applyAlignment="1" applyProtection="1">
      <alignment vertical="center"/>
    </xf>
    <xf numFmtId="167" fontId="40" fillId="0" borderId="10" xfId="1" applyNumberFormat="1" applyFont="1" applyFill="1" applyBorder="1" applyAlignment="1" applyProtection="1">
      <alignment vertical="center"/>
    </xf>
    <xf numFmtId="167" fontId="15" fillId="0" borderId="10" xfId="1" applyNumberFormat="1" applyFont="1" applyFill="1" applyBorder="1" applyAlignment="1" applyProtection="1">
      <alignment vertical="center"/>
      <protection hidden="1"/>
    </xf>
    <xf numFmtId="172" fontId="40" fillId="0" borderId="10" xfId="1" applyNumberFormat="1" applyFont="1" applyFill="1" applyBorder="1" applyAlignment="1" applyProtection="1">
      <alignment vertical="center"/>
    </xf>
    <xf numFmtId="0" fontId="41" fillId="0" borderId="0" xfId="0" applyFont="1" applyAlignment="1">
      <alignment horizontal="left" vertical="center" shrinkToFit="1"/>
    </xf>
    <xf numFmtId="172" fontId="15" fillId="0" borderId="10" xfId="1" applyNumberFormat="1" applyFont="1" applyFill="1" applyBorder="1" applyAlignment="1" applyProtection="1">
      <alignment vertical="center"/>
      <protection hidden="1"/>
    </xf>
    <xf numFmtId="0" fontId="30" fillId="4" borderId="0" xfId="0" applyFont="1" applyFill="1" applyAlignment="1">
      <alignment horizontal="center" vertical="center" shrinkToFit="1"/>
    </xf>
    <xf numFmtId="171" fontId="15" fillId="0" borderId="10" xfId="1" applyNumberFormat="1" applyFont="1" applyFill="1" applyBorder="1" applyAlignment="1" applyProtection="1">
      <alignment vertical="center"/>
      <protection hidden="1"/>
    </xf>
    <xf numFmtId="172" fontId="40" fillId="0" borderId="10" xfId="1" applyNumberFormat="1" applyFont="1" applyBorder="1" applyAlignment="1" applyProtection="1">
      <alignment vertical="center"/>
    </xf>
    <xf numFmtId="166" fontId="40" fillId="9" borderId="10" xfId="1" applyFont="1" applyFill="1" applyBorder="1" applyAlignment="1" applyProtection="1">
      <alignment vertical="center"/>
    </xf>
    <xf numFmtId="0" fontId="11" fillId="0" borderId="10" xfId="0" applyFont="1" applyBorder="1" applyAlignment="1" applyProtection="1">
      <alignment vertical="center"/>
      <protection hidden="1"/>
    </xf>
    <xf numFmtId="173" fontId="40" fillId="0" borderId="10" xfId="1" applyNumberFormat="1" applyFont="1" applyFill="1" applyBorder="1" applyAlignment="1" applyProtection="1">
      <alignment vertical="center"/>
    </xf>
    <xf numFmtId="172" fontId="15" fillId="0" borderId="10" xfId="1" applyNumberFormat="1" applyFont="1" applyBorder="1" applyAlignment="1" applyProtection="1">
      <alignment vertical="center"/>
      <protection hidden="1"/>
    </xf>
    <xf numFmtId="0" fontId="6" fillId="4" borderId="0" xfId="0" applyFont="1" applyFill="1">
      <alignment horizontal="center" vertical="center"/>
    </xf>
    <xf numFmtId="171" fontId="40" fillId="4" borderId="10" xfId="1" applyNumberFormat="1" applyFont="1" applyFill="1" applyBorder="1" applyAlignment="1" applyProtection="1">
      <alignment vertical="center"/>
    </xf>
    <xf numFmtId="174" fontId="15" fillId="0" borderId="10" xfId="0" applyNumberFormat="1" applyFont="1" applyBorder="1" applyProtection="1">
      <alignment horizontal="center" vertical="center"/>
      <protection hidden="1"/>
    </xf>
    <xf numFmtId="2" fontId="15" fillId="0" borderId="10" xfId="1" applyNumberFormat="1" applyFont="1" applyBorder="1" applyAlignment="1" applyProtection="1">
      <alignment horizontal="center" vertical="center"/>
      <protection hidden="1"/>
    </xf>
    <xf numFmtId="0" fontId="15" fillId="13" borderId="10" xfId="0" applyFont="1" applyFill="1" applyBorder="1" applyProtection="1">
      <alignment horizontal="center" vertical="center"/>
      <protection hidden="1"/>
    </xf>
    <xf numFmtId="166" fontId="15" fillId="0" borderId="10" xfId="1" applyFont="1" applyBorder="1" applyAlignment="1" applyProtection="1">
      <alignment horizontal="center" vertical="center"/>
      <protection hidden="1"/>
    </xf>
    <xf numFmtId="166" fontId="40" fillId="4" borderId="10" xfId="1" applyFont="1" applyFill="1" applyBorder="1" applyAlignment="1" applyProtection="1">
      <alignment vertical="center"/>
    </xf>
    <xf numFmtId="0" fontId="42" fillId="0" borderId="10" xfId="0" applyFont="1" applyBorder="1" applyProtection="1">
      <alignment horizontal="center" vertical="center"/>
      <protection hidden="1"/>
    </xf>
    <xf numFmtId="167" fontId="43" fillId="4" borderId="10" xfId="1" applyNumberFormat="1" applyFont="1" applyFill="1" applyBorder="1" applyAlignment="1" applyProtection="1">
      <alignment vertical="center"/>
      <protection hidden="1"/>
    </xf>
    <xf numFmtId="0" fontId="6" fillId="0" borderId="0" xfId="1" applyNumberFormat="1" applyFont="1" applyFill="1" applyBorder="1" applyAlignment="1" applyProtection="1">
      <alignment horizontal="left" vertical="center"/>
    </xf>
    <xf numFmtId="0" fontId="6" fillId="0" borderId="0" xfId="1" applyNumberFormat="1" applyFont="1" applyFill="1" applyBorder="1" applyAlignment="1" applyProtection="1">
      <alignment horizontal="left" vertical="center" shrinkToFit="1"/>
    </xf>
    <xf numFmtId="0" fontId="42" fillId="4" borderId="10" xfId="0" applyFont="1" applyFill="1" applyBorder="1" applyProtection="1">
      <alignment horizontal="center" vertical="center"/>
      <protection hidden="1"/>
    </xf>
    <xf numFmtId="0" fontId="6" fillId="0" borderId="0" xfId="1" applyNumberFormat="1" applyFont="1" applyFill="1" applyBorder="1" applyAlignment="1" applyProtection="1">
      <alignment horizontal="center" vertical="center"/>
    </xf>
    <xf numFmtId="0" fontId="6" fillId="8" borderId="0" xfId="1" applyNumberFormat="1" applyFont="1" applyFill="1" applyBorder="1" applyAlignment="1" applyProtection="1">
      <alignment horizontal="left" vertical="center"/>
    </xf>
    <xf numFmtId="0" fontId="6" fillId="8" borderId="0" xfId="1" applyNumberFormat="1" applyFont="1" applyFill="1" applyBorder="1" applyAlignment="1" applyProtection="1">
      <alignment horizontal="left" vertical="center" shrinkToFit="1"/>
    </xf>
    <xf numFmtId="0" fontId="15" fillId="10" borderId="10" xfId="0" applyFont="1" applyFill="1" applyBorder="1" applyProtection="1">
      <alignment horizontal="center" vertical="center"/>
      <protection hidden="1"/>
    </xf>
    <xf numFmtId="0" fontId="30" fillId="2" borderId="10" xfId="0" applyFont="1" applyFill="1" applyBorder="1" applyAlignment="1">
      <alignment horizontal="left" shrinkToFit="1"/>
    </xf>
    <xf numFmtId="0" fontId="16" fillId="4" borderId="10" xfId="0" applyFont="1" applyFill="1" applyBorder="1" applyAlignment="1" applyProtection="1">
      <alignment horizontal="left" vertical="center" shrinkToFit="1"/>
      <protection hidden="1"/>
    </xf>
    <xf numFmtId="169" fontId="15" fillId="0" borderId="10" xfId="1" applyNumberFormat="1" applyFont="1" applyBorder="1" applyAlignment="1" applyProtection="1">
      <alignment horizontal="center" vertical="center"/>
      <protection hidden="1"/>
    </xf>
    <xf numFmtId="0" fontId="6" fillId="10" borderId="0" xfId="0" applyFont="1" applyFill="1" applyAlignment="1">
      <alignment horizontal="left" shrinkToFit="1"/>
    </xf>
    <xf numFmtId="166" fontId="6" fillId="14" borderId="0" xfId="0" applyNumberFormat="1" applyFont="1" applyFill="1" applyAlignment="1">
      <alignment horizontal="left" shrinkToFit="1"/>
    </xf>
    <xf numFmtId="0" fontId="6" fillId="0" borderId="0" xfId="0" quotePrefix="1" applyFont="1" applyAlignment="1">
      <alignment horizontal="left" shrinkToFit="1"/>
    </xf>
    <xf numFmtId="0" fontId="30" fillId="0" borderId="0" xfId="1" applyNumberFormat="1" applyFont="1" applyFill="1" applyBorder="1" applyAlignment="1" applyProtection="1">
      <alignment horizontal="left" vertical="center" shrinkToFit="1"/>
    </xf>
    <xf numFmtId="0" fontId="30" fillId="0" borderId="0" xfId="1" applyNumberFormat="1" applyFont="1" applyFill="1" applyBorder="1" applyAlignment="1" applyProtection="1">
      <alignment horizontal="left" vertical="center"/>
    </xf>
    <xf numFmtId="0" fontId="30" fillId="0" borderId="0" xfId="1" applyNumberFormat="1" applyFont="1" applyFill="1" applyBorder="1" applyAlignment="1" applyProtection="1">
      <alignment horizontal="center" vertical="center"/>
    </xf>
    <xf numFmtId="0" fontId="42" fillId="0" borderId="0" xfId="1" applyNumberFormat="1" applyFont="1" applyFill="1" applyBorder="1" applyAlignment="1" applyProtection="1">
      <alignment vertical="center"/>
    </xf>
    <xf numFmtId="175" fontId="15" fillId="0" borderId="13" xfId="0" applyNumberFormat="1" applyFont="1" applyBorder="1" applyAlignment="1" applyProtection="1">
      <alignment horizontal="right" vertical="center"/>
      <protection hidden="1"/>
    </xf>
    <xf numFmtId="0" fontId="44" fillId="0" borderId="0" xfId="0" applyFont="1" applyAlignment="1">
      <alignment horizontal="left" shrinkToFit="1"/>
    </xf>
    <xf numFmtId="0" fontId="45" fillId="4" borderId="10" xfId="0" applyFont="1" applyFill="1" applyBorder="1" applyAlignment="1" applyProtection="1">
      <alignment vertical="center"/>
      <protection hidden="1"/>
    </xf>
    <xf numFmtId="0" fontId="45" fillId="0" borderId="10" xfId="0" applyFont="1" applyBorder="1" applyProtection="1">
      <alignment horizontal="center" vertical="center"/>
      <protection hidden="1"/>
    </xf>
    <xf numFmtId="0" fontId="6" fillId="14" borderId="0" xfId="0" applyFont="1" applyFill="1" applyAlignment="1">
      <alignment horizontal="left" shrinkToFit="1"/>
    </xf>
    <xf numFmtId="0" fontId="44" fillId="0" borderId="0" xfId="0" applyFont="1" applyAlignment="1">
      <alignment horizontal="left" vertical="center" shrinkToFit="1"/>
    </xf>
    <xf numFmtId="0" fontId="45" fillId="4" borderId="10" xfId="0" applyFont="1" applyFill="1" applyBorder="1" applyAlignment="1" applyProtection="1">
      <alignment vertical="center" wrapText="1"/>
      <protection hidden="1"/>
    </xf>
    <xf numFmtId="166" fontId="6" fillId="0" borderId="0" xfId="1" applyFont="1" applyBorder="1" applyAlignment="1" applyProtection="1">
      <alignment horizontal="left" shrinkToFit="1"/>
    </xf>
    <xf numFmtId="0" fontId="45" fillId="9" borderId="10" xfId="0" applyFont="1" applyFill="1" applyBorder="1" applyAlignment="1" applyProtection="1">
      <alignment vertical="center"/>
      <protection hidden="1"/>
    </xf>
    <xf numFmtId="176" fontId="30" fillId="0" borderId="0" xfId="0" applyNumberFormat="1" applyFont="1" applyAlignment="1">
      <alignment horizontal="left"/>
    </xf>
    <xf numFmtId="167" fontId="40" fillId="0" borderId="10" xfId="1" quotePrefix="1" applyNumberFormat="1" applyFont="1" applyBorder="1" applyAlignment="1" applyProtection="1">
      <alignment vertical="center"/>
    </xf>
    <xf numFmtId="166" fontId="6" fillId="0" borderId="0" xfId="1" applyFont="1" applyFill="1" applyBorder="1" applyAlignment="1" applyProtection="1">
      <alignment horizontal="left" shrinkToFit="1"/>
    </xf>
    <xf numFmtId="166" fontId="6" fillId="0" borderId="0" xfId="1" applyFont="1" applyBorder="1" applyAlignment="1" applyProtection="1">
      <alignment horizontal="left" vertical="center" shrinkToFit="1"/>
    </xf>
    <xf numFmtId="166" fontId="6" fillId="14" borderId="0" xfId="1" applyFont="1" applyFill="1" applyBorder="1" applyAlignment="1" applyProtection="1">
      <alignment horizontal="left" shrinkToFit="1"/>
    </xf>
    <xf numFmtId="167" fontId="40" fillId="0" borderId="10" xfId="1" quotePrefix="1" applyNumberFormat="1" applyFont="1" applyFill="1" applyBorder="1" applyAlignment="1" applyProtection="1">
      <alignment vertical="center"/>
    </xf>
    <xf numFmtId="0" fontId="45" fillId="0" borderId="28" xfId="0" applyFont="1" applyBorder="1">
      <alignment horizontal="center" vertical="center"/>
    </xf>
    <xf numFmtId="167" fontId="6" fillId="0" borderId="0" xfId="1" applyNumberFormat="1" applyFont="1" applyBorder="1" applyAlignment="1" applyProtection="1">
      <alignment horizontal="left" shrinkToFit="1"/>
    </xf>
    <xf numFmtId="0" fontId="40" fillId="0" borderId="0" xfId="0" applyFont="1">
      <alignment horizontal="center" vertical="center"/>
    </xf>
    <xf numFmtId="0" fontId="30" fillId="14" borderId="10" xfId="0" applyFont="1" applyFill="1" applyBorder="1" applyAlignment="1">
      <alignment horizontal="left" shrinkToFit="1"/>
    </xf>
    <xf numFmtId="175" fontId="15" fillId="0" borderId="10" xfId="0" applyNumberFormat="1" applyFont="1" applyBorder="1" applyAlignment="1" applyProtection="1">
      <alignment horizontal="right" vertical="center"/>
      <protection hidden="1"/>
    </xf>
    <xf numFmtId="0" fontId="15" fillId="0" borderId="13" xfId="1" applyNumberFormat="1" applyFont="1" applyBorder="1" applyAlignment="1" applyProtection="1">
      <alignment horizontal="center" vertical="center"/>
      <protection hidden="1"/>
    </xf>
    <xf numFmtId="177" fontId="15" fillId="0" borderId="13" xfId="0" applyNumberFormat="1" applyFont="1" applyBorder="1" applyAlignment="1" applyProtection="1">
      <alignment horizontal="right" vertical="center"/>
      <protection hidden="1"/>
    </xf>
    <xf numFmtId="0" fontId="6" fillId="2" borderId="0" xfId="0" applyFont="1" applyFill="1" applyAlignment="1" applyProtection="1">
      <alignment horizontal="center" vertical="center" shrinkToFit="1"/>
      <protection locked="0"/>
    </xf>
    <xf numFmtId="167" fontId="15" fillId="0" borderId="10" xfId="1" applyNumberFormat="1" applyFont="1" applyBorder="1" applyAlignment="1" applyProtection="1">
      <alignment horizontal="center" vertical="center"/>
      <protection hidden="1"/>
    </xf>
    <xf numFmtId="0" fontId="16" fillId="0" borderId="10" xfId="1" applyNumberFormat="1" applyFont="1" applyBorder="1" applyAlignment="1" applyProtection="1">
      <alignment horizontal="center" vertical="center"/>
      <protection hidden="1"/>
    </xf>
    <xf numFmtId="1" fontId="15" fillId="0" borderId="10" xfId="1" applyNumberFormat="1" applyFont="1" applyBorder="1" applyAlignment="1" applyProtection="1">
      <alignment horizontal="center" vertical="center"/>
      <protection hidden="1"/>
    </xf>
    <xf numFmtId="167" fontId="40" fillId="9" borderId="10" xfId="1" quotePrefix="1" applyNumberFormat="1" applyFont="1" applyFill="1" applyBorder="1" applyAlignment="1" applyProtection="1">
      <alignment vertical="center"/>
    </xf>
    <xf numFmtId="0" fontId="7" fillId="0" borderId="0" xfId="0" applyFont="1">
      <alignment horizontal="center" vertical="center"/>
    </xf>
    <xf numFmtId="167" fontId="7" fillId="0" borderId="0" xfId="1" applyNumberFormat="1" applyFont="1" applyFill="1" applyBorder="1" applyAlignment="1" applyProtection="1">
      <alignment horizontal="left" shrinkToFit="1"/>
    </xf>
    <xf numFmtId="0" fontId="29" fillId="0" borderId="10" xfId="0" applyFont="1" applyBorder="1" applyProtection="1">
      <alignment horizontal="center" vertical="center"/>
      <protection hidden="1"/>
    </xf>
    <xf numFmtId="0" fontId="31" fillId="0" borderId="10" xfId="1" applyNumberFormat="1" applyFont="1" applyBorder="1" applyAlignment="1" applyProtection="1">
      <alignment horizontal="center" vertical="center"/>
      <protection hidden="1"/>
    </xf>
    <xf numFmtId="167" fontId="29" fillId="0" borderId="10" xfId="1" applyNumberFormat="1" applyFont="1" applyFill="1" applyBorder="1" applyAlignment="1" applyProtection="1">
      <alignment vertical="center"/>
      <protection hidden="1"/>
    </xf>
    <xf numFmtId="166" fontId="30" fillId="14" borderId="0" xfId="1" applyFont="1" applyFill="1" applyBorder="1" applyAlignment="1" applyProtection="1">
      <alignment horizontal="left" shrinkToFit="1"/>
    </xf>
    <xf numFmtId="177" fontId="15" fillId="0" borderId="10" xfId="0" applyNumberFormat="1" applyFont="1" applyBorder="1" applyAlignment="1" applyProtection="1">
      <alignment horizontal="right" vertical="center"/>
      <protection hidden="1"/>
    </xf>
    <xf numFmtId="167" fontId="40" fillId="4" borderId="10" xfId="1" quotePrefix="1" applyNumberFormat="1" applyFont="1" applyFill="1" applyBorder="1" applyAlignment="1" applyProtection="1">
      <alignment vertical="center"/>
    </xf>
    <xf numFmtId="0" fontId="15" fillId="0" borderId="10" xfId="0" applyFont="1" applyBorder="1" applyAlignment="1" applyProtection="1">
      <alignment vertical="center" shrinkToFit="1"/>
      <protection hidden="1"/>
    </xf>
    <xf numFmtId="171" fontId="15" fillId="0" borderId="10" xfId="1" applyNumberFormat="1" applyFont="1" applyBorder="1" applyAlignment="1" applyProtection="1">
      <alignment horizontal="center" vertical="center"/>
      <protection hidden="1"/>
    </xf>
    <xf numFmtId="171" fontId="15" fillId="0" borderId="10" xfId="1" applyNumberFormat="1" applyFont="1" applyBorder="1" applyAlignment="1" applyProtection="1">
      <alignment vertical="center"/>
      <protection hidden="1"/>
    </xf>
    <xf numFmtId="167" fontId="20" fillId="0" borderId="10" xfId="1" applyNumberFormat="1" applyFont="1" applyBorder="1" applyAlignment="1" applyProtection="1">
      <alignment vertical="center"/>
    </xf>
    <xf numFmtId="167" fontId="40" fillId="10" borderId="10" xfId="1" applyNumberFormat="1" applyFont="1" applyFill="1" applyBorder="1" applyAlignment="1" applyProtection="1">
      <alignment vertical="center"/>
    </xf>
    <xf numFmtId="167" fontId="15" fillId="4" borderId="10" xfId="1" applyNumberFormat="1" applyFont="1" applyFill="1" applyBorder="1" applyAlignment="1" applyProtection="1">
      <alignment horizontal="center" vertical="center"/>
      <protection hidden="1"/>
    </xf>
    <xf numFmtId="167" fontId="46" fillId="0" borderId="10" xfId="1" applyNumberFormat="1" applyFont="1" applyBorder="1" applyAlignment="1" applyProtection="1">
      <alignment vertical="center"/>
    </xf>
    <xf numFmtId="0" fontId="47" fillId="15" borderId="10" xfId="0" applyFont="1" applyFill="1" applyBorder="1" applyAlignment="1" applyProtection="1">
      <alignment vertical="center"/>
      <protection hidden="1"/>
    </xf>
    <xf numFmtId="175" fontId="11" fillId="0" borderId="13" xfId="0" applyNumberFormat="1" applyFont="1" applyBorder="1" applyAlignment="1" applyProtection="1">
      <alignment horizontal="right" vertical="center"/>
      <protection hidden="1"/>
    </xf>
    <xf numFmtId="0" fontId="11" fillId="0" borderId="10" xfId="0" applyFont="1" applyBorder="1" applyProtection="1">
      <alignment horizontal="center" vertical="center"/>
      <protection hidden="1"/>
    </xf>
    <xf numFmtId="0" fontId="11" fillId="0" borderId="10" xfId="1" applyNumberFormat="1" applyFont="1" applyBorder="1" applyAlignment="1" applyProtection="1">
      <alignment horizontal="center" vertical="center"/>
      <protection hidden="1"/>
    </xf>
    <xf numFmtId="167" fontId="11" fillId="0" borderId="10" xfId="1" applyNumberFormat="1" applyFont="1" applyBorder="1" applyAlignment="1" applyProtection="1">
      <alignment vertical="center"/>
      <protection hidden="1"/>
    </xf>
    <xf numFmtId="175" fontId="15" fillId="0" borderId="13" xfId="0" applyNumberFormat="1" applyFont="1" applyBorder="1" applyProtection="1">
      <alignment horizontal="center" vertical="center"/>
      <protection hidden="1"/>
    </xf>
    <xf numFmtId="0" fontId="15" fillId="4" borderId="10" xfId="0" applyFont="1" applyFill="1" applyBorder="1" applyAlignment="1" applyProtection="1">
      <alignment vertical="center"/>
      <protection hidden="1"/>
    </xf>
    <xf numFmtId="0" fontId="30" fillId="7" borderId="10" xfId="0" applyFont="1" applyFill="1" applyBorder="1" applyAlignment="1">
      <alignment shrinkToFit="1"/>
    </xf>
    <xf numFmtId="0" fontId="6" fillId="5" borderId="0" xfId="0" applyFont="1" applyFill="1" applyAlignment="1">
      <alignment horizontal="left" shrinkToFit="1"/>
    </xf>
    <xf numFmtId="0" fontId="30" fillId="5" borderId="0" xfId="0" applyFont="1" applyFill="1" applyAlignment="1">
      <alignment horizontal="left" shrinkToFit="1"/>
    </xf>
    <xf numFmtId="0" fontId="15" fillId="7" borderId="10" xfId="0" applyFont="1" applyFill="1" applyBorder="1" applyAlignment="1" applyProtection="1">
      <alignment vertical="center"/>
      <protection hidden="1"/>
    </xf>
    <xf numFmtId="167" fontId="40" fillId="9" borderId="10" xfId="1" quotePrefix="1" applyNumberFormat="1" applyFont="1" applyFill="1" applyBorder="1" applyAlignment="1" applyProtection="1">
      <alignment vertical="center"/>
      <protection locked="0"/>
    </xf>
    <xf numFmtId="0" fontId="15" fillId="2" borderId="10" xfId="0" applyFont="1" applyFill="1" applyBorder="1" applyAlignment="1" applyProtection="1">
      <alignment vertical="center"/>
      <protection hidden="1"/>
    </xf>
    <xf numFmtId="0" fontId="30" fillId="0" borderId="10" xfId="0" applyFont="1" applyBorder="1" applyAlignment="1">
      <alignment horizontal="left" shrinkToFit="1"/>
    </xf>
    <xf numFmtId="167" fontId="40" fillId="2" borderId="10" xfId="1" applyNumberFormat="1" applyFont="1" applyFill="1" applyBorder="1" applyAlignment="1" applyProtection="1">
      <alignment vertical="center"/>
    </xf>
    <xf numFmtId="0" fontId="15" fillId="2" borderId="10" xfId="0" applyFont="1" applyFill="1" applyBorder="1" applyProtection="1">
      <alignment horizontal="center" vertical="center"/>
      <protection hidden="1"/>
    </xf>
    <xf numFmtId="0" fontId="6" fillId="7" borderId="10" xfId="0" applyFont="1" applyFill="1" applyBorder="1" applyAlignment="1">
      <alignment horizontal="left" shrinkToFit="1"/>
    </xf>
    <xf numFmtId="166" fontId="15" fillId="4" borderId="10" xfId="1" applyFont="1" applyFill="1" applyBorder="1" applyAlignment="1" applyProtection="1">
      <alignment vertical="center"/>
      <protection hidden="1"/>
    </xf>
    <xf numFmtId="167" fontId="40" fillId="0" borderId="10" xfId="1" quotePrefix="1" applyNumberFormat="1" applyFont="1" applyFill="1" applyBorder="1" applyAlignment="1" applyProtection="1">
      <alignment horizontal="center" vertical="center"/>
    </xf>
    <xf numFmtId="3" fontId="6" fillId="0" borderId="0" xfId="2" applyNumberFormat="1" applyFont="1" applyAlignment="1">
      <alignment horizontal="left" shrinkToFit="1"/>
    </xf>
    <xf numFmtId="3" fontId="40" fillId="0" borderId="10" xfId="4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shrinkToFit="1"/>
    </xf>
    <xf numFmtId="165" fontId="40" fillId="0" borderId="10" xfId="4" applyNumberFormat="1" applyFont="1" applyBorder="1" applyAlignment="1">
      <alignment horizontal="center" vertical="center"/>
    </xf>
    <xf numFmtId="3" fontId="40" fillId="7" borderId="10" xfId="4" applyNumberFormat="1" applyFont="1" applyFill="1" applyBorder="1" applyAlignment="1">
      <alignment horizontal="center" vertical="center"/>
    </xf>
    <xf numFmtId="0" fontId="15" fillId="7" borderId="10" xfId="0" applyFont="1" applyFill="1" applyBorder="1" applyProtection="1">
      <alignment horizontal="center" vertical="center"/>
      <protection hidden="1"/>
    </xf>
    <xf numFmtId="4" fontId="40" fillId="0" borderId="10" xfId="4" applyNumberFormat="1" applyFont="1" applyBorder="1" applyAlignment="1">
      <alignment horizontal="center" vertical="center"/>
    </xf>
    <xf numFmtId="167" fontId="40" fillId="4" borderId="12" xfId="1" applyNumberFormat="1" applyFont="1" applyFill="1" applyBorder="1" applyAlignment="1" applyProtection="1">
      <alignment vertical="center"/>
    </xf>
    <xf numFmtId="0" fontId="16" fillId="4" borderId="12" xfId="0" applyFont="1" applyFill="1" applyBorder="1" applyProtection="1">
      <alignment horizontal="center" vertical="center"/>
      <protection hidden="1"/>
    </xf>
    <xf numFmtId="0" fontId="16" fillId="4" borderId="12" xfId="0" applyFont="1" applyFill="1" applyBorder="1" applyAlignment="1" applyProtection="1">
      <alignment horizontal="left" vertical="center"/>
      <protection hidden="1"/>
    </xf>
    <xf numFmtId="0" fontId="15" fillId="4" borderId="12" xfId="1" applyNumberFormat="1" applyFont="1" applyFill="1" applyBorder="1" applyAlignment="1" applyProtection="1">
      <alignment horizontal="center" vertical="center"/>
      <protection hidden="1"/>
    </xf>
    <xf numFmtId="4" fontId="40" fillId="0" borderId="10" xfId="1" applyNumberFormat="1" applyFont="1" applyFill="1" applyBorder="1" applyAlignment="1" applyProtection="1">
      <alignment vertical="center"/>
    </xf>
    <xf numFmtId="166" fontId="40" fillId="0" borderId="16" xfId="1" applyFont="1" applyFill="1" applyBorder="1" applyAlignment="1" applyProtection="1">
      <alignment vertical="center"/>
    </xf>
    <xf numFmtId="0" fontId="15" fillId="0" borderId="16" xfId="0" applyFont="1" applyBorder="1" applyProtection="1">
      <alignment horizontal="center" vertical="center"/>
      <protection hidden="1"/>
    </xf>
    <xf numFmtId="0" fontId="15" fillId="6" borderId="16" xfId="0" applyFont="1" applyFill="1" applyBorder="1" applyAlignment="1" applyProtection="1">
      <alignment vertical="center"/>
      <protection hidden="1"/>
    </xf>
    <xf numFmtId="0" fontId="15" fillId="0" borderId="16" xfId="1" applyNumberFormat="1" applyFont="1" applyFill="1" applyBorder="1" applyAlignment="1" applyProtection="1">
      <alignment horizontal="center" vertical="center"/>
      <protection hidden="1"/>
    </xf>
    <xf numFmtId="166" fontId="15" fillId="0" borderId="16" xfId="1" applyFont="1" applyFill="1" applyBorder="1" applyAlignment="1" applyProtection="1">
      <alignment vertical="center"/>
      <protection hidden="1"/>
    </xf>
    <xf numFmtId="0" fontId="30" fillId="0" borderId="0" xfId="0" applyFont="1" applyAlignment="1">
      <alignment horizontal="left" vertical="center" shrinkToFit="1"/>
    </xf>
    <xf numFmtId="0" fontId="30" fillId="0" borderId="0" xfId="0" applyFont="1" applyAlignment="1" applyProtection="1">
      <alignment vertical="center"/>
      <protection hidden="1"/>
    </xf>
    <xf numFmtId="178" fontId="30" fillId="0" borderId="0" xfId="0" applyNumberFormat="1" applyFont="1" applyAlignment="1" applyProtection="1">
      <alignment vertical="center"/>
      <protection hidden="1"/>
    </xf>
    <xf numFmtId="0" fontId="48" fillId="0" borderId="0" xfId="7" applyFont="1"/>
  </cellXfs>
  <cellStyles count="8">
    <cellStyle name="Comma" xfId="1" builtinId="3"/>
    <cellStyle name="Normal" xfId="0" builtinId="0"/>
    <cellStyle name="Normal 2" xfId="7"/>
    <cellStyle name="Normal_ak" xfId="6"/>
    <cellStyle name="Normal_DU TOANTICH THIEN2" xfId="4"/>
    <cellStyle name="Normal_DuToan KCN3" xfId="3"/>
    <cellStyle name="Normal_Vinh Thanh" xfId="5"/>
    <cellStyle name="Normal_Vinh Trach Dong(hc)" xfId="2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99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2741</xdr:row>
      <xdr:rowOff>0</xdr:rowOff>
    </xdr:from>
    <xdr:to>
      <xdr:col>11</xdr:col>
      <xdr:colOff>880284</xdr:colOff>
      <xdr:row>2758</xdr:row>
      <xdr:rowOff>162486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8DE4F76-9018-43BD-8500-9D5CDD36D604}"/>
            </a:ext>
          </a:extLst>
        </xdr:cNvPr>
        <xdr:cNvGrpSpPr/>
      </xdr:nvGrpSpPr>
      <xdr:grpSpPr>
        <a:xfrm>
          <a:off x="2008094" y="26571388"/>
          <a:ext cx="9602943" cy="3210486"/>
          <a:chOff x="2762249" y="21685249"/>
          <a:chExt cx="9800167" cy="3400986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D9509DA9-91B8-42E7-A499-35BDAD82EE31}"/>
              </a:ext>
            </a:extLst>
          </xdr:cNvPr>
          <xdr:cNvGrpSpPr/>
        </xdr:nvGrpSpPr>
        <xdr:grpSpPr>
          <a:xfrm>
            <a:off x="2762249" y="21685249"/>
            <a:ext cx="9800167" cy="3400986"/>
            <a:chOff x="2595282" y="23593984"/>
            <a:chExt cx="9762366" cy="3400986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2823D38D-C27C-4737-9B22-C7608B452680}"/>
                </a:ext>
              </a:extLst>
            </xdr:cNvPr>
            <xdr:cNvGrpSpPr/>
          </xdr:nvGrpSpPr>
          <xdr:grpSpPr>
            <a:xfrm>
              <a:off x="2595282" y="23593984"/>
              <a:ext cx="9688354" cy="1933015"/>
              <a:chOff x="2329509" y="12302290"/>
              <a:chExt cx="8890992" cy="1933016"/>
            </a:xfrm>
          </xdr:grpSpPr>
          <xdr:sp macro="" textlink="">
            <xdr:nvSpPr>
              <xdr:cNvPr id="11" name="TextBox 10">
                <a:extLst>
                  <a:ext uri="{FF2B5EF4-FFF2-40B4-BE49-F238E27FC236}">
                    <a16:creationId xmlns:a16="http://schemas.microsoft.com/office/drawing/2014/main" id="{AC395666-A9E4-468D-B4EF-6FB96216B00A}"/>
                  </a:ext>
                </a:extLst>
              </xdr:cNvPr>
              <xdr:cNvSpPr txBox="1"/>
            </xdr:nvSpPr>
            <xdr:spPr>
              <a:xfrm>
                <a:off x="2329509" y="13835176"/>
                <a:ext cx="2384427" cy="35174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400" b="1">
                    <a:latin typeface="Times New Roman" pitchFamily="18" charset="0"/>
                    <a:cs typeface="Times New Roman" pitchFamily="18" charset="0"/>
                  </a:rPr>
                  <a:t>CHỦ</a:t>
                </a:r>
                <a:r>
                  <a:rPr lang="en-US" sz="1400" b="1" baseline="0">
                    <a:latin typeface="Times New Roman" pitchFamily="18" charset="0"/>
                    <a:cs typeface="Times New Roman" pitchFamily="18" charset="0"/>
                  </a:rPr>
                  <a:t> ĐẦU TƯ</a:t>
                </a:r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  <a:p>
                <a:pPr algn="ctr"/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  <a:p>
                <a:pPr algn="ctr"/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  <a:p>
                <a:pPr algn="ctr"/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  <a:p>
                <a:pPr algn="ctr"/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  <a:p>
                <a:pPr algn="ctr"/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</xdr:txBody>
          </xdr:sp>
          <xdr:sp macro="" textlink="[1]WORD!I2">
            <xdr:nvSpPr>
              <xdr:cNvPr id="12" name="TextBox 11">
                <a:extLst>
                  <a:ext uri="{FF2B5EF4-FFF2-40B4-BE49-F238E27FC236}">
                    <a16:creationId xmlns:a16="http://schemas.microsoft.com/office/drawing/2014/main" id="{D903842F-3683-4ECA-9D54-6099F1FD6B9C}"/>
                  </a:ext>
                </a:extLst>
              </xdr:cNvPr>
              <xdr:cNvSpPr txBox="1"/>
            </xdr:nvSpPr>
            <xdr:spPr>
              <a:xfrm>
                <a:off x="2358149" y="13266658"/>
                <a:ext cx="2384427" cy="3254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F99B5FAD-7D1C-4B15-9322-FB01D2E50562}" type="TxLink">
                  <a:rPr lang="en-US" sz="1400" b="1">
                    <a:latin typeface="Times New Roman" pitchFamily="18" charset="0"/>
                    <a:cs typeface="Times New Roman" pitchFamily="18" charset="0"/>
                  </a:rPr>
                  <a:pPr algn="ctr"/>
                  <a:t>………………………</a:t>
                </a:fld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</xdr:txBody>
          </xdr:sp>
          <xdr:sp macro="" textlink="[1]WORD!B2">
            <xdr:nvSpPr>
              <xdr:cNvPr id="13" name="TextBox 12">
                <a:extLst>
                  <a:ext uri="{FF2B5EF4-FFF2-40B4-BE49-F238E27FC236}">
                    <a16:creationId xmlns:a16="http://schemas.microsoft.com/office/drawing/2014/main" id="{12339E2B-0ECC-4129-9939-9376BE346CD9}"/>
                  </a:ext>
                </a:extLst>
              </xdr:cNvPr>
              <xdr:cNvSpPr txBox="1"/>
            </xdr:nvSpPr>
            <xdr:spPr>
              <a:xfrm>
                <a:off x="7917582" y="13361966"/>
                <a:ext cx="3302919" cy="873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6527D1F2-1CE3-4E89-A5E9-A81B86641264}" type="TxLink">
                  <a:rPr lang="vi-VN" sz="1400" b="1">
                    <a:latin typeface="+mj-lt"/>
                  </a:rPr>
                  <a:pPr algn="ctr"/>
                  <a:t>CÔNG TY TNHH
LỘC LAN ANH</a:t>
                </a:fld>
                <a:endParaRPr lang="en-US" sz="1400" b="1">
                  <a:latin typeface="+mj-lt"/>
                </a:endParaRPr>
              </a:p>
            </xdr:txBody>
          </xdr:sp>
          <xdr:sp macro="" textlink="[1]WORD!F2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3C7DD42D-7E9D-4145-AA6E-0AEB567D1CD1}"/>
                  </a:ext>
                </a:extLst>
              </xdr:cNvPr>
              <xdr:cNvSpPr txBox="1"/>
            </xdr:nvSpPr>
            <xdr:spPr>
              <a:xfrm>
                <a:off x="8400865" y="13220940"/>
                <a:ext cx="2384427" cy="39447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A9FE69D4-23FF-417D-82B6-DCDFF21AF82D}" type="TxLink">
                  <a:rPr lang="vi-VN" sz="1400" b="1">
                    <a:latin typeface="+mj-lt"/>
                  </a:rPr>
                  <a:pPr algn="ctr"/>
                  <a:t>………………………</a:t>
                </a:fld>
                <a:endParaRPr lang="en-US" sz="1400" b="1">
                  <a:latin typeface="+mj-lt"/>
                </a:endParaRPr>
              </a:p>
            </xdr:txBody>
          </xdr:sp>
          <xdr:sp macro="" textlink="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D6699131-1545-48AC-B2F2-067A3170DB72}"/>
                  </a:ext>
                </a:extLst>
              </xdr:cNvPr>
              <xdr:cNvSpPr txBox="1"/>
            </xdr:nvSpPr>
            <xdr:spPr>
              <a:xfrm>
                <a:off x="2436404" y="12302291"/>
                <a:ext cx="2384426" cy="3254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400" b="1">
                    <a:latin typeface="Times New Roman" pitchFamily="18" charset="0"/>
                    <a:cs typeface="Times New Roman" pitchFamily="18" charset="0"/>
                  </a:rPr>
                  <a:t>GIÁM SÁT THI CÔNG</a:t>
                </a:r>
              </a:p>
            </xdr:txBody>
          </xdr:sp>
          <xdr:sp macro="" textlink="">
            <xdr:nvSpPr>
              <xdr:cNvPr id="16" name="TextBox 15">
                <a:extLst>
                  <a:ext uri="{FF2B5EF4-FFF2-40B4-BE49-F238E27FC236}">
                    <a16:creationId xmlns:a16="http://schemas.microsoft.com/office/drawing/2014/main" id="{64A95333-9328-476D-A9B0-9E0528540AD9}"/>
                  </a:ext>
                </a:extLst>
              </xdr:cNvPr>
              <xdr:cNvSpPr txBox="1"/>
            </xdr:nvSpPr>
            <xdr:spPr>
              <a:xfrm>
                <a:off x="8432131" y="12302290"/>
                <a:ext cx="2384426" cy="3254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400" b="1">
                    <a:latin typeface="Times New Roman" pitchFamily="18" charset="0"/>
                    <a:cs typeface="Times New Roman" pitchFamily="18" charset="0"/>
                  </a:rPr>
                  <a:t>GIÁM SÁT B</a:t>
                </a:r>
              </a:p>
            </xdr:txBody>
          </xdr:sp>
        </xdr:grpSp>
        <xdr:sp macro="" textlink="[1]WORD!D2">
          <xdr:nvSpPr>
            <xdr:cNvPr id="8" name="TextBox 7">
              <a:extLst>
                <a:ext uri="{FF2B5EF4-FFF2-40B4-BE49-F238E27FC236}">
                  <a16:creationId xmlns:a16="http://schemas.microsoft.com/office/drawing/2014/main" id="{43B6C194-99BF-42D4-B416-5BC8320682BB}"/>
                </a:ext>
              </a:extLst>
            </xdr:cNvPr>
            <xdr:cNvSpPr txBox="1"/>
          </xdr:nvSpPr>
          <xdr:spPr>
            <a:xfrm>
              <a:off x="8758517" y="26440280"/>
              <a:ext cx="3599131" cy="5546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A9EB085C-53CD-4B85-883C-E5AC70A8FEAA}" type="TxLink">
                <a:rPr lang="vi-VN" sz="1400" b="1">
                  <a:latin typeface="+mj-lt"/>
                </a:rPr>
                <a:pPr algn="ctr"/>
                <a:t>Bùi Duy Lộc</a:t>
              </a:fld>
              <a:endParaRPr lang="en-US" sz="1400" b="1">
                <a:latin typeface="+mj-lt"/>
              </a:endParaRPr>
            </a:p>
          </xdr:txBody>
        </xdr:sp>
        <xdr:sp macro="" textlink="[1]WORD!W2">
          <xdr:nvSpPr>
            <xdr:cNvPr id="9" name="TextBox 8">
              <a:extLst>
                <a:ext uri="{FF2B5EF4-FFF2-40B4-BE49-F238E27FC236}">
                  <a16:creationId xmlns:a16="http://schemas.microsoft.com/office/drawing/2014/main" id="{C6061C39-A5CA-4B39-9C6E-FC5DB38FEB29}"/>
                </a:ext>
              </a:extLst>
            </xdr:cNvPr>
            <xdr:cNvSpPr txBox="1"/>
          </xdr:nvSpPr>
          <xdr:spPr>
            <a:xfrm>
              <a:off x="2596797" y="26435799"/>
              <a:ext cx="2510119" cy="5546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7893D543-2DB6-4EF8-991D-5560DCDF64DF}" type="TxLink">
                <a:rPr lang="vi-VN" sz="1400" b="1">
                  <a:latin typeface="+mj-lt"/>
                </a:rPr>
                <a:pPr algn="ctr"/>
                <a:t>…...................................</a:t>
              </a:fld>
              <a:endParaRPr lang="en-US" sz="1400" b="1">
                <a:latin typeface="+mj-lt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3EB455D-7916-42FC-950B-30CD1CB82D1D}"/>
                </a:ext>
              </a:extLst>
            </xdr:cNvPr>
            <xdr:cNvSpPr txBox="1"/>
          </xdr:nvSpPr>
          <xdr:spPr>
            <a:xfrm>
              <a:off x="8710537" y="25129689"/>
              <a:ext cx="3599131" cy="5546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400" b="1">
                  <a:latin typeface="Times New Roman" pitchFamily="18" charset="0"/>
                  <a:cs typeface="Times New Roman" pitchFamily="18" charset="0"/>
                </a:rPr>
                <a:t>GIÁM</a:t>
              </a:r>
              <a:r>
                <a:rPr lang="en-US" sz="1400" b="1" baseline="0">
                  <a:latin typeface="Times New Roman" pitchFamily="18" charset="0"/>
                  <a:cs typeface="Times New Roman" pitchFamily="18" charset="0"/>
                </a:rPr>
                <a:t> ĐỐC</a:t>
              </a:r>
              <a:endParaRPr lang="en-US" sz="1400" b="1"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[1]WORD!H2">
        <xdr:nvSpPr>
          <xdr:cNvPr id="4" name="TextBox 3">
            <a:extLst>
              <a:ext uri="{FF2B5EF4-FFF2-40B4-BE49-F238E27FC236}">
                <a16:creationId xmlns:a16="http://schemas.microsoft.com/office/drawing/2014/main" id="{A2BA9E0A-3465-4A6A-AFA3-2AC66583F36F}"/>
              </a:ext>
            </a:extLst>
          </xdr:cNvPr>
          <xdr:cNvSpPr txBox="1"/>
        </xdr:nvSpPr>
        <xdr:spPr>
          <a:xfrm>
            <a:off x="5757332" y="22754166"/>
            <a:ext cx="3613068" cy="873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65A1919-AAB3-4A14-A726-804833F9A1ED}" type="TxLink">
              <a:rPr lang="vi-VN" sz="1400" b="1">
                <a:latin typeface="+mj-lt"/>
              </a:rPr>
              <a:pPr algn="ctr"/>
              <a:t>CÔNG TY TNHH TM 
VIỆT TAM LONG</a:t>
            </a:fld>
            <a:endParaRPr lang="en-US" sz="1400" b="1">
              <a:latin typeface="+mj-lt"/>
            </a:endParaRP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700BCC96-567D-414C-A482-91080CEA11A7}"/>
              </a:ext>
            </a:extLst>
          </xdr:cNvPr>
          <xdr:cNvSpPr txBox="1"/>
        </xdr:nvSpPr>
        <xdr:spPr>
          <a:xfrm>
            <a:off x="5778500" y="23219835"/>
            <a:ext cx="3608916" cy="5546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latin typeface="Times New Roman" pitchFamily="18" charset="0"/>
                <a:cs typeface="Times New Roman" pitchFamily="18" charset="0"/>
              </a:rPr>
              <a:t>GIÁM</a:t>
            </a:r>
            <a:r>
              <a:rPr lang="en-US" sz="1400" b="1" baseline="0">
                <a:latin typeface="Times New Roman" pitchFamily="18" charset="0"/>
                <a:cs typeface="Times New Roman" pitchFamily="18" charset="0"/>
              </a:rPr>
              <a:t> ĐỐC</a:t>
            </a:r>
            <a:endParaRPr lang="en-US" sz="14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[1]WORD!K2">
        <xdr:nvSpPr>
          <xdr:cNvPr id="6" name="TextBox 5">
            <a:extLst>
              <a:ext uri="{FF2B5EF4-FFF2-40B4-BE49-F238E27FC236}">
                <a16:creationId xmlns:a16="http://schemas.microsoft.com/office/drawing/2014/main" id="{5D7F1C0C-D55D-4FCB-B7AF-FB8B9E7AFACB}"/>
              </a:ext>
            </a:extLst>
          </xdr:cNvPr>
          <xdr:cNvSpPr txBox="1"/>
        </xdr:nvSpPr>
        <xdr:spPr>
          <a:xfrm>
            <a:off x="5736172" y="24528430"/>
            <a:ext cx="3613067" cy="5546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EFF2A10-B632-4E22-A80A-20B1D9623B6C}" type="TxLink">
              <a:rPr lang="vi-VN" sz="1400" b="1">
                <a:latin typeface="+mj-lt"/>
              </a:rPr>
              <a:pPr algn="ctr"/>
              <a:t>Lê Ngọc Ái Liên</a:t>
            </a:fld>
            <a:endParaRPr lang="en-US" sz="1400" b="1">
              <a:latin typeface="+mj-lt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224365</xdr:colOff>
      <xdr:row>2369</xdr:row>
      <xdr:rowOff>201082</xdr:rowOff>
    </xdr:from>
    <xdr:to>
      <xdr:col>18</xdr:col>
      <xdr:colOff>656166</xdr:colOff>
      <xdr:row>2386</xdr:row>
      <xdr:rowOff>129235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B517984-1512-4394-A459-5092590BDFC4}"/>
            </a:ext>
          </a:extLst>
        </xdr:cNvPr>
        <xdr:cNvGrpSpPr/>
      </xdr:nvGrpSpPr>
      <xdr:grpSpPr>
        <a:xfrm>
          <a:off x="2784685" y="7379122"/>
          <a:ext cx="9598661" cy="3433353"/>
          <a:chOff x="2753599" y="21685249"/>
          <a:chExt cx="9808817" cy="3356167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39AA700-C42C-40D4-AA59-BD4146CC1697}"/>
              </a:ext>
            </a:extLst>
          </xdr:cNvPr>
          <xdr:cNvGrpSpPr/>
        </xdr:nvGrpSpPr>
        <xdr:grpSpPr>
          <a:xfrm>
            <a:off x="2753599" y="21685249"/>
            <a:ext cx="9808817" cy="3356162"/>
            <a:chOff x="2586665" y="23593984"/>
            <a:chExt cx="9770983" cy="3356162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59E3324D-73F4-40CB-BAFF-9CABB938691F}"/>
                </a:ext>
              </a:extLst>
            </xdr:cNvPr>
            <xdr:cNvGrpSpPr/>
          </xdr:nvGrpSpPr>
          <xdr:grpSpPr>
            <a:xfrm>
              <a:off x="2586665" y="23593984"/>
              <a:ext cx="9696971" cy="1979694"/>
              <a:chOff x="2321601" y="12302290"/>
              <a:chExt cx="8898900" cy="1979695"/>
            </a:xfrm>
          </xdr:grpSpPr>
          <xdr:sp macro="" textlink="[1]WORD!Y2">
            <xdr:nvSpPr>
              <xdr:cNvPr id="11" name="TextBox 10">
                <a:extLst>
                  <a:ext uri="{FF2B5EF4-FFF2-40B4-BE49-F238E27FC236}">
                    <a16:creationId xmlns:a16="http://schemas.microsoft.com/office/drawing/2014/main" id="{FE7745CC-8173-4C89-B7BA-5D6559097C94}"/>
                  </a:ext>
                </a:extLst>
              </xdr:cNvPr>
              <xdr:cNvSpPr txBox="1"/>
            </xdr:nvSpPr>
            <xdr:spPr>
              <a:xfrm>
                <a:off x="2321601" y="13583787"/>
                <a:ext cx="2850565" cy="69819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9F07DE19-3F3A-4F5F-8F73-F6BDA6F6BE19}" type="TxLink">
                  <a:rPr lang="en-US" sz="1300" b="1" i="0" u="none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pPr algn="ctr"/>
                  <a:t>PHÒNG KINH TẾ VÀ HẠ TẦNG 
HUYỆN XUÂN LỘC</a:t>
                </a:fld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</xdr:txBody>
          </xdr:sp>
          <xdr:sp macro="" textlink="[1]WORD!I2">
            <xdr:nvSpPr>
              <xdr:cNvPr id="12" name="TextBox 11">
                <a:extLst>
                  <a:ext uri="{FF2B5EF4-FFF2-40B4-BE49-F238E27FC236}">
                    <a16:creationId xmlns:a16="http://schemas.microsoft.com/office/drawing/2014/main" id="{AEBFE6ED-DA99-4C71-8FC7-CD0B52115B5C}"/>
                  </a:ext>
                </a:extLst>
              </xdr:cNvPr>
              <xdr:cNvSpPr txBox="1"/>
            </xdr:nvSpPr>
            <xdr:spPr>
              <a:xfrm>
                <a:off x="2358149" y="13266658"/>
                <a:ext cx="2384427" cy="3254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F99B5FAD-7D1C-4B15-9322-FB01D2E50562}" type="TxLink">
                  <a:rPr lang="en-US" sz="1400" b="1">
                    <a:latin typeface="Times New Roman" pitchFamily="18" charset="0"/>
                    <a:cs typeface="Times New Roman" pitchFamily="18" charset="0"/>
                  </a:rPr>
                  <a:pPr algn="ctr"/>
                  <a:t>………………………</a:t>
                </a:fld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</xdr:txBody>
          </xdr:sp>
          <xdr:sp macro="" textlink="[1]WORD!B2">
            <xdr:nvSpPr>
              <xdr:cNvPr id="13" name="TextBox 12">
                <a:extLst>
                  <a:ext uri="{FF2B5EF4-FFF2-40B4-BE49-F238E27FC236}">
                    <a16:creationId xmlns:a16="http://schemas.microsoft.com/office/drawing/2014/main" id="{BA1C58F5-625F-49DE-A232-8A8DC1D0C177}"/>
                  </a:ext>
                </a:extLst>
              </xdr:cNvPr>
              <xdr:cNvSpPr txBox="1"/>
            </xdr:nvSpPr>
            <xdr:spPr>
              <a:xfrm>
                <a:off x="7917582" y="13361966"/>
                <a:ext cx="3302919" cy="873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6527D1F2-1CE3-4E89-A5E9-A81B86641264}" type="TxLink">
                  <a:rPr lang="vi-VN" sz="1400" b="1">
                    <a:latin typeface="+mj-lt"/>
                  </a:rPr>
                  <a:pPr algn="ctr"/>
                  <a:t>CÔNG TY TNHH
LỘC LAN ANH</a:t>
                </a:fld>
                <a:endParaRPr lang="en-US" sz="1400" b="1">
                  <a:latin typeface="+mj-lt"/>
                </a:endParaRPr>
              </a:p>
            </xdr:txBody>
          </xdr:sp>
          <xdr:sp macro="" textlink="[1]WORD!F2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20B7B4CE-08A0-4C26-BBAE-869028170CEA}"/>
                  </a:ext>
                </a:extLst>
              </xdr:cNvPr>
              <xdr:cNvSpPr txBox="1"/>
            </xdr:nvSpPr>
            <xdr:spPr>
              <a:xfrm>
                <a:off x="8400865" y="13220940"/>
                <a:ext cx="2384427" cy="39447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A9FE69D4-23FF-417D-82B6-DCDFF21AF82D}" type="TxLink">
                  <a:rPr lang="vi-VN" sz="1400" b="1">
                    <a:latin typeface="+mj-lt"/>
                  </a:rPr>
                  <a:pPr algn="ctr"/>
                  <a:t>………………………</a:t>
                </a:fld>
                <a:endParaRPr lang="en-US" sz="1400" b="1">
                  <a:latin typeface="+mj-lt"/>
                </a:endParaRPr>
              </a:p>
            </xdr:txBody>
          </xdr:sp>
          <xdr:sp macro="" textlink="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141E8E43-96BA-4630-88BD-0C5F1471CC8F}"/>
                  </a:ext>
                </a:extLst>
              </xdr:cNvPr>
              <xdr:cNvSpPr txBox="1"/>
            </xdr:nvSpPr>
            <xdr:spPr>
              <a:xfrm>
                <a:off x="2436404" y="12302291"/>
                <a:ext cx="2384426" cy="3254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400" b="1">
                    <a:latin typeface="Times New Roman" pitchFamily="18" charset="0"/>
                    <a:cs typeface="Times New Roman" pitchFamily="18" charset="0"/>
                  </a:rPr>
                  <a:t>GIÁM SÁT THI CÔNG</a:t>
                </a:r>
              </a:p>
            </xdr:txBody>
          </xdr:sp>
          <xdr:sp macro="" textlink="">
            <xdr:nvSpPr>
              <xdr:cNvPr id="16" name="TextBox 15">
                <a:extLst>
                  <a:ext uri="{FF2B5EF4-FFF2-40B4-BE49-F238E27FC236}">
                    <a16:creationId xmlns:a16="http://schemas.microsoft.com/office/drawing/2014/main" id="{69A0EF91-C457-4C70-81E9-A31C31A9E935}"/>
                  </a:ext>
                </a:extLst>
              </xdr:cNvPr>
              <xdr:cNvSpPr txBox="1"/>
            </xdr:nvSpPr>
            <xdr:spPr>
              <a:xfrm>
                <a:off x="8432131" y="12302290"/>
                <a:ext cx="2384426" cy="3254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400" b="1">
                    <a:latin typeface="Times New Roman" pitchFamily="18" charset="0"/>
                    <a:cs typeface="Times New Roman" pitchFamily="18" charset="0"/>
                  </a:rPr>
                  <a:t>GIÁM SÁT B</a:t>
                </a:r>
              </a:p>
            </xdr:txBody>
          </xdr:sp>
        </xdr:grpSp>
        <xdr:sp macro="" textlink="[1]WORD!D2">
          <xdr:nvSpPr>
            <xdr:cNvPr id="8" name="TextBox 7">
              <a:extLst>
                <a:ext uri="{FF2B5EF4-FFF2-40B4-BE49-F238E27FC236}">
                  <a16:creationId xmlns:a16="http://schemas.microsoft.com/office/drawing/2014/main" id="{5D5BCBA4-BC09-4F36-9F2A-7F2A37573D46}"/>
                </a:ext>
              </a:extLst>
            </xdr:cNvPr>
            <xdr:cNvSpPr txBox="1"/>
          </xdr:nvSpPr>
          <xdr:spPr>
            <a:xfrm>
              <a:off x="8758517" y="26395456"/>
              <a:ext cx="3599131" cy="5546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A9EB085C-53CD-4B85-883C-E5AC70A8FEAA}" type="TxLink">
                <a:rPr lang="vi-VN" sz="1400" b="1">
                  <a:latin typeface="+mj-lt"/>
                </a:rPr>
                <a:pPr algn="ctr"/>
                <a:t>Bùi Duy Lộc</a:t>
              </a:fld>
              <a:endParaRPr lang="en-US" sz="1400" b="1">
                <a:latin typeface="+mj-lt"/>
              </a:endParaRPr>
            </a:p>
          </xdr:txBody>
        </xdr:sp>
        <xdr:sp macro="" textlink="[1]WORD!W2">
          <xdr:nvSpPr>
            <xdr:cNvPr id="9" name="TextBox 8">
              <a:extLst>
                <a:ext uri="{FF2B5EF4-FFF2-40B4-BE49-F238E27FC236}">
                  <a16:creationId xmlns:a16="http://schemas.microsoft.com/office/drawing/2014/main" id="{015D520B-160D-4699-84E4-517C44571DC1}"/>
                </a:ext>
              </a:extLst>
            </xdr:cNvPr>
            <xdr:cNvSpPr txBox="1"/>
          </xdr:nvSpPr>
          <xdr:spPr>
            <a:xfrm>
              <a:off x="2846673" y="26374216"/>
              <a:ext cx="2510119" cy="5546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7893D543-2DB6-4EF8-991D-5560DCDF64DF}" type="TxLink">
                <a:rPr lang="vi-VN" sz="1400" b="1">
                  <a:latin typeface="+mj-lt"/>
                </a:rPr>
                <a:pPr algn="ctr"/>
                <a:t>…...................................</a:t>
              </a:fld>
              <a:endParaRPr lang="en-US" sz="1400" b="1">
                <a:latin typeface="+mj-lt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00D16AF-73E9-4845-90F4-5718D45BDBCA}"/>
                </a:ext>
              </a:extLst>
            </xdr:cNvPr>
            <xdr:cNvSpPr txBox="1"/>
          </xdr:nvSpPr>
          <xdr:spPr>
            <a:xfrm>
              <a:off x="8710537" y="25129689"/>
              <a:ext cx="3599131" cy="5546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400" b="1">
                  <a:latin typeface="Times New Roman" pitchFamily="18" charset="0"/>
                  <a:cs typeface="Times New Roman" pitchFamily="18" charset="0"/>
                </a:rPr>
                <a:t>GIÁM</a:t>
              </a:r>
              <a:r>
                <a:rPr lang="en-US" sz="1400" b="1" baseline="0">
                  <a:latin typeface="Times New Roman" pitchFamily="18" charset="0"/>
                  <a:cs typeface="Times New Roman" pitchFamily="18" charset="0"/>
                </a:rPr>
                <a:t> ĐỐC</a:t>
              </a:r>
              <a:endParaRPr lang="en-US" sz="1400" b="1"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[1]WORD!H2">
        <xdr:nvSpPr>
          <xdr:cNvPr id="4" name="TextBox 3">
            <a:extLst>
              <a:ext uri="{FF2B5EF4-FFF2-40B4-BE49-F238E27FC236}">
                <a16:creationId xmlns:a16="http://schemas.microsoft.com/office/drawing/2014/main" id="{2F313DEB-E6FA-4628-9238-56F9182080AB}"/>
              </a:ext>
            </a:extLst>
          </xdr:cNvPr>
          <xdr:cNvSpPr txBox="1"/>
        </xdr:nvSpPr>
        <xdr:spPr>
          <a:xfrm>
            <a:off x="5757332" y="22754166"/>
            <a:ext cx="3613068" cy="873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65A1919-AAB3-4A14-A726-804833F9A1ED}" type="TxLink">
              <a:rPr lang="vi-VN" sz="1400" b="1">
                <a:latin typeface="+mj-lt"/>
              </a:rPr>
              <a:pPr algn="ctr"/>
              <a:t>CÔNG TY TNHH TM 
VIỆT TAM LONG</a:t>
            </a:fld>
            <a:endParaRPr lang="en-US" sz="1400" b="1">
              <a:latin typeface="+mj-lt"/>
            </a:endParaRP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D2603E4F-22BB-481B-A315-C1710D7E013F}"/>
              </a:ext>
            </a:extLst>
          </xdr:cNvPr>
          <xdr:cNvSpPr txBox="1"/>
        </xdr:nvSpPr>
        <xdr:spPr>
          <a:xfrm>
            <a:off x="5778500" y="23219835"/>
            <a:ext cx="3608916" cy="5546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latin typeface="Times New Roman" pitchFamily="18" charset="0"/>
                <a:cs typeface="Times New Roman" pitchFamily="18" charset="0"/>
              </a:rPr>
              <a:t>GIÁM</a:t>
            </a:r>
            <a:r>
              <a:rPr lang="en-US" sz="1400" b="1" baseline="0">
                <a:latin typeface="Times New Roman" pitchFamily="18" charset="0"/>
                <a:cs typeface="Times New Roman" pitchFamily="18" charset="0"/>
              </a:rPr>
              <a:t> ĐỐC</a:t>
            </a:r>
            <a:endParaRPr lang="en-US" sz="14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[1]WORD!K2">
        <xdr:nvSpPr>
          <xdr:cNvPr id="6" name="TextBox 5">
            <a:extLst>
              <a:ext uri="{FF2B5EF4-FFF2-40B4-BE49-F238E27FC236}">
                <a16:creationId xmlns:a16="http://schemas.microsoft.com/office/drawing/2014/main" id="{7C218AB1-6575-4AB6-9AEF-5C3C919C3D01}"/>
              </a:ext>
            </a:extLst>
          </xdr:cNvPr>
          <xdr:cNvSpPr txBox="1"/>
        </xdr:nvSpPr>
        <xdr:spPr>
          <a:xfrm>
            <a:off x="5736172" y="24486726"/>
            <a:ext cx="3613067" cy="5546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EFF2A10-B632-4E22-A80A-20B1D9623B6C}" type="TxLink">
              <a:rPr lang="vi-VN" sz="1400" b="1">
                <a:latin typeface="+mj-lt"/>
              </a:rPr>
              <a:pPr algn="ctr"/>
              <a:t>Lê Ngọc Ái Liên</a:t>
            </a:fld>
            <a:endParaRPr lang="en-US" sz="1400" b="1">
              <a:latin typeface="+mj-lt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uToan-XuanHiep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"/>
      <sheetName val="DanhMuc"/>
      <sheetName val="WORD"/>
      <sheetName val="BKT-HT"/>
      <sheetName val="BKT"/>
      <sheetName val="DZ"/>
      <sheetName val="TBA"/>
      <sheetName val="kl3pct"/>
      <sheetName val="klHTHH"/>
      <sheetName val="pp_NC"/>
      <sheetName val="pp3p2m "/>
      <sheetName val="pp1p"/>
      <sheetName val="PPHTCS"/>
      <sheetName val="klHTDL"/>
      <sheetName val="ppht NC"/>
      <sheetName val="ppht"/>
      <sheetName val="pp3p1m"/>
      <sheetName val="kl3p1m"/>
      <sheetName val="kl1p"/>
      <sheetName val="CT_tram"/>
      <sheetName val="chitiet"/>
      <sheetName val="PL-1"/>
      <sheetName val="PL-2"/>
      <sheetName val="PL-3"/>
      <sheetName val="PL-4"/>
      <sheetName val="NT-VTTB"/>
      <sheetName val="TongHopKL"/>
      <sheetName val="Solieu"/>
      <sheetName val="NT-VT"/>
      <sheetName val="B_CAP"/>
      <sheetName val="2Mong"/>
      <sheetName val="3Tru"/>
      <sheetName val="4Neo"/>
      <sheetName val="5BT"/>
      <sheetName val="6PK"/>
      <sheetName val="7day"/>
      <sheetName val="8TB"/>
      <sheetName val="9TD"/>
      <sheetName val="10DN"/>
      <sheetName val="NK"/>
      <sheetName val="A_CAP"/>
    </sheetNames>
    <sheetDataSet>
      <sheetData sheetId="0">
        <row r="1">
          <cell r="A1" t="str">
            <v>trụ</v>
          </cell>
          <cell r="B1" t="str">
            <v>MHĐG</v>
          </cell>
          <cell r="C1" t="str">
            <v>Tên vật tư</v>
          </cell>
          <cell r="D1" t="str">
            <v>Đơn vị</v>
          </cell>
          <cell r="F1" t="str">
            <v>STT</v>
          </cell>
          <cell r="G1" t="str">
            <v>NTVT</v>
          </cell>
          <cell r="H1" t="str">
            <v>Tạo mã1</v>
          </cell>
          <cell r="I1" t="str">
            <v>Tạo mã2</v>
          </cell>
        </row>
        <row r="2">
          <cell r="B2">
            <v>2</v>
          </cell>
          <cell r="C2">
            <v>3</v>
          </cell>
          <cell r="D2">
            <v>4</v>
          </cell>
          <cell r="F2">
            <v>3000</v>
          </cell>
        </row>
        <row r="3">
          <cell r="A3" t="str">
            <v>D12</v>
          </cell>
          <cell r="B3" t="str">
            <v>04.4001</v>
          </cell>
          <cell r="C3" t="str">
            <v>Đà cản BTCT 1,2m</v>
          </cell>
          <cell r="D3" t="str">
            <v>cái</v>
          </cell>
          <cell r="E3" t="str">
            <v>D1</v>
          </cell>
          <cell r="F3">
            <v>50</v>
          </cell>
          <cell r="G3" t="str">
            <v>x</v>
          </cell>
          <cell r="J3" t="str">
            <v>D12</v>
          </cell>
        </row>
        <row r="4">
          <cell r="A4" t="str">
            <v>D15</v>
          </cell>
          <cell r="B4" t="str">
            <v>04.3801</v>
          </cell>
          <cell r="C4" t="str">
            <v>Đà cản BTCT 1,5m</v>
          </cell>
          <cell r="D4" t="str">
            <v>cái</v>
          </cell>
          <cell r="E4" t="str">
            <v>D1</v>
          </cell>
          <cell r="F4">
            <v>50</v>
          </cell>
          <cell r="G4" t="str">
            <v>x</v>
          </cell>
          <cell r="J4" t="str">
            <v>D15</v>
          </cell>
        </row>
        <row r="5">
          <cell r="A5" t="str">
            <v>D20</v>
          </cell>
          <cell r="B5" t="str">
            <v>04.3802</v>
          </cell>
          <cell r="C5" t="str">
            <v>Đà cản BTCT 2,0m</v>
          </cell>
          <cell r="D5" t="str">
            <v>cái</v>
          </cell>
          <cell r="E5" t="str">
            <v>D2</v>
          </cell>
          <cell r="F5">
            <v>50</v>
          </cell>
          <cell r="G5" t="str">
            <v>x</v>
          </cell>
          <cell r="J5" t="str">
            <v>D20</v>
          </cell>
        </row>
        <row r="6">
          <cell r="A6" t="str">
            <v>D25</v>
          </cell>
          <cell r="B6" t="str">
            <v>04.3802</v>
          </cell>
          <cell r="C6" t="str">
            <v>Đà cản BTCT 2,5m</v>
          </cell>
          <cell r="D6" t="str">
            <v>cái</v>
          </cell>
          <cell r="E6" t="str">
            <v>D2</v>
          </cell>
          <cell r="F6">
            <v>50</v>
          </cell>
          <cell r="G6" t="str">
            <v>x</v>
          </cell>
          <cell r="J6" t="str">
            <v>D25</v>
          </cell>
        </row>
        <row r="7">
          <cell r="A7" t="str">
            <v>DN0212</v>
          </cell>
          <cell r="B7" t="str">
            <v>04.3801</v>
          </cell>
          <cell r="C7" t="str">
            <v>Đế neo BTCT 200x1200</v>
          </cell>
          <cell r="D7" t="str">
            <v>cái</v>
          </cell>
          <cell r="E7" t="str">
            <v>DN</v>
          </cell>
          <cell r="F7">
            <v>50</v>
          </cell>
          <cell r="G7" t="str">
            <v>x</v>
          </cell>
          <cell r="J7" t="str">
            <v>DN0212</v>
          </cell>
        </row>
        <row r="8">
          <cell r="A8" t="str">
            <v>DN0412</v>
          </cell>
          <cell r="B8" t="str">
            <v>04.3801</v>
          </cell>
          <cell r="C8" t="str">
            <v>Đế neo BTCT 400x1200</v>
          </cell>
          <cell r="D8" t="str">
            <v>cái</v>
          </cell>
          <cell r="E8" t="str">
            <v>DN</v>
          </cell>
          <cell r="F8">
            <v>50</v>
          </cell>
          <cell r="G8" t="str">
            <v>x</v>
          </cell>
          <cell r="J8" t="str">
            <v>DN0412</v>
          </cell>
        </row>
        <row r="9">
          <cell r="A9" t="str">
            <v>DN0415</v>
          </cell>
          <cell r="B9" t="str">
            <v>04.3802</v>
          </cell>
          <cell r="C9" t="str">
            <v>Đế neo BTCT 400x1500</v>
          </cell>
          <cell r="D9" t="str">
            <v>cái</v>
          </cell>
          <cell r="E9" t="str">
            <v>DN</v>
          </cell>
          <cell r="F9">
            <v>50</v>
          </cell>
          <cell r="G9" t="str">
            <v>x</v>
          </cell>
          <cell r="J9" t="str">
            <v>DN0415</v>
          </cell>
        </row>
        <row r="10">
          <cell r="A10" t="str">
            <v>DN0615</v>
          </cell>
          <cell r="B10" t="str">
            <v>04.3802</v>
          </cell>
          <cell r="C10" t="str">
            <v>Đế neo BTCT 600x1500</v>
          </cell>
          <cell r="D10" t="str">
            <v>cái</v>
          </cell>
          <cell r="E10" t="str">
            <v>DN</v>
          </cell>
          <cell r="F10">
            <v>50</v>
          </cell>
          <cell r="G10" t="str">
            <v>x</v>
          </cell>
          <cell r="J10" t="str">
            <v>DN0615</v>
          </cell>
        </row>
        <row r="11">
          <cell r="A11" t="str">
            <v>DN0618</v>
          </cell>
          <cell r="B11" t="str">
            <v>04.3802</v>
          </cell>
          <cell r="C11" t="str">
            <v>Đế neo BTCT 600x1800</v>
          </cell>
          <cell r="D11" t="str">
            <v>cái</v>
          </cell>
          <cell r="E11" t="str">
            <v>DN</v>
          </cell>
          <cell r="F11">
            <v>50</v>
          </cell>
          <cell r="G11" t="str">
            <v>x</v>
          </cell>
          <cell r="J11" t="str">
            <v>DN0618</v>
          </cell>
        </row>
        <row r="12">
          <cell r="A12" t="str">
            <v>DN1500</v>
          </cell>
          <cell r="B12" t="str">
            <v>04.3802</v>
          </cell>
          <cell r="C12" t="str">
            <v>Đế neo BTCT 1500x500</v>
          </cell>
          <cell r="D12" t="str">
            <v>cái</v>
          </cell>
          <cell r="E12" t="str">
            <v>DN</v>
          </cell>
          <cell r="F12">
            <v>50</v>
          </cell>
          <cell r="G12" t="str">
            <v>x</v>
          </cell>
          <cell r="J12" t="str">
            <v>DN1500</v>
          </cell>
        </row>
        <row r="13">
          <cell r="A13" t="str">
            <v>DN1200</v>
          </cell>
          <cell r="B13" t="str">
            <v>04.3801</v>
          </cell>
          <cell r="C13" t="str">
            <v>Đế neo BTCT 1200x500</v>
          </cell>
          <cell r="D13" t="str">
            <v>cái</v>
          </cell>
          <cell r="E13" t="str">
            <v>DN</v>
          </cell>
          <cell r="F13">
            <v>50</v>
          </cell>
          <cell r="G13" t="str">
            <v>x</v>
          </cell>
          <cell r="J13" t="str">
            <v>DN1200</v>
          </cell>
        </row>
        <row r="14">
          <cell r="A14" t="str">
            <v>BNH</v>
          </cell>
          <cell r="C14" t="str">
            <v>Biển số - Bảng nguy hiểm</v>
          </cell>
          <cell r="D14" t="str">
            <v>cái</v>
          </cell>
          <cell r="E14" t="str">
            <v>BN</v>
          </cell>
          <cell r="F14">
            <v>50</v>
          </cell>
          <cell r="G14" t="str">
            <v>x</v>
          </cell>
          <cell r="J14" t="str">
            <v>BNH</v>
          </cell>
        </row>
        <row r="15">
          <cell r="A15" t="str">
            <v>BBD</v>
          </cell>
          <cell r="C15" t="str">
            <v>Biển báo độ cao</v>
          </cell>
          <cell r="D15" t="str">
            <v>cái</v>
          </cell>
          <cell r="E15" t="str">
            <v>BB</v>
          </cell>
          <cell r="F15">
            <v>50</v>
          </cell>
          <cell r="G15" t="str">
            <v>x</v>
          </cell>
          <cell r="J15" t="str">
            <v>BBD</v>
          </cell>
        </row>
        <row r="16">
          <cell r="A16" t="str">
            <v>B460</v>
          </cell>
          <cell r="C16" t="str">
            <v>Boulon 4x60+ 2 long đền vuông</v>
          </cell>
          <cell r="D16" t="str">
            <v>bộ</v>
          </cell>
          <cell r="E16" t="str">
            <v>B4</v>
          </cell>
          <cell r="F16">
            <v>50</v>
          </cell>
          <cell r="G16" t="str">
            <v>x</v>
          </cell>
          <cell r="J16" t="str">
            <v>B460</v>
          </cell>
        </row>
        <row r="17">
          <cell r="A17" t="str">
            <v>B630</v>
          </cell>
          <cell r="C17" t="str">
            <v>Boulon 6x30+ 2 long đền vuông</v>
          </cell>
          <cell r="D17" t="str">
            <v>bộ</v>
          </cell>
          <cell r="E17" t="str">
            <v>B6</v>
          </cell>
          <cell r="F17">
            <v>50</v>
          </cell>
          <cell r="G17" t="str">
            <v>x</v>
          </cell>
          <cell r="J17" t="str">
            <v>B630</v>
          </cell>
        </row>
        <row r="18">
          <cell r="A18" t="str">
            <v>B1030TH</v>
          </cell>
          <cell r="C18" t="str">
            <v>Boulon thau 10x30 + 2 long đền vuông</v>
          </cell>
          <cell r="D18" t="str">
            <v>bộ</v>
          </cell>
          <cell r="E18" t="str">
            <v>B1</v>
          </cell>
          <cell r="F18">
            <v>50</v>
          </cell>
          <cell r="G18" t="str">
            <v>x</v>
          </cell>
          <cell r="J18" t="str">
            <v>B1030TH</v>
          </cell>
        </row>
        <row r="19">
          <cell r="A19" t="str">
            <v>B1040</v>
          </cell>
          <cell r="C19" t="str">
            <v>Boulon 10x40+ 2 long đền vuông D12-50x50x3/Zn</v>
          </cell>
          <cell r="D19" t="str">
            <v>bộ</v>
          </cell>
          <cell r="E19" t="str">
            <v>B1</v>
          </cell>
          <cell r="F19">
            <v>50</v>
          </cell>
          <cell r="G19" t="str">
            <v>x</v>
          </cell>
          <cell r="J19" t="str">
            <v>B1040</v>
          </cell>
        </row>
        <row r="20">
          <cell r="A20" t="str">
            <v>B1050</v>
          </cell>
          <cell r="C20" t="str">
            <v>Boulon 10x50+ 2 long đền vuông D12-50x50x3/Zn</v>
          </cell>
          <cell r="D20" t="str">
            <v>bộ</v>
          </cell>
          <cell r="E20" t="str">
            <v>B1</v>
          </cell>
          <cell r="F20">
            <v>50</v>
          </cell>
          <cell r="G20" t="str">
            <v>x</v>
          </cell>
          <cell r="J20" t="str">
            <v>B1050</v>
          </cell>
        </row>
        <row r="21">
          <cell r="A21" t="str">
            <v>B10250</v>
          </cell>
          <cell r="C21" t="str">
            <v>Boulon 10x250+ 2 long đền vuông D14-50x50x3/Zn</v>
          </cell>
          <cell r="D21" t="str">
            <v>bộ</v>
          </cell>
          <cell r="E21" t="str">
            <v>B1</v>
          </cell>
          <cell r="F21">
            <v>50</v>
          </cell>
          <cell r="G21" t="str">
            <v>x</v>
          </cell>
          <cell r="J21" t="str">
            <v>B10250</v>
          </cell>
        </row>
        <row r="22">
          <cell r="A22" t="str">
            <v>B1230</v>
          </cell>
          <cell r="C22" t="str">
            <v>Boulon 12x30+ 2 long đền vuông D14-50x50x3/Zn</v>
          </cell>
          <cell r="D22" t="str">
            <v>bộ</v>
          </cell>
          <cell r="E22" t="str">
            <v>B1</v>
          </cell>
          <cell r="F22">
            <v>50</v>
          </cell>
          <cell r="G22" t="str">
            <v>x</v>
          </cell>
          <cell r="J22" t="str">
            <v>B1230</v>
          </cell>
        </row>
        <row r="23">
          <cell r="A23" t="str">
            <v>B1240</v>
          </cell>
          <cell r="C23" t="str">
            <v>Boulon 12x40+ 2 long đền vuông D14-50x50x3/Zn</v>
          </cell>
          <cell r="D23" t="str">
            <v>bộ</v>
          </cell>
          <cell r="E23" t="str">
            <v>B1</v>
          </cell>
          <cell r="F23">
            <v>50</v>
          </cell>
          <cell r="G23" t="str">
            <v>x</v>
          </cell>
          <cell r="J23" t="str">
            <v>B1240</v>
          </cell>
        </row>
        <row r="24">
          <cell r="A24" t="str">
            <v>B1250</v>
          </cell>
          <cell r="C24" t="str">
            <v>Boulon 12x50+ 2 long đền vuông D14-50x50x3/Zn</v>
          </cell>
          <cell r="D24" t="str">
            <v>bộ</v>
          </cell>
          <cell r="E24" t="str">
            <v>B1</v>
          </cell>
          <cell r="F24">
            <v>50</v>
          </cell>
          <cell r="G24" t="str">
            <v>x</v>
          </cell>
          <cell r="J24" t="str">
            <v>B1250</v>
          </cell>
        </row>
        <row r="25">
          <cell r="A25" t="str">
            <v>B1260</v>
          </cell>
          <cell r="C25" t="str">
            <v>Boulon 12x60+ 2 long đền vuông D14-50x50x3/Zn</v>
          </cell>
          <cell r="D25" t="str">
            <v>bộ</v>
          </cell>
          <cell r="E25" t="str">
            <v>B1</v>
          </cell>
          <cell r="F25">
            <v>50</v>
          </cell>
          <cell r="G25" t="str">
            <v>x</v>
          </cell>
          <cell r="J25" t="str">
            <v>B1260</v>
          </cell>
        </row>
        <row r="26">
          <cell r="A26" t="str">
            <v>B1280</v>
          </cell>
          <cell r="C26" t="str">
            <v>Boulon 12x80+ 2 long đền vuông D14-50x50x3/Zn</v>
          </cell>
          <cell r="D26" t="str">
            <v>bộ</v>
          </cell>
          <cell r="E26" t="str">
            <v>B1</v>
          </cell>
          <cell r="F26">
            <v>50</v>
          </cell>
          <cell r="G26" t="str">
            <v>x</v>
          </cell>
          <cell r="J26" t="str">
            <v>B1280</v>
          </cell>
        </row>
        <row r="27">
          <cell r="A27" t="str">
            <v>B12100</v>
          </cell>
          <cell r="C27" t="str">
            <v>Boulon 12x100+ 2 long đền vuông D14-50x50x3/Zn</v>
          </cell>
          <cell r="D27" t="str">
            <v>bộ</v>
          </cell>
          <cell r="E27" t="str">
            <v>B1</v>
          </cell>
          <cell r="F27">
            <v>50</v>
          </cell>
          <cell r="G27" t="str">
            <v>x</v>
          </cell>
          <cell r="J27" t="str">
            <v>B12100</v>
          </cell>
        </row>
        <row r="28">
          <cell r="A28" t="str">
            <v>B12150</v>
          </cell>
          <cell r="C28" t="str">
            <v>Boulon 12x150+ 2 long đền vuông D14-50x50x3/Zn</v>
          </cell>
          <cell r="D28" t="str">
            <v>bộ</v>
          </cell>
          <cell r="E28" t="str">
            <v>B1</v>
          </cell>
          <cell r="F28">
            <v>50</v>
          </cell>
          <cell r="G28" t="str">
            <v>x</v>
          </cell>
          <cell r="J28" t="str">
            <v>B12150</v>
          </cell>
        </row>
        <row r="29">
          <cell r="A29" t="str">
            <v>B12200</v>
          </cell>
          <cell r="C29" t="str">
            <v>Boulon 12x200+ 2 long đền vuông D14-50x50x3/Zn</v>
          </cell>
          <cell r="D29" t="str">
            <v>bộ</v>
          </cell>
          <cell r="E29" t="str">
            <v>B1</v>
          </cell>
          <cell r="F29">
            <v>50</v>
          </cell>
          <cell r="G29" t="str">
            <v>x</v>
          </cell>
          <cell r="J29" t="str">
            <v>B12200</v>
          </cell>
        </row>
        <row r="30">
          <cell r="A30" t="str">
            <v>B1230TH</v>
          </cell>
          <cell r="C30" t="str">
            <v>Boulon thau 12x30 + 2 long đền vuông D14-50x50x3/Zn</v>
          </cell>
          <cell r="D30" t="str">
            <v>bộ</v>
          </cell>
          <cell r="E30" t="str">
            <v>B1</v>
          </cell>
          <cell r="F30">
            <v>50</v>
          </cell>
          <cell r="G30" t="str">
            <v>x</v>
          </cell>
          <cell r="J30" t="str">
            <v>B1230TH</v>
          </cell>
        </row>
        <row r="31">
          <cell r="A31" t="str">
            <v>B1240TH</v>
          </cell>
          <cell r="C31" t="str">
            <v>Boulon thau 12x40 + 2 long đền vuông D14-50x50x3/Zn</v>
          </cell>
          <cell r="D31" t="str">
            <v>bộ</v>
          </cell>
          <cell r="E31" t="str">
            <v>B1</v>
          </cell>
          <cell r="F31">
            <v>50</v>
          </cell>
          <cell r="G31" t="str">
            <v>x</v>
          </cell>
          <cell r="J31" t="str">
            <v>B1240TH</v>
          </cell>
        </row>
        <row r="32">
          <cell r="A32" t="str">
            <v>B1250TH</v>
          </cell>
          <cell r="C32" t="str">
            <v>Boulon thau 12x50 + 2 long đền vuông D14-50x50x3/Zn</v>
          </cell>
          <cell r="D32" t="str">
            <v>bộ</v>
          </cell>
          <cell r="E32" t="str">
            <v>B1</v>
          </cell>
          <cell r="F32">
            <v>50</v>
          </cell>
          <cell r="G32" t="str">
            <v>x</v>
          </cell>
          <cell r="J32" t="str">
            <v>B1250TH</v>
          </cell>
        </row>
        <row r="33">
          <cell r="A33" t="str">
            <v>B14100</v>
          </cell>
          <cell r="C33" t="str">
            <v>Boulon 14x100+ 2 long đền vuông D16-50x50x3/Zn</v>
          </cell>
          <cell r="D33" t="str">
            <v>bộ</v>
          </cell>
          <cell r="E33" t="str">
            <v>B1</v>
          </cell>
          <cell r="F33">
            <v>50</v>
          </cell>
          <cell r="G33" t="str">
            <v>x</v>
          </cell>
          <cell r="J33" t="str">
            <v>B14100</v>
          </cell>
        </row>
        <row r="34">
          <cell r="A34" t="str">
            <v>B14150</v>
          </cell>
          <cell r="C34" t="str">
            <v>Boulon 14x150+ 2 long đền vuông D16-50x50x3/Zn</v>
          </cell>
          <cell r="D34" t="str">
            <v>bộ</v>
          </cell>
          <cell r="E34" t="str">
            <v>B1</v>
          </cell>
          <cell r="F34">
            <v>50</v>
          </cell>
          <cell r="G34" t="str">
            <v>x</v>
          </cell>
          <cell r="J34" t="str">
            <v>B14150</v>
          </cell>
        </row>
        <row r="35">
          <cell r="A35" t="str">
            <v>B1635</v>
          </cell>
          <cell r="C35" t="str">
            <v>Boulon 16x35+ 2 long đền vuông D18-50x50x3/Zn</v>
          </cell>
          <cell r="D35" t="str">
            <v>bộ</v>
          </cell>
          <cell r="E35" t="str">
            <v>B1</v>
          </cell>
          <cell r="F35">
            <v>50</v>
          </cell>
          <cell r="G35" t="str">
            <v>x</v>
          </cell>
          <cell r="J35" t="str">
            <v>B1635</v>
          </cell>
        </row>
        <row r="36">
          <cell r="A36" t="str">
            <v>B1640</v>
          </cell>
          <cell r="C36" t="str">
            <v>Boulon 16x40+ 2 long đền vuông D18-50x50x3/Zn</v>
          </cell>
          <cell r="D36" t="str">
            <v>bộ</v>
          </cell>
          <cell r="E36" t="str">
            <v>B1</v>
          </cell>
          <cell r="F36">
            <v>50</v>
          </cell>
          <cell r="G36" t="str">
            <v>x</v>
          </cell>
          <cell r="J36" t="str">
            <v>B1640</v>
          </cell>
        </row>
        <row r="37">
          <cell r="A37" t="str">
            <v>B1650</v>
          </cell>
          <cell r="C37" t="str">
            <v>Boulon 16x50+ 2 long đền vuông D18-50x50x3/Zn</v>
          </cell>
          <cell r="D37" t="str">
            <v>bộ</v>
          </cell>
          <cell r="E37" t="str">
            <v>B1</v>
          </cell>
          <cell r="F37">
            <v>50</v>
          </cell>
          <cell r="G37" t="str">
            <v>x</v>
          </cell>
          <cell r="J37" t="str">
            <v>B1650</v>
          </cell>
        </row>
        <row r="38">
          <cell r="A38" t="str">
            <v>B16100</v>
          </cell>
          <cell r="C38" t="str">
            <v>Boulon 16x100+ 2 long đền vuông D18-50x50x3/Zn</v>
          </cell>
          <cell r="D38" t="str">
            <v>bộ</v>
          </cell>
          <cell r="E38" t="str">
            <v>B1</v>
          </cell>
          <cell r="F38">
            <v>50</v>
          </cell>
          <cell r="G38" t="str">
            <v>x</v>
          </cell>
          <cell r="J38" t="str">
            <v>B16100</v>
          </cell>
        </row>
        <row r="39">
          <cell r="A39" t="str">
            <v>B16150</v>
          </cell>
          <cell r="C39" t="str">
            <v>Boulon 16x150+ 2 long đền vuông D18-50x50x3/Zn</v>
          </cell>
          <cell r="D39" t="str">
            <v>bộ</v>
          </cell>
          <cell r="E39" t="str">
            <v>B1</v>
          </cell>
          <cell r="F39">
            <v>50</v>
          </cell>
          <cell r="G39" t="str">
            <v>x</v>
          </cell>
          <cell r="J39" t="str">
            <v>B16150</v>
          </cell>
        </row>
        <row r="40">
          <cell r="A40" t="str">
            <v>B16200</v>
          </cell>
          <cell r="C40" t="str">
            <v>Boulon 16x200+ 2 long đền vuông D18-50x50x3/Zn</v>
          </cell>
          <cell r="D40" t="str">
            <v>bộ</v>
          </cell>
          <cell r="E40" t="str">
            <v>B1</v>
          </cell>
          <cell r="F40">
            <v>50</v>
          </cell>
          <cell r="G40" t="str">
            <v>x</v>
          </cell>
          <cell r="J40" t="str">
            <v>B16200</v>
          </cell>
        </row>
        <row r="41">
          <cell r="A41" t="str">
            <v>B16230</v>
          </cell>
          <cell r="C41" t="str">
            <v>Boulon 16x230/80+ 2 long đền vuông D18-50x50x3/Zn</v>
          </cell>
          <cell r="D41" t="str">
            <v>bộ</v>
          </cell>
          <cell r="E41" t="str">
            <v>B1</v>
          </cell>
          <cell r="F41">
            <v>50</v>
          </cell>
          <cell r="G41" t="str">
            <v>x</v>
          </cell>
          <cell r="J41" t="str">
            <v>B16230</v>
          </cell>
        </row>
        <row r="42">
          <cell r="A42" t="str">
            <v>B16240</v>
          </cell>
          <cell r="C42" t="str">
            <v>Boulon 16x240/80+ 2 long đền vuông D18-50x50x3/Zn</v>
          </cell>
          <cell r="D42" t="str">
            <v>bộ</v>
          </cell>
          <cell r="E42" t="str">
            <v>B1</v>
          </cell>
          <cell r="F42">
            <v>50</v>
          </cell>
          <cell r="G42" t="str">
            <v>x</v>
          </cell>
          <cell r="J42" t="str">
            <v>B16240</v>
          </cell>
        </row>
        <row r="43">
          <cell r="A43" t="str">
            <v>B16250</v>
          </cell>
          <cell r="C43" t="str">
            <v>Boulon 16x250+ 2 long đền vuông D18-50x50x3/Zn</v>
          </cell>
          <cell r="D43" t="str">
            <v>bộ</v>
          </cell>
          <cell r="E43" t="str">
            <v>B1</v>
          </cell>
          <cell r="F43">
            <v>50</v>
          </cell>
          <cell r="G43" t="str">
            <v>x</v>
          </cell>
          <cell r="J43" t="str">
            <v>B16250</v>
          </cell>
        </row>
        <row r="44">
          <cell r="A44" t="str">
            <v>B16260</v>
          </cell>
          <cell r="C44" t="str">
            <v>Boulon 16x260/80+ 2 long đền vuông D18-50x50x3/Zn</v>
          </cell>
          <cell r="D44" t="str">
            <v>bộ</v>
          </cell>
          <cell r="E44" t="str">
            <v>B1</v>
          </cell>
          <cell r="F44">
            <v>50</v>
          </cell>
          <cell r="G44" t="str">
            <v>x</v>
          </cell>
          <cell r="J44" t="str">
            <v>B16260</v>
          </cell>
        </row>
        <row r="45">
          <cell r="A45" t="str">
            <v>B16270</v>
          </cell>
          <cell r="C45" t="str">
            <v>Boulon 16x270/80+ 2 long đền vuông D18-50x50x3/Zn</v>
          </cell>
          <cell r="D45" t="str">
            <v>bộ</v>
          </cell>
          <cell r="E45" t="str">
            <v>B1</v>
          </cell>
          <cell r="F45">
            <v>50</v>
          </cell>
          <cell r="G45" t="str">
            <v>x</v>
          </cell>
          <cell r="J45" t="str">
            <v>B16270</v>
          </cell>
        </row>
        <row r="46">
          <cell r="A46" t="str">
            <v>B16280</v>
          </cell>
          <cell r="C46" t="str">
            <v>Boulon 16x280/80+ 2 long đền vuông D18-50x50x3/Zn</v>
          </cell>
          <cell r="D46" t="str">
            <v>bộ</v>
          </cell>
          <cell r="E46" t="str">
            <v>B1</v>
          </cell>
          <cell r="F46">
            <v>50</v>
          </cell>
          <cell r="G46" t="str">
            <v>x</v>
          </cell>
          <cell r="J46" t="str">
            <v>B16280</v>
          </cell>
        </row>
        <row r="47">
          <cell r="A47" t="str">
            <v>B16300</v>
          </cell>
          <cell r="C47" t="str">
            <v>Boulon 16x300+ 2 long đền vuông D18-50x50x3/Zn</v>
          </cell>
          <cell r="D47" t="str">
            <v>bộ</v>
          </cell>
          <cell r="E47" t="str">
            <v>B1</v>
          </cell>
          <cell r="F47">
            <v>50</v>
          </cell>
          <cell r="G47" t="str">
            <v>x</v>
          </cell>
          <cell r="J47" t="str">
            <v>B16300</v>
          </cell>
        </row>
        <row r="48">
          <cell r="A48" t="str">
            <v>B16320</v>
          </cell>
          <cell r="C48" t="str">
            <v>Boulon 16x320+ 2 long đền vuông D18-50x50x3/Zn</v>
          </cell>
          <cell r="D48" t="str">
            <v>bộ</v>
          </cell>
          <cell r="E48" t="str">
            <v>B1</v>
          </cell>
          <cell r="F48">
            <v>50</v>
          </cell>
          <cell r="G48" t="str">
            <v>x</v>
          </cell>
          <cell r="J48" t="str">
            <v>B16320</v>
          </cell>
        </row>
        <row r="49">
          <cell r="A49" t="str">
            <v>B16350</v>
          </cell>
          <cell r="C49" t="str">
            <v>Boulon 16x350+ 2 long đền vuông D18-50x50x3/Zn</v>
          </cell>
          <cell r="D49" t="str">
            <v>bộ</v>
          </cell>
          <cell r="E49" t="str">
            <v>B1</v>
          </cell>
          <cell r="F49">
            <v>50</v>
          </cell>
          <cell r="G49" t="str">
            <v>x</v>
          </cell>
          <cell r="J49" t="str">
            <v>B16350</v>
          </cell>
        </row>
        <row r="50">
          <cell r="A50" t="str">
            <v>B16400</v>
          </cell>
          <cell r="C50" t="str">
            <v>Boulon 16x400+ 2 long đền vuông D18-50x50x3/Zn</v>
          </cell>
          <cell r="D50" t="str">
            <v>bộ</v>
          </cell>
          <cell r="E50" t="str">
            <v>B1</v>
          </cell>
          <cell r="F50">
            <v>50</v>
          </cell>
          <cell r="G50" t="str">
            <v>x</v>
          </cell>
          <cell r="J50" t="str">
            <v>B16400</v>
          </cell>
        </row>
        <row r="51">
          <cell r="A51" t="str">
            <v>B16450</v>
          </cell>
          <cell r="C51" t="str">
            <v>Boulon 16x450+ 2 long đền vuông D18-50x50x3/Zn</v>
          </cell>
          <cell r="D51" t="str">
            <v>bộ</v>
          </cell>
          <cell r="E51" t="str">
            <v>B1</v>
          </cell>
          <cell r="F51">
            <v>50</v>
          </cell>
          <cell r="G51" t="str">
            <v>x</v>
          </cell>
          <cell r="J51" t="str">
            <v>B16450</v>
          </cell>
        </row>
        <row r="52">
          <cell r="A52" t="str">
            <v>B16500</v>
          </cell>
          <cell r="C52" t="str">
            <v>Boulon 16x500+ 2 long đền vuông D18-50x50x3/Zn</v>
          </cell>
          <cell r="D52" t="str">
            <v>bộ</v>
          </cell>
          <cell r="E52" t="str">
            <v>B1</v>
          </cell>
          <cell r="F52">
            <v>50</v>
          </cell>
          <cell r="G52" t="str">
            <v>x</v>
          </cell>
          <cell r="J52" t="str">
            <v>B16500</v>
          </cell>
        </row>
        <row r="53">
          <cell r="A53" t="str">
            <v>B16600</v>
          </cell>
          <cell r="C53" t="str">
            <v>Boulon 16x600+ 2 long đền vuông D18-50x50x3/Zn</v>
          </cell>
          <cell r="D53" t="str">
            <v>bộ</v>
          </cell>
          <cell r="E53" t="str">
            <v>B1</v>
          </cell>
          <cell r="F53">
            <v>50</v>
          </cell>
          <cell r="G53" t="str">
            <v>x</v>
          </cell>
          <cell r="J53" t="str">
            <v>B16600</v>
          </cell>
        </row>
        <row r="54">
          <cell r="A54" t="str">
            <v>B1680V</v>
          </cell>
          <cell r="C54" t="str">
            <v>Boulon 16x80VRS+ 4 long đền vuông D18-50x50x3/Zn</v>
          </cell>
          <cell r="D54" t="str">
            <v>bộ</v>
          </cell>
          <cell r="E54" t="str">
            <v>B1</v>
          </cell>
          <cell r="F54">
            <v>50</v>
          </cell>
          <cell r="G54" t="str">
            <v>x</v>
          </cell>
          <cell r="J54" t="str">
            <v>B1680V</v>
          </cell>
        </row>
        <row r="55">
          <cell r="A55" t="str">
            <v>B16100V</v>
          </cell>
          <cell r="C55" t="str">
            <v>Boulon 16x100VRS+ 4 long đền vuông D18-50x50x3/Zn</v>
          </cell>
          <cell r="D55" t="str">
            <v>bộ</v>
          </cell>
          <cell r="E55" t="str">
            <v>B1</v>
          </cell>
          <cell r="F55">
            <v>50</v>
          </cell>
          <cell r="G55" t="str">
            <v>x</v>
          </cell>
          <cell r="J55" t="str">
            <v>B16100V</v>
          </cell>
        </row>
        <row r="56">
          <cell r="A56" t="str">
            <v>B16200V</v>
          </cell>
          <cell r="C56" t="str">
            <v>Boulon 16x200VRS+ 4 long đền vuông D18-50x50x3/Zn</v>
          </cell>
          <cell r="D56" t="str">
            <v>bộ</v>
          </cell>
          <cell r="E56" t="str">
            <v>B1</v>
          </cell>
          <cell r="F56">
            <v>50</v>
          </cell>
          <cell r="G56" t="str">
            <v>x</v>
          </cell>
          <cell r="J56" t="str">
            <v>B16200V</v>
          </cell>
        </row>
        <row r="57">
          <cell r="A57" t="str">
            <v>B16250V</v>
          </cell>
          <cell r="C57" t="str">
            <v>Boulon 16x250VRS+ 4 long đền vuông D18-50x50x3/Zn</v>
          </cell>
          <cell r="D57" t="str">
            <v>bộ</v>
          </cell>
          <cell r="E57" t="str">
            <v>B1</v>
          </cell>
          <cell r="F57">
            <v>50</v>
          </cell>
          <cell r="G57" t="str">
            <v>x</v>
          </cell>
          <cell r="J57" t="str">
            <v>B16250V</v>
          </cell>
        </row>
        <row r="58">
          <cell r="A58" t="str">
            <v>B16300V</v>
          </cell>
          <cell r="C58" t="str">
            <v>Boulon 16x300VRS+ 4 long đền vuông D18-50x50x3/Zn</v>
          </cell>
          <cell r="D58" t="str">
            <v>bộ</v>
          </cell>
          <cell r="E58" t="str">
            <v>B1</v>
          </cell>
          <cell r="F58">
            <v>50</v>
          </cell>
          <cell r="G58" t="str">
            <v>x</v>
          </cell>
          <cell r="J58" t="str">
            <v>B16300V</v>
          </cell>
        </row>
        <row r="59">
          <cell r="A59" t="str">
            <v>B16350V</v>
          </cell>
          <cell r="C59" t="str">
            <v>Boulon 16x350VRS+ 4 long đền vuông D18-50x50x3/Zn</v>
          </cell>
          <cell r="D59" t="str">
            <v>bộ</v>
          </cell>
          <cell r="E59" t="str">
            <v>B1</v>
          </cell>
          <cell r="F59">
            <v>50</v>
          </cell>
          <cell r="G59" t="str">
            <v>x</v>
          </cell>
          <cell r="J59" t="str">
            <v>B16350V</v>
          </cell>
        </row>
        <row r="60">
          <cell r="A60" t="str">
            <v>B16400v</v>
          </cell>
          <cell r="C60" t="str">
            <v>Boulon 16x400VRS+ 4 long đền vuông D18-50x50x3/Zn</v>
          </cell>
          <cell r="D60" t="str">
            <v>bộ</v>
          </cell>
          <cell r="E60" t="str">
            <v>B1</v>
          </cell>
          <cell r="F60">
            <v>50</v>
          </cell>
          <cell r="G60" t="str">
            <v>x</v>
          </cell>
          <cell r="J60" t="str">
            <v>B16400v</v>
          </cell>
        </row>
        <row r="61">
          <cell r="A61" t="str">
            <v>B16500V</v>
          </cell>
          <cell r="C61" t="str">
            <v>Boulon 16x500VRS+ 4 long đền vuông D18-50x50x3/Zn</v>
          </cell>
          <cell r="D61" t="str">
            <v>bộ</v>
          </cell>
          <cell r="E61" t="str">
            <v>B1</v>
          </cell>
          <cell r="F61">
            <v>50</v>
          </cell>
          <cell r="G61" t="str">
            <v>x</v>
          </cell>
          <cell r="J61" t="str">
            <v>B16500V</v>
          </cell>
        </row>
        <row r="62">
          <cell r="A62" t="str">
            <v>B16450V</v>
          </cell>
          <cell r="C62" t="str">
            <v>Boulon 16x450VRS+ 4 long đền vuông D18-50x50x3/Zn</v>
          </cell>
          <cell r="D62" t="str">
            <v>bộ</v>
          </cell>
          <cell r="E62" t="str">
            <v>B1</v>
          </cell>
          <cell r="F62">
            <v>50</v>
          </cell>
          <cell r="G62" t="str">
            <v>x</v>
          </cell>
          <cell r="J62" t="str">
            <v>B16450V</v>
          </cell>
        </row>
        <row r="63">
          <cell r="A63" t="str">
            <v>B16550V</v>
          </cell>
          <cell r="C63" t="str">
            <v>Boulon 16x550VRS+ 4 long đền vuông D18-50x50x3/Zn</v>
          </cell>
          <cell r="D63" t="str">
            <v>bộ</v>
          </cell>
          <cell r="E63" t="str">
            <v>B1</v>
          </cell>
          <cell r="F63">
            <v>50</v>
          </cell>
          <cell r="G63" t="str">
            <v>x</v>
          </cell>
          <cell r="J63" t="str">
            <v>B16550V</v>
          </cell>
        </row>
        <row r="64">
          <cell r="A64" t="str">
            <v>B16550</v>
          </cell>
          <cell r="C64" t="str">
            <v>Boulon 16x550+ long đền vuông D18-50x50x3/Zn</v>
          </cell>
          <cell r="D64" t="str">
            <v>bộ</v>
          </cell>
          <cell r="E64" t="str">
            <v>B1</v>
          </cell>
          <cell r="F64">
            <v>50</v>
          </cell>
          <cell r="G64" t="str">
            <v>x</v>
          </cell>
          <cell r="J64" t="str">
            <v>B16550</v>
          </cell>
        </row>
        <row r="65">
          <cell r="A65" t="str">
            <v>B16600V</v>
          </cell>
          <cell r="C65" t="str">
            <v>Boulon 16x600VRS+ 4 long đền vuông D18-50x50x3/Zn</v>
          </cell>
          <cell r="D65" t="str">
            <v>bộ</v>
          </cell>
          <cell r="E65" t="str">
            <v>B1</v>
          </cell>
          <cell r="F65">
            <v>50</v>
          </cell>
          <cell r="G65" t="str">
            <v>x</v>
          </cell>
          <cell r="J65" t="str">
            <v>B16600V</v>
          </cell>
        </row>
        <row r="66">
          <cell r="A66" t="str">
            <v>B16650V</v>
          </cell>
          <cell r="C66" t="str">
            <v>Boulon 16x650VRS+ 4 long đền vuông D18-50x50x3/Zn</v>
          </cell>
          <cell r="D66" t="str">
            <v>bộ</v>
          </cell>
          <cell r="E66" t="str">
            <v>B1</v>
          </cell>
          <cell r="F66">
            <v>50</v>
          </cell>
          <cell r="G66" t="str">
            <v>x</v>
          </cell>
          <cell r="J66" t="str">
            <v>B16650V</v>
          </cell>
        </row>
        <row r="67">
          <cell r="A67" t="str">
            <v>B16700V</v>
          </cell>
          <cell r="C67" t="str">
            <v>Boulon 16x700VRS+ 4 long đền vuông D18-50x50x3/Zn</v>
          </cell>
          <cell r="D67" t="str">
            <v>bộ</v>
          </cell>
          <cell r="E67" t="str">
            <v>B1</v>
          </cell>
          <cell r="F67">
            <v>50</v>
          </cell>
          <cell r="G67" t="str">
            <v>x</v>
          </cell>
          <cell r="J67" t="str">
            <v>B16700V</v>
          </cell>
        </row>
        <row r="68">
          <cell r="A68" t="str">
            <v>B22260</v>
          </cell>
          <cell r="C68" t="str">
            <v>Boulon 22x260+ 2 long đền vuông D24-50x50x3/Zn</v>
          </cell>
          <cell r="D68" t="str">
            <v>bộ</v>
          </cell>
          <cell r="E68" t="str">
            <v>B2</v>
          </cell>
          <cell r="F68">
            <v>50</v>
          </cell>
          <cell r="G68" t="str">
            <v>x</v>
          </cell>
          <cell r="J68" t="str">
            <v>B22260</v>
          </cell>
        </row>
        <row r="69">
          <cell r="A69" t="str">
            <v>B22450</v>
          </cell>
          <cell r="C69" t="str">
            <v>Boulon 22x450+ 2 long đền vuông D24-50x50x3/Zn</v>
          </cell>
          <cell r="D69" t="str">
            <v>bộ</v>
          </cell>
          <cell r="E69" t="str">
            <v>B2</v>
          </cell>
          <cell r="F69">
            <v>50</v>
          </cell>
          <cell r="G69" t="str">
            <v>x</v>
          </cell>
          <cell r="J69" t="str">
            <v>B22450</v>
          </cell>
        </row>
        <row r="70">
          <cell r="A70" t="str">
            <v>B22500</v>
          </cell>
          <cell r="C70" t="str">
            <v>Boulon 22x500+ 2 long đền vuông D24-50x50x3/Zn</v>
          </cell>
          <cell r="D70" t="str">
            <v>bộ</v>
          </cell>
          <cell r="E70" t="str">
            <v>B2</v>
          </cell>
          <cell r="F70">
            <v>50</v>
          </cell>
          <cell r="G70" t="str">
            <v>x</v>
          </cell>
          <cell r="J70" t="str">
            <v>B22500</v>
          </cell>
        </row>
        <row r="71">
          <cell r="A71" t="str">
            <v>B22550</v>
          </cell>
          <cell r="C71" t="str">
            <v>Boulon 22x550/100+ 2 long đền vuông D24-50x50x3/Zn</v>
          </cell>
          <cell r="D71" t="str">
            <v>bộ</v>
          </cell>
          <cell r="E71" t="str">
            <v>B2</v>
          </cell>
          <cell r="F71">
            <v>50</v>
          </cell>
          <cell r="G71" t="str">
            <v>x</v>
          </cell>
          <cell r="J71" t="str">
            <v>B22550</v>
          </cell>
        </row>
        <row r="72">
          <cell r="A72" t="str">
            <v>B22600</v>
          </cell>
          <cell r="B72" t="str">
            <v xml:space="preserve"> </v>
          </cell>
          <cell r="C72" t="str">
            <v>Boulon 22x600+ 2 long đền vuông D24-50x50x3/Zn</v>
          </cell>
          <cell r="D72" t="str">
            <v>bộ</v>
          </cell>
          <cell r="E72" t="str">
            <v>B2</v>
          </cell>
          <cell r="F72">
            <v>50</v>
          </cell>
          <cell r="G72" t="str">
            <v>x</v>
          </cell>
          <cell r="J72" t="str">
            <v>B22600</v>
          </cell>
        </row>
        <row r="73">
          <cell r="A73" t="str">
            <v>B22650</v>
          </cell>
          <cell r="C73" t="str">
            <v>Boulon 22x650+ 2 long đền vuông D24-50x50x3/Zn</v>
          </cell>
          <cell r="D73" t="str">
            <v>bộ</v>
          </cell>
          <cell r="E73" t="str">
            <v>B2</v>
          </cell>
          <cell r="F73">
            <v>50</v>
          </cell>
          <cell r="G73" t="str">
            <v>x</v>
          </cell>
          <cell r="J73" t="str">
            <v>B22650</v>
          </cell>
        </row>
        <row r="74">
          <cell r="A74" t="str">
            <v>B22700</v>
          </cell>
          <cell r="C74" t="str">
            <v>Boulon 22x700+ 2 long đền vuông D24-50x50x3/Zn</v>
          </cell>
          <cell r="D74" t="str">
            <v>bộ</v>
          </cell>
          <cell r="E74" t="str">
            <v>B2</v>
          </cell>
          <cell r="F74">
            <v>50</v>
          </cell>
          <cell r="G74" t="str">
            <v>x</v>
          </cell>
          <cell r="J74" t="str">
            <v>B22700</v>
          </cell>
        </row>
        <row r="75">
          <cell r="A75" t="str">
            <v>B22750</v>
          </cell>
          <cell r="C75" t="str">
            <v>Boulon 22x750+ 2 long đền vuông D24-50x50x3/Zn</v>
          </cell>
          <cell r="D75" t="str">
            <v>bộ</v>
          </cell>
          <cell r="E75" t="str">
            <v>B2</v>
          </cell>
          <cell r="F75">
            <v>50</v>
          </cell>
          <cell r="G75" t="str">
            <v>x</v>
          </cell>
          <cell r="J75" t="str">
            <v>B22750</v>
          </cell>
        </row>
        <row r="76">
          <cell r="A76" t="str">
            <v>B22800</v>
          </cell>
          <cell r="C76" t="str">
            <v>Boulon 22x800+ 2 long đền vuông D24-50x50x3/Zn</v>
          </cell>
          <cell r="D76" t="str">
            <v>bộ</v>
          </cell>
          <cell r="E76" t="str">
            <v>B2</v>
          </cell>
          <cell r="F76">
            <v>50</v>
          </cell>
          <cell r="G76" t="str">
            <v>x</v>
          </cell>
          <cell r="J76" t="str">
            <v>B22800</v>
          </cell>
        </row>
        <row r="77">
          <cell r="A77" t="str">
            <v>B22850</v>
          </cell>
          <cell r="C77" t="str">
            <v>Boulon 22x850+ 2 long đền vuông D24-50x50x3/Zn</v>
          </cell>
          <cell r="D77" t="str">
            <v>bộ</v>
          </cell>
          <cell r="E77" t="str">
            <v>B2</v>
          </cell>
          <cell r="F77">
            <v>50</v>
          </cell>
          <cell r="G77" t="str">
            <v>x</v>
          </cell>
          <cell r="J77" t="str">
            <v>B22850</v>
          </cell>
        </row>
        <row r="78">
          <cell r="A78" t="str">
            <v>B221000</v>
          </cell>
          <cell r="C78" t="str">
            <v>Boulon 22x1000+ 2 long đền vuông D24-50x50x3/Zn</v>
          </cell>
          <cell r="D78" t="str">
            <v>bộ</v>
          </cell>
          <cell r="E78" t="str">
            <v>B2</v>
          </cell>
          <cell r="F78">
            <v>50</v>
          </cell>
          <cell r="G78" t="str">
            <v>x</v>
          </cell>
          <cell r="J78" t="str">
            <v>B221000</v>
          </cell>
        </row>
        <row r="79">
          <cell r="A79" t="str">
            <v>B22500C</v>
          </cell>
          <cell r="C79" t="str">
            <v>Boulon 22x500/150 chẻ đuôi cá + 2 long đền vuông D24-50x50x3/Zn</v>
          </cell>
          <cell r="D79" t="str">
            <v>bộ</v>
          </cell>
          <cell r="E79" t="str">
            <v>B2</v>
          </cell>
          <cell r="F79">
            <v>50</v>
          </cell>
          <cell r="G79" t="str">
            <v>x</v>
          </cell>
          <cell r="J79" t="str">
            <v>B22500C</v>
          </cell>
        </row>
        <row r="80">
          <cell r="A80" t="str">
            <v>B30800</v>
          </cell>
          <cell r="C80" t="str">
            <v>Boulon 30x800+ 2 long đền vuông D18-50x50x3/Zn</v>
          </cell>
          <cell r="D80" t="str">
            <v>bộ</v>
          </cell>
          <cell r="E80" t="str">
            <v>B3</v>
          </cell>
          <cell r="F80">
            <v>50</v>
          </cell>
          <cell r="G80" t="str">
            <v>x</v>
          </cell>
          <cell r="J80" t="str">
            <v>B30800</v>
          </cell>
        </row>
        <row r="81">
          <cell r="A81" t="str">
            <v>B301000</v>
          </cell>
          <cell r="C81" t="str">
            <v>Boulon 30x1000+ 2 long đền vuông D18-50x50x3/Zn</v>
          </cell>
          <cell r="D81" t="str">
            <v>bộ</v>
          </cell>
          <cell r="E81" t="str">
            <v>B3</v>
          </cell>
          <cell r="F81">
            <v>50</v>
          </cell>
          <cell r="G81" t="str">
            <v>x</v>
          </cell>
          <cell r="J81" t="str">
            <v>B301000</v>
          </cell>
        </row>
        <row r="82">
          <cell r="A82" t="str">
            <v>BM16230</v>
          </cell>
          <cell r="C82" t="str">
            <v>Boulon mắt 16x230+ 2 long đền vuông D18-50x50x3/Zn</v>
          </cell>
          <cell r="D82" t="str">
            <v>bộ</v>
          </cell>
          <cell r="E82" t="str">
            <v>BM</v>
          </cell>
          <cell r="F82">
            <v>50</v>
          </cell>
          <cell r="G82" t="str">
            <v>x</v>
          </cell>
          <cell r="J82" t="str">
            <v>BM16230</v>
          </cell>
        </row>
        <row r="83">
          <cell r="A83" t="str">
            <v>BM16250</v>
          </cell>
          <cell r="C83" t="str">
            <v>Boulon mắt 16x250+ 2 long đền vuông D18-50x50x3/Zn</v>
          </cell>
          <cell r="D83" t="str">
            <v>bộ</v>
          </cell>
          <cell r="E83" t="str">
            <v>BM</v>
          </cell>
          <cell r="F83">
            <v>50</v>
          </cell>
          <cell r="G83" t="str">
            <v>x</v>
          </cell>
          <cell r="J83" t="str">
            <v>BM16250</v>
          </cell>
        </row>
        <row r="84">
          <cell r="A84" t="str">
            <v>BM16300</v>
          </cell>
          <cell r="C84" t="str">
            <v>Boulon mắt 16x300+ 2 long đền vuông D18-50x50x3/Zn</v>
          </cell>
          <cell r="D84" t="str">
            <v>bộ</v>
          </cell>
          <cell r="E84" t="str">
            <v>BM</v>
          </cell>
          <cell r="F84">
            <v>50</v>
          </cell>
          <cell r="G84" t="str">
            <v>x</v>
          </cell>
          <cell r="J84" t="str">
            <v>BM16300</v>
          </cell>
        </row>
        <row r="85">
          <cell r="A85" t="str">
            <v>BM16350</v>
          </cell>
          <cell r="C85" t="str">
            <v>Boulon mắt 16x350+ 2 long đền vuông D18-50x50x3/Zn</v>
          </cell>
          <cell r="D85" t="str">
            <v>bộ</v>
          </cell>
          <cell r="E85" t="str">
            <v>BM</v>
          </cell>
          <cell r="F85">
            <v>50</v>
          </cell>
          <cell r="G85" t="str">
            <v>x</v>
          </cell>
          <cell r="J85" t="str">
            <v>BM16350</v>
          </cell>
        </row>
        <row r="86">
          <cell r="A86" t="str">
            <v>BMOC16250</v>
          </cell>
          <cell r="C86" t="str">
            <v>Boulon móc 16x250+ long đền vuông D18-50x50x3/Zn</v>
          </cell>
          <cell r="D86" t="str">
            <v>bộ</v>
          </cell>
          <cell r="E86" t="str">
            <v>BM</v>
          </cell>
          <cell r="F86">
            <v>50</v>
          </cell>
          <cell r="G86" t="str">
            <v>x</v>
          </cell>
          <cell r="J86" t="str">
            <v>BMOC16250</v>
          </cell>
        </row>
        <row r="87">
          <cell r="A87" t="str">
            <v>BMOC16300</v>
          </cell>
          <cell r="C87" t="str">
            <v>Boulon móc 16x300+ long đền vuông D18-50x50x3/Zn</v>
          </cell>
          <cell r="D87" t="str">
            <v>bộ</v>
          </cell>
          <cell r="E87" t="str">
            <v>BM</v>
          </cell>
          <cell r="F87">
            <v>50</v>
          </cell>
          <cell r="G87" t="str">
            <v>x</v>
          </cell>
          <cell r="J87" t="str">
            <v>BMOC16300</v>
          </cell>
        </row>
        <row r="88">
          <cell r="A88" t="str">
            <v>BulonVRS + ĐO</v>
          </cell>
          <cell r="C88" t="str">
            <v>Boulon 16x500VRS + đai ốc mắt + 2 long đền vuông D18-50x50x3/Zn</v>
          </cell>
          <cell r="D88" t="str">
            <v>bộ</v>
          </cell>
          <cell r="E88" t="str">
            <v>Bu</v>
          </cell>
          <cell r="F88">
            <v>50</v>
          </cell>
          <cell r="G88" t="str">
            <v>x</v>
          </cell>
          <cell r="J88" t="str">
            <v>BulonVRS + ĐO</v>
          </cell>
        </row>
        <row r="89">
          <cell r="A89" t="str">
            <v>LD tron</v>
          </cell>
          <cell r="C89" t="str">
            <v>Long đền tròn 12-14-16-18</v>
          </cell>
          <cell r="D89" t="str">
            <v>cái</v>
          </cell>
          <cell r="E89" t="str">
            <v>LD</v>
          </cell>
          <cell r="F89">
            <v>50</v>
          </cell>
          <cell r="G89" t="str">
            <v>x</v>
          </cell>
          <cell r="J89" t="str">
            <v>LD tron</v>
          </cell>
        </row>
        <row r="90">
          <cell r="A90" t="str">
            <v>LD 40</v>
          </cell>
          <cell r="C90" t="str">
            <v>Long đền vuông 14-22 (50x50x3)</v>
          </cell>
          <cell r="D90" t="str">
            <v>cái</v>
          </cell>
          <cell r="E90" t="str">
            <v>LD</v>
          </cell>
          <cell r="F90">
            <v>50</v>
          </cell>
          <cell r="G90" t="str">
            <v>x</v>
          </cell>
          <cell r="J90" t="str">
            <v>LD 40</v>
          </cell>
        </row>
        <row r="91">
          <cell r="A91" t="str">
            <v>LD 60</v>
          </cell>
          <cell r="C91" t="str">
            <v>Long đền vuông 18-24 (60x60x6)</v>
          </cell>
          <cell r="D91" t="str">
            <v>cái</v>
          </cell>
          <cell r="E91" t="str">
            <v>LD</v>
          </cell>
          <cell r="F91">
            <v>50</v>
          </cell>
          <cell r="G91" t="str">
            <v>x</v>
          </cell>
          <cell r="J91" t="str">
            <v>LD 60</v>
          </cell>
        </row>
        <row r="92">
          <cell r="A92" t="str">
            <v>BATLI</v>
          </cell>
          <cell r="C92" t="str">
            <v>Bass LI bắt FCO</v>
          </cell>
          <cell r="D92" t="str">
            <v>Bộ</v>
          </cell>
          <cell r="E92" t="str">
            <v>BA</v>
          </cell>
          <cell r="F92">
            <v>50</v>
          </cell>
          <cell r="G92" t="str">
            <v>x</v>
          </cell>
          <cell r="J92" t="str">
            <v>BATLI</v>
          </cell>
        </row>
        <row r="93">
          <cell r="A93" t="str">
            <v>BATLIA</v>
          </cell>
          <cell r="C93" t="str">
            <v>Bass LI bắt LA</v>
          </cell>
          <cell r="D93" t="str">
            <v>Bộ</v>
          </cell>
          <cell r="E93" t="str">
            <v>BA</v>
          </cell>
          <cell r="F93">
            <v>50</v>
          </cell>
          <cell r="G93" t="str">
            <v>x</v>
          </cell>
          <cell r="J93" t="str">
            <v>BATLIA</v>
          </cell>
        </row>
        <row r="94">
          <cell r="A94" t="str">
            <v>BATLL</v>
          </cell>
          <cell r="C94" t="str">
            <v>Bass LL bắt FCO, LA</v>
          </cell>
          <cell r="D94" t="str">
            <v>bộ</v>
          </cell>
          <cell r="E94" t="str">
            <v>BA</v>
          </cell>
          <cell r="F94">
            <v>50</v>
          </cell>
          <cell r="G94" t="str">
            <v>x</v>
          </cell>
          <cell r="J94" t="str">
            <v>BATLL</v>
          </cell>
        </row>
        <row r="95">
          <cell r="A95" t="str">
            <v>CT25</v>
          </cell>
          <cell r="B95" t="str">
            <v>04.5142</v>
          </cell>
          <cell r="C95" t="str">
            <v>Cừ tràm 2,5m</v>
          </cell>
          <cell r="D95" t="str">
            <v>cây</v>
          </cell>
          <cell r="E95" t="str">
            <v>CT</v>
          </cell>
          <cell r="F95">
            <v>50</v>
          </cell>
          <cell r="G95" t="str">
            <v>x</v>
          </cell>
          <cell r="J95" t="str">
            <v>CT25</v>
          </cell>
        </row>
        <row r="96">
          <cell r="A96" t="str">
            <v>CT3</v>
          </cell>
          <cell r="B96" t="str">
            <v>04.5142</v>
          </cell>
          <cell r="C96" t="str">
            <v>Cừ tràm 3m</v>
          </cell>
          <cell r="D96" t="str">
            <v>cây</v>
          </cell>
          <cell r="E96" t="str">
            <v>CT</v>
          </cell>
          <cell r="F96">
            <v>50</v>
          </cell>
          <cell r="G96" t="str">
            <v>x</v>
          </cell>
          <cell r="J96" t="str">
            <v>CT3</v>
          </cell>
        </row>
        <row r="97">
          <cell r="A97" t="str">
            <v>cong 1</v>
          </cell>
          <cell r="B97" t="str">
            <v>04.5142</v>
          </cell>
          <cell r="C97" t="str">
            <v>Cong D1000x1000mm</v>
          </cell>
          <cell r="D97" t="str">
            <v>cái</v>
          </cell>
          <cell r="E97" t="str">
            <v>co</v>
          </cell>
          <cell r="F97">
            <v>50</v>
          </cell>
          <cell r="G97" t="str">
            <v>x</v>
          </cell>
          <cell r="J97" t="str">
            <v>cong 1</v>
          </cell>
        </row>
        <row r="98">
          <cell r="A98" t="str">
            <v>cong 2</v>
          </cell>
          <cell r="B98" t="str">
            <v>04.5142</v>
          </cell>
          <cell r="C98" t="str">
            <v>Cong D1000x400mm</v>
          </cell>
          <cell r="D98" t="str">
            <v>cái</v>
          </cell>
          <cell r="E98" t="str">
            <v>co</v>
          </cell>
          <cell r="F98">
            <v>50</v>
          </cell>
          <cell r="G98" t="str">
            <v>x</v>
          </cell>
          <cell r="J98" t="str">
            <v>cong 2</v>
          </cell>
        </row>
        <row r="99">
          <cell r="A99" t="str">
            <v>CT5</v>
          </cell>
          <cell r="B99" t="str">
            <v>04.5142</v>
          </cell>
          <cell r="C99" t="str">
            <v>Cừ tràm 5m</v>
          </cell>
          <cell r="D99" t="str">
            <v>cây</v>
          </cell>
          <cell r="E99" t="str">
            <v>CT</v>
          </cell>
          <cell r="F99">
            <v>50</v>
          </cell>
          <cell r="G99" t="str">
            <v>x</v>
          </cell>
          <cell r="J99" t="str">
            <v>CT5</v>
          </cell>
        </row>
        <row r="100">
          <cell r="A100" t="str">
            <v>MongTB</v>
          </cell>
          <cell r="C100" t="str">
            <v>Móng đặt tủ bù (0,2x0,2x0,4)x4 móng</v>
          </cell>
          <cell r="D100" t="str">
            <v>Trọn bộ</v>
          </cell>
          <cell r="E100" t="str">
            <v>Mo</v>
          </cell>
          <cell r="F100">
            <v>50</v>
          </cell>
          <cell r="G100" t="str">
            <v>x</v>
          </cell>
          <cell r="J100" t="str">
            <v>MongTB</v>
          </cell>
        </row>
        <row r="101">
          <cell r="A101" t="str">
            <v>M11</v>
          </cell>
          <cell r="C101" t="str">
            <v>Cáp đồng trần M11mm2</v>
          </cell>
          <cell r="D101" t="str">
            <v>kg</v>
          </cell>
          <cell r="E101" t="str">
            <v>M1</v>
          </cell>
          <cell r="F101">
            <v>12</v>
          </cell>
          <cell r="G101" t="str">
            <v>x</v>
          </cell>
          <cell r="J101" t="str">
            <v>M11</v>
          </cell>
        </row>
        <row r="102">
          <cell r="A102" t="str">
            <v>M22</v>
          </cell>
          <cell r="C102" t="str">
            <v>Cáp đồng trần M22mm2</v>
          </cell>
          <cell r="D102" t="str">
            <v>kg</v>
          </cell>
          <cell r="E102" t="str">
            <v>M2</v>
          </cell>
          <cell r="F102">
            <v>12</v>
          </cell>
          <cell r="G102" t="str">
            <v>x</v>
          </cell>
          <cell r="J102" t="str">
            <v>M22</v>
          </cell>
        </row>
        <row r="103">
          <cell r="A103" t="str">
            <v>M25</v>
          </cell>
          <cell r="C103" t="str">
            <v>Cáp đồng trần M25mm2</v>
          </cell>
          <cell r="D103" t="str">
            <v>kg</v>
          </cell>
          <cell r="E103" t="str">
            <v>M2</v>
          </cell>
          <cell r="F103">
            <v>12</v>
          </cell>
          <cell r="G103" t="str">
            <v>x</v>
          </cell>
          <cell r="J103" t="str">
            <v>M25</v>
          </cell>
        </row>
        <row r="104">
          <cell r="A104" t="str">
            <v>M38</v>
          </cell>
          <cell r="C104" t="str">
            <v>Cáp đồng trần M38mm2</v>
          </cell>
          <cell r="D104" t="str">
            <v>kg</v>
          </cell>
          <cell r="E104" t="str">
            <v>M3</v>
          </cell>
          <cell r="F104">
            <v>12</v>
          </cell>
          <cell r="G104" t="str">
            <v>x</v>
          </cell>
          <cell r="J104" t="str">
            <v>M38</v>
          </cell>
        </row>
        <row r="105">
          <cell r="A105" t="str">
            <v>MTBU</v>
          </cell>
          <cell r="C105" t="str">
            <v>Bộ móng tủ bù 0,2x0,2x0,4x4móng</v>
          </cell>
          <cell r="D105" t="str">
            <v>trọn bộ</v>
          </cell>
          <cell r="E105" t="str">
            <v>MT</v>
          </cell>
          <cell r="F105">
            <v>50</v>
          </cell>
          <cell r="G105" t="str">
            <v>x</v>
          </cell>
          <cell r="J105" t="str">
            <v>MTBU</v>
          </cell>
        </row>
        <row r="106">
          <cell r="A106" t="str">
            <v>M50</v>
          </cell>
          <cell r="C106" t="str">
            <v>Cáp đồng trần M50mm2</v>
          </cell>
          <cell r="D106" t="str">
            <v>kg</v>
          </cell>
          <cell r="E106" t="str">
            <v>M5</v>
          </cell>
          <cell r="F106">
            <v>12</v>
          </cell>
          <cell r="G106" t="str">
            <v>x</v>
          </cell>
          <cell r="J106" t="str">
            <v>M50</v>
          </cell>
        </row>
        <row r="107">
          <cell r="A107" t="str">
            <v>XLPE22</v>
          </cell>
          <cell r="C107" t="str">
            <v>Cáp 24KV C/XLPE/PVC 22mm2</v>
          </cell>
          <cell r="D107" t="str">
            <v>mét</v>
          </cell>
          <cell r="E107" t="str">
            <v>XL</v>
          </cell>
          <cell r="F107">
            <v>10</v>
          </cell>
          <cell r="G107" t="str">
            <v>x</v>
          </cell>
          <cell r="J107" t="str">
            <v>XLPE22</v>
          </cell>
        </row>
        <row r="108">
          <cell r="A108" t="str">
            <v>XLPE25</v>
          </cell>
          <cell r="C108" t="str">
            <v>Cáp 24KV CX-25mm2</v>
          </cell>
          <cell r="D108" t="str">
            <v>mét</v>
          </cell>
          <cell r="E108" t="str">
            <v>XL</v>
          </cell>
          <cell r="F108">
            <v>10</v>
          </cell>
          <cell r="G108" t="str">
            <v>x</v>
          </cell>
          <cell r="J108" t="str">
            <v>XLPE25</v>
          </cell>
        </row>
        <row r="109">
          <cell r="A109" t="str">
            <v>XLPE35</v>
          </cell>
          <cell r="C109" t="str">
            <v>Cáp 24KV C/XLPE/PVC 35mm2</v>
          </cell>
          <cell r="D109" t="str">
            <v>mét</v>
          </cell>
          <cell r="E109" t="str">
            <v>XL</v>
          </cell>
          <cell r="F109">
            <v>10</v>
          </cell>
          <cell r="G109" t="str">
            <v>x</v>
          </cell>
          <cell r="J109" t="str">
            <v>XLPE35</v>
          </cell>
        </row>
        <row r="110">
          <cell r="A110" t="str">
            <v>XLPE50</v>
          </cell>
          <cell r="C110" t="str">
            <v>Cáp 24KV C/XLPE/PVC 50mm2</v>
          </cell>
          <cell r="D110" t="str">
            <v>mét</v>
          </cell>
          <cell r="E110" t="str">
            <v>XL</v>
          </cell>
          <cell r="F110">
            <v>10</v>
          </cell>
          <cell r="G110" t="str">
            <v>x</v>
          </cell>
          <cell r="J110" t="str">
            <v>XLPE50</v>
          </cell>
        </row>
        <row r="111">
          <cell r="A111" t="str">
            <v>XLPE70</v>
          </cell>
          <cell r="C111" t="str">
            <v>Cáp 24KV C/XLPE/PVC 70mm2</v>
          </cell>
          <cell r="D111" t="str">
            <v>mét</v>
          </cell>
          <cell r="E111" t="str">
            <v>XL</v>
          </cell>
          <cell r="F111">
            <v>10</v>
          </cell>
          <cell r="G111" t="str">
            <v>x</v>
          </cell>
          <cell r="J111" t="str">
            <v>XLPE70</v>
          </cell>
        </row>
        <row r="112">
          <cell r="A112" t="str">
            <v>XLPE95</v>
          </cell>
          <cell r="C112" t="str">
            <v>Cáp 24KV C/XLPE/PVC 95mm2</v>
          </cell>
          <cell r="D112" t="str">
            <v>mét</v>
          </cell>
          <cell r="E112" t="str">
            <v>XL</v>
          </cell>
          <cell r="F112">
            <v>10</v>
          </cell>
          <cell r="G112" t="str">
            <v>x</v>
          </cell>
          <cell r="J112" t="str">
            <v>XLPE95</v>
          </cell>
        </row>
        <row r="113">
          <cell r="A113" t="str">
            <v>XLPE120</v>
          </cell>
          <cell r="C113" t="str">
            <v>Cáp 24KV C/XLPE/PVC 120mm2</v>
          </cell>
          <cell r="D113" t="str">
            <v>mét</v>
          </cell>
          <cell r="E113" t="str">
            <v>XL</v>
          </cell>
          <cell r="F113">
            <v>10</v>
          </cell>
          <cell r="G113" t="str">
            <v>x</v>
          </cell>
          <cell r="J113" t="str">
            <v>XLPE120</v>
          </cell>
        </row>
        <row r="114">
          <cell r="A114" t="str">
            <v>XLPE150</v>
          </cell>
          <cell r="C114" t="str">
            <v>Cáp 24KV C/XLPE/PVC 150mm2</v>
          </cell>
          <cell r="D114" t="str">
            <v>mét</v>
          </cell>
          <cell r="E114" t="str">
            <v>XL</v>
          </cell>
          <cell r="F114">
            <v>10</v>
          </cell>
          <cell r="G114" t="str">
            <v>x</v>
          </cell>
          <cell r="J114" t="str">
            <v>XLPE150</v>
          </cell>
        </row>
        <row r="115">
          <cell r="A115" t="str">
            <v>XLPE185</v>
          </cell>
          <cell r="C115" t="str">
            <v>Cáp 24KV C/XLPE/PVC 185mm2</v>
          </cell>
          <cell r="D115" t="str">
            <v>mét</v>
          </cell>
          <cell r="E115" t="str">
            <v>XL</v>
          </cell>
          <cell r="F115">
            <v>10</v>
          </cell>
          <cell r="G115" t="str">
            <v>x</v>
          </cell>
          <cell r="J115" t="str">
            <v>XLPE185</v>
          </cell>
        </row>
        <row r="116">
          <cell r="A116" t="str">
            <v>XLPE240</v>
          </cell>
          <cell r="C116" t="str">
            <v>Cáp 24KV C/XLPE/PVC 240mm2</v>
          </cell>
          <cell r="D116" t="str">
            <v>mét</v>
          </cell>
          <cell r="E116" t="str">
            <v>XL</v>
          </cell>
          <cell r="F116">
            <v>10</v>
          </cell>
          <cell r="G116" t="str">
            <v>x</v>
          </cell>
          <cell r="J116" t="str">
            <v>XLPE240</v>
          </cell>
        </row>
        <row r="117">
          <cell r="A117" t="str">
            <v>XLPE250</v>
          </cell>
          <cell r="C117" t="str">
            <v>Cáp 24KV C/XLPE/PVC 250mm2</v>
          </cell>
          <cell r="D117" t="str">
            <v>mét</v>
          </cell>
          <cell r="E117" t="str">
            <v>XL</v>
          </cell>
          <cell r="F117">
            <v>10</v>
          </cell>
          <cell r="G117" t="str">
            <v>x</v>
          </cell>
          <cell r="J117" t="str">
            <v>XLPE250</v>
          </cell>
        </row>
        <row r="118">
          <cell r="A118" t="str">
            <v>XLPE25A</v>
          </cell>
          <cell r="C118" t="str">
            <v>Cáp 24KV A/XLPE/PVC 25mm2</v>
          </cell>
          <cell r="D118" t="str">
            <v>mét</v>
          </cell>
          <cell r="E118" t="str">
            <v>XL</v>
          </cell>
          <cell r="F118">
            <v>15</v>
          </cell>
          <cell r="G118" t="str">
            <v>x</v>
          </cell>
          <cell r="J118" t="str">
            <v>XLPE25A</v>
          </cell>
        </row>
        <row r="119">
          <cell r="A119" t="str">
            <v>XLPE35A</v>
          </cell>
          <cell r="C119" t="str">
            <v>Cáp 24KV A/XLPE/PVC 35mm2</v>
          </cell>
          <cell r="D119" t="str">
            <v>mét</v>
          </cell>
          <cell r="E119" t="str">
            <v>XL</v>
          </cell>
          <cell r="F119">
            <v>15</v>
          </cell>
          <cell r="G119" t="str">
            <v>x</v>
          </cell>
          <cell r="J119" t="str">
            <v>XLPE35A</v>
          </cell>
        </row>
        <row r="120">
          <cell r="A120" t="str">
            <v>XLPE50A</v>
          </cell>
          <cell r="C120" t="str">
            <v>Cáp 24KV A/XLPE/PVC 50mm2</v>
          </cell>
          <cell r="D120" t="str">
            <v>mét</v>
          </cell>
          <cell r="E120" t="str">
            <v>XL</v>
          </cell>
          <cell r="F120">
            <v>15</v>
          </cell>
          <cell r="G120" t="str">
            <v>x</v>
          </cell>
          <cell r="J120" t="str">
            <v>XLPE50A</v>
          </cell>
        </row>
        <row r="121">
          <cell r="A121" t="str">
            <v>XLPE70A</v>
          </cell>
          <cell r="C121" t="str">
            <v>Cáp 24KV A/XLPE/PVC 70mm2</v>
          </cell>
          <cell r="D121" t="str">
            <v>mét</v>
          </cell>
          <cell r="E121" t="str">
            <v>XL</v>
          </cell>
          <cell r="F121">
            <v>15</v>
          </cell>
          <cell r="G121" t="str">
            <v>x</v>
          </cell>
          <cell r="J121" t="str">
            <v>XLPE70A</v>
          </cell>
        </row>
        <row r="122">
          <cell r="A122" t="str">
            <v>XLPE95A</v>
          </cell>
          <cell r="C122" t="str">
            <v>Cáp 24KV A/XLPE/PVC 95mm2</v>
          </cell>
          <cell r="D122" t="str">
            <v>mét</v>
          </cell>
          <cell r="E122" t="str">
            <v>XL</v>
          </cell>
          <cell r="F122">
            <v>15</v>
          </cell>
          <cell r="G122" t="str">
            <v>x</v>
          </cell>
          <cell r="J122" t="str">
            <v>XLPE95A</v>
          </cell>
        </row>
        <row r="123">
          <cell r="A123" t="str">
            <v>XLPE120A</v>
          </cell>
          <cell r="C123" t="str">
            <v>Cáp 24KV A/XLPE/PVC 120mm2</v>
          </cell>
          <cell r="D123" t="str">
            <v>mét</v>
          </cell>
          <cell r="E123" t="str">
            <v>XL</v>
          </cell>
          <cell r="F123">
            <v>15</v>
          </cell>
          <cell r="G123" t="str">
            <v>x</v>
          </cell>
          <cell r="J123" t="str">
            <v>XLPE120A</v>
          </cell>
        </row>
        <row r="124">
          <cell r="A124" t="str">
            <v>XLPE150A</v>
          </cell>
          <cell r="C124" t="str">
            <v>Cáp 24KV A/XLPE/PVC 150mm2</v>
          </cell>
          <cell r="D124" t="str">
            <v>mét</v>
          </cell>
          <cell r="E124" t="str">
            <v>XL</v>
          </cell>
          <cell r="F124">
            <v>15</v>
          </cell>
          <cell r="G124" t="str">
            <v>x</v>
          </cell>
          <cell r="J124" t="str">
            <v>XLPE150A</v>
          </cell>
        </row>
        <row r="125">
          <cell r="A125" t="str">
            <v>XLPE185A</v>
          </cell>
          <cell r="C125" t="str">
            <v>Cáp 24KV A/XLPE/PVC 185mm2</v>
          </cell>
          <cell r="D125" t="str">
            <v>mét</v>
          </cell>
          <cell r="E125" t="str">
            <v>XL</v>
          </cell>
          <cell r="F125">
            <v>15</v>
          </cell>
          <cell r="G125" t="str">
            <v>x</v>
          </cell>
          <cell r="J125" t="str">
            <v>XLPE185A</v>
          </cell>
        </row>
        <row r="126">
          <cell r="A126" t="str">
            <v>XLPE240A</v>
          </cell>
          <cell r="C126" t="str">
            <v>Cáp 24KV A/XLPE/PVC 240mm2</v>
          </cell>
          <cell r="D126" t="str">
            <v>mét</v>
          </cell>
          <cell r="E126" t="str">
            <v>XL</v>
          </cell>
          <cell r="F126">
            <v>15</v>
          </cell>
          <cell r="G126" t="str">
            <v>x</v>
          </cell>
          <cell r="J126" t="str">
            <v>XLPE240A</v>
          </cell>
        </row>
        <row r="127">
          <cell r="A127" t="str">
            <v>XLPE211HT</v>
          </cell>
          <cell r="C127" t="str">
            <v>Cáp C/XLPE/PVC -0.6/1kV-2x11mm2</v>
          </cell>
          <cell r="D127" t="str">
            <v>mét</v>
          </cell>
          <cell r="E127" t="str">
            <v>XL</v>
          </cell>
          <cell r="F127">
            <v>14</v>
          </cell>
          <cell r="G127" t="str">
            <v>x</v>
          </cell>
          <cell r="J127" t="str">
            <v>XLPE211HT</v>
          </cell>
        </row>
        <row r="128">
          <cell r="A128" t="str">
            <v>XLPE216HT</v>
          </cell>
          <cell r="C128" t="str">
            <v>Cáp C/XLPE/PVC -0.6/1kV-2x16mm2</v>
          </cell>
          <cell r="D128" t="str">
            <v>mét</v>
          </cell>
          <cell r="E128" t="str">
            <v>XL</v>
          </cell>
          <cell r="F128">
            <v>14</v>
          </cell>
          <cell r="G128" t="str">
            <v>x</v>
          </cell>
          <cell r="J128" t="str">
            <v>XLPE216HT</v>
          </cell>
        </row>
        <row r="129">
          <cell r="A129" t="str">
            <v>XLPE316HT</v>
          </cell>
          <cell r="C129" t="str">
            <v>Cáp C/XLPE/PVC -0.6/1kV-3x16mm2</v>
          </cell>
          <cell r="D129" t="str">
            <v>mét</v>
          </cell>
          <cell r="E129" t="str">
            <v>XL</v>
          </cell>
          <cell r="F129">
            <v>14</v>
          </cell>
          <cell r="G129" t="str">
            <v>x</v>
          </cell>
          <cell r="J129" t="str">
            <v>XLPE316HT</v>
          </cell>
        </row>
        <row r="130">
          <cell r="A130" t="str">
            <v>XLPE350HT</v>
          </cell>
          <cell r="C130" t="str">
            <v>Cáp C/XLPE/PVC -0.6/1kV-3x50mm2</v>
          </cell>
          <cell r="D130" t="str">
            <v>mét</v>
          </cell>
          <cell r="E130" t="str">
            <v>XL</v>
          </cell>
          <cell r="F130">
            <v>14</v>
          </cell>
          <cell r="G130" t="str">
            <v>x</v>
          </cell>
          <cell r="J130" t="str">
            <v>XLPE350HT</v>
          </cell>
        </row>
        <row r="131">
          <cell r="A131" t="str">
            <v>XLPE416HT</v>
          </cell>
          <cell r="C131" t="str">
            <v>Cáp C/XLPE/PVC -0.6/1kV-4x16mm2</v>
          </cell>
          <cell r="D131" t="str">
            <v>mét</v>
          </cell>
          <cell r="E131" t="str">
            <v>XL</v>
          </cell>
          <cell r="F131">
            <v>14</v>
          </cell>
          <cell r="G131" t="str">
            <v>x</v>
          </cell>
          <cell r="J131" t="str">
            <v>XLPE416HT</v>
          </cell>
        </row>
        <row r="132">
          <cell r="A132" t="str">
            <v>XLPE316+10HT</v>
          </cell>
          <cell r="C132" t="str">
            <v>Cáp C/XLPE/PVC -0.6/1kV-3x16+10mm2</v>
          </cell>
          <cell r="D132" t="str">
            <v>mét</v>
          </cell>
          <cell r="E132" t="str">
            <v>XL</v>
          </cell>
          <cell r="F132">
            <v>14</v>
          </cell>
          <cell r="G132" t="str">
            <v>x</v>
          </cell>
          <cell r="J132" t="str">
            <v>XLPE316+10HT</v>
          </cell>
        </row>
        <row r="133">
          <cell r="A133" t="str">
            <v>XLPE350+35HT</v>
          </cell>
          <cell r="C133" t="str">
            <v>Cáp C/XLPE/PVC -0.6/1kV-3x50+35mm2</v>
          </cell>
          <cell r="D133" t="str">
            <v>mét</v>
          </cell>
          <cell r="E133" t="str">
            <v>XL</v>
          </cell>
          <cell r="F133">
            <v>14</v>
          </cell>
          <cell r="G133" t="str">
            <v>x</v>
          </cell>
          <cell r="J133" t="str">
            <v>XLPE350+35HT</v>
          </cell>
        </row>
        <row r="134">
          <cell r="A134" t="str">
            <v>XLPE370+50HT</v>
          </cell>
          <cell r="C134" t="str">
            <v>Cáp C/XLPE/PVC -0.6/1kV-3x70+50mm2</v>
          </cell>
          <cell r="D134" t="str">
            <v>mét</v>
          </cell>
          <cell r="E134" t="str">
            <v>XL</v>
          </cell>
          <cell r="F134">
            <v>14</v>
          </cell>
          <cell r="G134" t="str">
            <v>x</v>
          </cell>
          <cell r="J134" t="str">
            <v>XLPE370+50HT</v>
          </cell>
        </row>
        <row r="135">
          <cell r="A135" t="str">
            <v>XLPE395+50HT</v>
          </cell>
          <cell r="C135" t="str">
            <v>Cáp C/XLPE/PVC -0.6/1kV-3x95+50mm2</v>
          </cell>
          <cell r="D135" t="str">
            <v>mét</v>
          </cell>
          <cell r="E135" t="str">
            <v>XL</v>
          </cell>
          <cell r="F135">
            <v>14</v>
          </cell>
          <cell r="G135" t="str">
            <v>x</v>
          </cell>
          <cell r="J135" t="str">
            <v>XLPE395+50HT</v>
          </cell>
        </row>
        <row r="136">
          <cell r="A136" t="str">
            <v>XLPE3120+70HT</v>
          </cell>
          <cell r="C136" t="str">
            <v>Cáp C/XLPE/PVC -0.6/1kV-3x120+70mm2</v>
          </cell>
          <cell r="D136" t="str">
            <v>mét</v>
          </cell>
          <cell r="E136" t="str">
            <v>XL</v>
          </cell>
          <cell r="F136">
            <v>14</v>
          </cell>
          <cell r="G136" t="str">
            <v>x</v>
          </cell>
          <cell r="J136" t="str">
            <v>XLPE3120+70HT</v>
          </cell>
        </row>
        <row r="137">
          <cell r="A137" t="str">
            <v>XLPE3150+95HT</v>
          </cell>
          <cell r="C137" t="str">
            <v>Cáp C/XLPE/PVC -0.6/1kV-3x150+95mm2</v>
          </cell>
          <cell r="D137" t="str">
            <v>mét</v>
          </cell>
          <cell r="E137" t="str">
            <v>XL</v>
          </cell>
          <cell r="F137">
            <v>14</v>
          </cell>
          <cell r="G137" t="str">
            <v>x</v>
          </cell>
          <cell r="J137" t="str">
            <v>XLPE3150+95HT</v>
          </cell>
        </row>
        <row r="138">
          <cell r="A138" t="str">
            <v>XLPE3185+120HT</v>
          </cell>
          <cell r="C138" t="str">
            <v>Cáp C/XLPE/PVC -0.6/1kV-3x185+120mm2</v>
          </cell>
          <cell r="D138" t="str">
            <v>mét</v>
          </cell>
          <cell r="E138" t="str">
            <v>XL</v>
          </cell>
          <cell r="F138">
            <v>14</v>
          </cell>
          <cell r="G138" t="str">
            <v>x</v>
          </cell>
          <cell r="J138" t="str">
            <v>XLPE3185+120HT</v>
          </cell>
        </row>
        <row r="139">
          <cell r="A139" t="str">
            <v>XLPE350+35DHT</v>
          </cell>
          <cell r="C139" t="str">
            <v>Cáp C/XLPE/DSTA/PVC -0.6/1kV-3x50+35mm2</v>
          </cell>
          <cell r="D139" t="str">
            <v>mét</v>
          </cell>
          <cell r="E139" t="str">
            <v>XL</v>
          </cell>
          <cell r="F139">
            <v>14</v>
          </cell>
          <cell r="G139" t="str">
            <v>x</v>
          </cell>
          <cell r="J139" t="str">
            <v>XLPE350+35DHT</v>
          </cell>
        </row>
        <row r="140">
          <cell r="A140" t="str">
            <v>XLPE370+35DHT</v>
          </cell>
          <cell r="C140" t="str">
            <v>Cáp C/XLPE/DSTA/PVC -0.6/1kV-3x70+35mm2</v>
          </cell>
          <cell r="D140" t="str">
            <v>mét</v>
          </cell>
          <cell r="E140" t="str">
            <v>XL</v>
          </cell>
          <cell r="F140">
            <v>14</v>
          </cell>
          <cell r="G140" t="str">
            <v>x</v>
          </cell>
          <cell r="J140" t="str">
            <v>XLPE370+35DHT</v>
          </cell>
        </row>
        <row r="141">
          <cell r="A141" t="str">
            <v>XLPE325D</v>
          </cell>
          <cell r="C141" t="str">
            <v>Cáp 24kV C/XLPE/DSTA/PVC3x25</v>
          </cell>
          <cell r="D141" t="str">
            <v>mét</v>
          </cell>
          <cell r="E141" t="str">
            <v>XL</v>
          </cell>
          <cell r="F141">
            <v>14</v>
          </cell>
          <cell r="G141" t="str">
            <v>x</v>
          </cell>
          <cell r="J141" t="str">
            <v>XLPE325D</v>
          </cell>
        </row>
        <row r="142">
          <cell r="A142" t="str">
            <v>XLPE350D</v>
          </cell>
          <cell r="C142" t="str">
            <v>Cáp 24kV C/XLPE/DSTA/PVC3x50</v>
          </cell>
          <cell r="D142" t="str">
            <v>mét</v>
          </cell>
          <cell r="E142" t="str">
            <v>XL</v>
          </cell>
          <cell r="F142">
            <v>14</v>
          </cell>
          <cell r="G142" t="str">
            <v>x</v>
          </cell>
          <cell r="J142" t="str">
            <v>XLPE350D</v>
          </cell>
        </row>
        <row r="143">
          <cell r="A143" t="str">
            <v>XLPE370D</v>
          </cell>
          <cell r="C143" t="str">
            <v>Cáp 24kV C/XLPE/DSTA/PVC3x70mm2</v>
          </cell>
          <cell r="D143" t="str">
            <v>mét</v>
          </cell>
          <cell r="E143" t="str">
            <v>XL</v>
          </cell>
          <cell r="F143">
            <v>14</v>
          </cell>
          <cell r="G143" t="str">
            <v>x</v>
          </cell>
          <cell r="J143" t="str">
            <v>XLPE370D</v>
          </cell>
        </row>
        <row r="144">
          <cell r="A144" t="str">
            <v>XLPE395D</v>
          </cell>
          <cell r="C144" t="str">
            <v>Cáp 24kV C/XLPE/DSTA/PVC3x95mm2</v>
          </cell>
          <cell r="D144" t="str">
            <v>mét</v>
          </cell>
          <cell r="E144" t="str">
            <v>XL</v>
          </cell>
          <cell r="F144">
            <v>14</v>
          </cell>
          <cell r="G144" t="str">
            <v>x</v>
          </cell>
          <cell r="J144" t="str">
            <v>XLPE395D</v>
          </cell>
        </row>
        <row r="145">
          <cell r="A145" t="str">
            <v>XLPE3120D</v>
          </cell>
          <cell r="C145" t="str">
            <v>Cáp 24kV C/XLPE/DSTA/PVC3x120mm2</v>
          </cell>
          <cell r="D145" t="str">
            <v>mét</v>
          </cell>
          <cell r="E145" t="str">
            <v>XL</v>
          </cell>
          <cell r="F145">
            <v>14</v>
          </cell>
          <cell r="G145" t="str">
            <v>x</v>
          </cell>
          <cell r="J145" t="str">
            <v>XLPE3120D</v>
          </cell>
        </row>
        <row r="146">
          <cell r="A146" t="str">
            <v>XLPE3150D</v>
          </cell>
          <cell r="C146" t="str">
            <v>Cáp 24kV C/XLPE/DSTA/PVC3x150mm2</v>
          </cell>
          <cell r="D146" t="str">
            <v>mét</v>
          </cell>
          <cell r="E146" t="str">
            <v>XL</v>
          </cell>
          <cell r="F146">
            <v>14</v>
          </cell>
          <cell r="G146" t="str">
            <v>x</v>
          </cell>
          <cell r="J146" t="str">
            <v>XLPE3150D</v>
          </cell>
        </row>
        <row r="147">
          <cell r="A147" t="str">
            <v>XLPE3185D</v>
          </cell>
          <cell r="C147" t="str">
            <v>Cáp 24kV C/XLPE/DSTA/PVC3x185mm2</v>
          </cell>
          <cell r="D147" t="str">
            <v>mét</v>
          </cell>
          <cell r="E147" t="str">
            <v>XL</v>
          </cell>
          <cell r="F147">
            <v>14</v>
          </cell>
          <cell r="G147" t="str">
            <v>x</v>
          </cell>
          <cell r="J147" t="str">
            <v>XLPE3185D</v>
          </cell>
        </row>
        <row r="148">
          <cell r="A148" t="str">
            <v>XLPE3240D</v>
          </cell>
          <cell r="C148" t="str">
            <v>Cáp 24kV C/XLPE/DSTA/PVC3x240mm2</v>
          </cell>
          <cell r="D148" t="str">
            <v>mét</v>
          </cell>
          <cell r="E148" t="str">
            <v>XL</v>
          </cell>
          <cell r="F148">
            <v>14</v>
          </cell>
          <cell r="G148" t="str">
            <v>x</v>
          </cell>
          <cell r="J148" t="str">
            <v>XLPE3240D</v>
          </cell>
        </row>
        <row r="149">
          <cell r="A149" t="str">
            <v>XLPE200HT</v>
          </cell>
          <cell r="C149" t="str">
            <v>Cáp 0,6/1KV C/XLPE/PVC 200mm2</v>
          </cell>
          <cell r="D149" t="str">
            <v>mét</v>
          </cell>
          <cell r="E149" t="str">
            <v>XL</v>
          </cell>
          <cell r="F149">
            <v>14</v>
          </cell>
          <cell r="G149" t="str">
            <v>x</v>
          </cell>
          <cell r="J149" t="str">
            <v>XLPE200HT</v>
          </cell>
        </row>
        <row r="150">
          <cell r="A150" t="str">
            <v>XLPE240HT</v>
          </cell>
          <cell r="C150" t="str">
            <v>Cáp 0,6/1KV C/XLPE/PVC 240mm2</v>
          </cell>
          <cell r="D150" t="str">
            <v>mét</v>
          </cell>
          <cell r="E150" t="str">
            <v>XL</v>
          </cell>
          <cell r="F150">
            <v>14</v>
          </cell>
          <cell r="G150" t="str">
            <v>x</v>
          </cell>
          <cell r="J150" t="str">
            <v>XLPE240HT</v>
          </cell>
        </row>
        <row r="151">
          <cell r="A151" t="str">
            <v>XLPE250HT</v>
          </cell>
          <cell r="C151" t="str">
            <v>Cáp 0,6/1KV C/XLPE/PVC 250mm2</v>
          </cell>
          <cell r="D151" t="str">
            <v>mét</v>
          </cell>
          <cell r="E151" t="str">
            <v>XL</v>
          </cell>
          <cell r="F151">
            <v>14</v>
          </cell>
          <cell r="G151" t="str">
            <v>x</v>
          </cell>
          <cell r="J151" t="str">
            <v>XLPE250HT</v>
          </cell>
        </row>
        <row r="152">
          <cell r="A152" t="str">
            <v>XLPE300HT</v>
          </cell>
          <cell r="C152" t="str">
            <v>Cáp 0,6/1KV C/XLPE/PVC 300mm2</v>
          </cell>
          <cell r="D152" t="str">
            <v>mét</v>
          </cell>
          <cell r="E152" t="str">
            <v>XL</v>
          </cell>
          <cell r="F152">
            <v>14</v>
          </cell>
          <cell r="G152" t="str">
            <v>x</v>
          </cell>
          <cell r="J152" t="str">
            <v>XLPE300HT</v>
          </cell>
        </row>
        <row r="153">
          <cell r="A153" t="str">
            <v>ACKP35</v>
          </cell>
          <cell r="C153" t="str">
            <v>Cáp nhôm lõi thép ACKP-35/6,2</v>
          </cell>
          <cell r="D153" t="str">
            <v>kg</v>
          </cell>
          <cell r="E153" t="str">
            <v>AC</v>
          </cell>
          <cell r="F153">
            <v>15</v>
          </cell>
          <cell r="G153" t="str">
            <v>x</v>
          </cell>
          <cell r="J153" t="str">
            <v>ACKP35</v>
          </cell>
        </row>
        <row r="154">
          <cell r="A154" t="str">
            <v>ACKP50</v>
          </cell>
          <cell r="C154" t="str">
            <v>Cáp nhôm lõi thép ACKP-50/8</v>
          </cell>
          <cell r="D154" t="str">
            <v>kg</v>
          </cell>
          <cell r="E154" t="str">
            <v>AC</v>
          </cell>
          <cell r="F154">
            <v>15</v>
          </cell>
          <cell r="G154" t="str">
            <v>x</v>
          </cell>
          <cell r="J154" t="str">
            <v>ACKP50</v>
          </cell>
        </row>
        <row r="155">
          <cell r="A155" t="str">
            <v>ACKP70</v>
          </cell>
          <cell r="C155" t="str">
            <v>Cáp nhôm lõi thép ACKP-70/11</v>
          </cell>
          <cell r="D155" t="str">
            <v>kg</v>
          </cell>
          <cell r="E155" t="str">
            <v>AC</v>
          </cell>
          <cell r="F155">
            <v>15</v>
          </cell>
          <cell r="G155" t="str">
            <v>x</v>
          </cell>
          <cell r="J155" t="str">
            <v>ACKP70</v>
          </cell>
        </row>
        <row r="156">
          <cell r="A156" t="str">
            <v>ACKP95</v>
          </cell>
          <cell r="C156" t="str">
            <v>Cáp nhôm lõi thép ACKP-95/16</v>
          </cell>
          <cell r="D156" t="str">
            <v>kg</v>
          </cell>
          <cell r="E156" t="str">
            <v>AC</v>
          </cell>
          <cell r="F156">
            <v>15</v>
          </cell>
          <cell r="G156" t="str">
            <v>x</v>
          </cell>
          <cell r="J156" t="str">
            <v>ACKP95</v>
          </cell>
        </row>
        <row r="157">
          <cell r="A157" t="str">
            <v>ACKP120</v>
          </cell>
          <cell r="C157" t="str">
            <v>Cáp nhôm lõi thép ACKP-120/19</v>
          </cell>
          <cell r="D157" t="str">
            <v>kg</v>
          </cell>
          <cell r="E157" t="str">
            <v>AC</v>
          </cell>
          <cell r="F157">
            <v>15</v>
          </cell>
          <cell r="G157" t="str">
            <v>x</v>
          </cell>
          <cell r="J157" t="str">
            <v>ACKP120</v>
          </cell>
        </row>
        <row r="158">
          <cell r="A158" t="str">
            <v>ACKP150</v>
          </cell>
          <cell r="C158" t="str">
            <v>Cáp nhôm lõi thép ACKP-150/24</v>
          </cell>
          <cell r="D158" t="str">
            <v>kg</v>
          </cell>
          <cell r="E158" t="str">
            <v>AC</v>
          </cell>
          <cell r="F158">
            <v>15</v>
          </cell>
          <cell r="G158" t="str">
            <v>x</v>
          </cell>
          <cell r="J158" t="str">
            <v>ACKP150</v>
          </cell>
        </row>
        <row r="159">
          <cell r="A159" t="str">
            <v>ACKP185</v>
          </cell>
          <cell r="C159" t="str">
            <v>Cáp nhôm lõi thép ACKP-185/29</v>
          </cell>
          <cell r="D159" t="str">
            <v>kg</v>
          </cell>
          <cell r="E159" t="str">
            <v>AC</v>
          </cell>
          <cell r="F159">
            <v>15</v>
          </cell>
          <cell r="G159" t="str">
            <v>x</v>
          </cell>
          <cell r="J159" t="str">
            <v>ACKP185</v>
          </cell>
        </row>
        <row r="160">
          <cell r="A160" t="str">
            <v>ACKP240</v>
          </cell>
          <cell r="C160" t="str">
            <v>Cáp nhôm lõi thép ACKP-240/32</v>
          </cell>
          <cell r="D160" t="str">
            <v>kg</v>
          </cell>
          <cell r="E160" t="str">
            <v>AC</v>
          </cell>
          <cell r="F160">
            <v>15</v>
          </cell>
          <cell r="G160" t="str">
            <v>x</v>
          </cell>
          <cell r="J160" t="str">
            <v>ACKP240</v>
          </cell>
        </row>
        <row r="161">
          <cell r="A161" t="str">
            <v>ACXV150</v>
          </cell>
          <cell r="C161" t="str">
            <v>Cáp nhôm lõi thép bọc 24KV AC/XLPE/PVC150 mm2</v>
          </cell>
          <cell r="D161" t="str">
            <v>mét</v>
          </cell>
          <cell r="E161" t="str">
            <v>AC</v>
          </cell>
          <cell r="F161">
            <v>11</v>
          </cell>
          <cell r="G161" t="str">
            <v>x</v>
          </cell>
          <cell r="J161" t="str">
            <v>ACXV150</v>
          </cell>
        </row>
        <row r="162">
          <cell r="A162" t="str">
            <v>ACXV50</v>
          </cell>
          <cell r="C162" t="str">
            <v>Cáp 24KV ACX 50mm2</v>
          </cell>
          <cell r="D162" t="str">
            <v>mét</v>
          </cell>
          <cell r="E162" t="str">
            <v>AC</v>
          </cell>
          <cell r="F162">
            <v>11</v>
          </cell>
          <cell r="G162" t="str">
            <v>x</v>
          </cell>
          <cell r="J162" t="str">
            <v>ACXV50</v>
          </cell>
        </row>
        <row r="163">
          <cell r="A163" t="str">
            <v>AC35</v>
          </cell>
          <cell r="C163" t="str">
            <v>Cáp nhôm lõi thép AC-35/6,2</v>
          </cell>
          <cell r="D163" t="str">
            <v>kg</v>
          </cell>
          <cell r="E163" t="str">
            <v>AC</v>
          </cell>
          <cell r="F163">
            <v>15</v>
          </cell>
          <cell r="G163" t="str">
            <v>x</v>
          </cell>
          <cell r="J163" t="str">
            <v>AC35</v>
          </cell>
        </row>
        <row r="164">
          <cell r="A164" t="str">
            <v>AC50</v>
          </cell>
          <cell r="C164" t="str">
            <v>Cáp nhôm lõi thép AC-50/8</v>
          </cell>
          <cell r="D164" t="str">
            <v>kg</v>
          </cell>
          <cell r="E164" t="str">
            <v>AC</v>
          </cell>
          <cell r="F164">
            <v>15</v>
          </cell>
          <cell r="G164" t="str">
            <v>x</v>
          </cell>
          <cell r="J164" t="str">
            <v>AC50</v>
          </cell>
        </row>
        <row r="165">
          <cell r="A165" t="str">
            <v>AC70</v>
          </cell>
          <cell r="C165" t="str">
            <v>Cáp nhôm lõi thép AC-70/11</v>
          </cell>
          <cell r="D165" t="str">
            <v>kg</v>
          </cell>
          <cell r="E165" t="str">
            <v>AC</v>
          </cell>
          <cell r="F165">
            <v>15</v>
          </cell>
          <cell r="G165" t="str">
            <v>x</v>
          </cell>
          <cell r="J165" t="str">
            <v>AC70</v>
          </cell>
        </row>
        <row r="166">
          <cell r="A166" t="str">
            <v>AC95</v>
          </cell>
          <cell r="C166" t="str">
            <v>Cáp nhôm lõi thép AC-95/16</v>
          </cell>
          <cell r="D166" t="str">
            <v>kg</v>
          </cell>
          <cell r="E166" t="str">
            <v>AC</v>
          </cell>
          <cell r="F166">
            <v>15</v>
          </cell>
          <cell r="G166" t="str">
            <v>x</v>
          </cell>
          <cell r="J166" t="str">
            <v>AC95</v>
          </cell>
        </row>
        <row r="167">
          <cell r="A167" t="str">
            <v>AC120</v>
          </cell>
          <cell r="C167" t="str">
            <v>Cáp nhôm lõi thép AC-120/19</v>
          </cell>
          <cell r="D167" t="str">
            <v>kg</v>
          </cell>
          <cell r="E167" t="str">
            <v>AC</v>
          </cell>
          <cell r="F167">
            <v>15</v>
          </cell>
          <cell r="G167" t="str">
            <v>x</v>
          </cell>
          <cell r="J167" t="str">
            <v>AC120</v>
          </cell>
        </row>
        <row r="168">
          <cell r="A168" t="str">
            <v>AC150</v>
          </cell>
          <cell r="C168" t="str">
            <v>Cáp nhôm lõi thép AC-150/24</v>
          </cell>
          <cell r="D168" t="str">
            <v>kg</v>
          </cell>
          <cell r="E168" t="str">
            <v>AC</v>
          </cell>
          <cell r="F168">
            <v>15</v>
          </cell>
          <cell r="G168" t="str">
            <v>x</v>
          </cell>
          <cell r="J168" t="str">
            <v>AC150</v>
          </cell>
        </row>
        <row r="169">
          <cell r="A169" t="str">
            <v>AC185</v>
          </cell>
          <cell r="C169" t="str">
            <v>Cáp nhôm lõi thép AC-185/29</v>
          </cell>
          <cell r="D169" t="str">
            <v>kg</v>
          </cell>
          <cell r="E169" t="str">
            <v>AC</v>
          </cell>
          <cell r="F169">
            <v>15</v>
          </cell>
          <cell r="G169" t="str">
            <v>x</v>
          </cell>
          <cell r="J169" t="str">
            <v>AC185</v>
          </cell>
        </row>
        <row r="170">
          <cell r="A170" t="str">
            <v>AC240</v>
          </cell>
          <cell r="C170" t="str">
            <v>Cáp nhôm lõi thép AC-240/39</v>
          </cell>
          <cell r="D170" t="str">
            <v>kg</v>
          </cell>
          <cell r="E170" t="str">
            <v>AC</v>
          </cell>
          <cell r="F170">
            <v>15</v>
          </cell>
          <cell r="G170" t="str">
            <v>x</v>
          </cell>
          <cell r="J170" t="str">
            <v>AC240</v>
          </cell>
        </row>
        <row r="171">
          <cell r="A171" t="str">
            <v>av35</v>
          </cell>
          <cell r="C171" t="str">
            <v>Cáp nhôm bọc AV35</v>
          </cell>
          <cell r="D171" t="str">
            <v>mét</v>
          </cell>
          <cell r="E171" t="str">
            <v>av</v>
          </cell>
          <cell r="F171">
            <v>14</v>
          </cell>
          <cell r="G171" t="str">
            <v>x</v>
          </cell>
          <cell r="J171" t="str">
            <v>av35</v>
          </cell>
        </row>
        <row r="172">
          <cell r="A172" t="str">
            <v>av50</v>
          </cell>
          <cell r="C172" t="str">
            <v>Cáp nhôm bọc AV50</v>
          </cell>
          <cell r="D172" t="str">
            <v>mét</v>
          </cell>
          <cell r="E172" t="str">
            <v>av</v>
          </cell>
          <cell r="F172">
            <v>14</v>
          </cell>
          <cell r="G172" t="str">
            <v>x</v>
          </cell>
          <cell r="J172" t="str">
            <v>av50</v>
          </cell>
        </row>
        <row r="173">
          <cell r="A173" t="str">
            <v>av70</v>
          </cell>
          <cell r="C173" t="str">
            <v>Cáp nhôm bọc AV70</v>
          </cell>
          <cell r="D173" t="str">
            <v>mét</v>
          </cell>
          <cell r="E173" t="str">
            <v>av</v>
          </cell>
          <cell r="F173">
            <v>14</v>
          </cell>
          <cell r="G173" t="str">
            <v>x</v>
          </cell>
          <cell r="J173" t="str">
            <v>av70</v>
          </cell>
        </row>
        <row r="174">
          <cell r="A174" t="str">
            <v>av95</v>
          </cell>
          <cell r="C174" t="str">
            <v>Cáp nhôm bọc AV95</v>
          </cell>
          <cell r="D174" t="str">
            <v>mét</v>
          </cell>
          <cell r="E174" t="str">
            <v>av</v>
          </cell>
          <cell r="F174">
            <v>14</v>
          </cell>
          <cell r="G174" t="str">
            <v>x</v>
          </cell>
          <cell r="J174" t="str">
            <v>av95</v>
          </cell>
        </row>
        <row r="175">
          <cell r="A175" t="str">
            <v>av120</v>
          </cell>
          <cell r="C175" t="str">
            <v>Cáp nhôm bọc AV120</v>
          </cell>
          <cell r="D175" t="str">
            <v>mét</v>
          </cell>
          <cell r="E175" t="str">
            <v>av</v>
          </cell>
          <cell r="F175">
            <v>14</v>
          </cell>
          <cell r="G175" t="str">
            <v>x</v>
          </cell>
          <cell r="J175" t="str">
            <v>av120</v>
          </cell>
        </row>
        <row r="176">
          <cell r="A176" t="str">
            <v>av150</v>
          </cell>
          <cell r="C176" t="str">
            <v>Cáp nhôm bọc AV150</v>
          </cell>
          <cell r="D176" t="str">
            <v>mét</v>
          </cell>
          <cell r="E176" t="str">
            <v>av</v>
          </cell>
          <cell r="F176">
            <v>14</v>
          </cell>
          <cell r="G176" t="str">
            <v>x</v>
          </cell>
          <cell r="J176" t="str">
            <v>av150</v>
          </cell>
        </row>
        <row r="177">
          <cell r="A177" t="str">
            <v>av185</v>
          </cell>
          <cell r="C177" t="str">
            <v>Cáp nhôm bọc AV185</v>
          </cell>
          <cell r="D177" t="str">
            <v>mét</v>
          </cell>
          <cell r="E177" t="str">
            <v>av</v>
          </cell>
          <cell r="F177">
            <v>14</v>
          </cell>
          <cell r="G177" t="str">
            <v>x</v>
          </cell>
          <cell r="J177" t="str">
            <v>av185</v>
          </cell>
        </row>
        <row r="178">
          <cell r="A178" t="str">
            <v>av240</v>
          </cell>
          <cell r="C178" t="str">
            <v>Cáp nhôm bọc AV240</v>
          </cell>
          <cell r="D178" t="str">
            <v>mét</v>
          </cell>
          <cell r="E178" t="str">
            <v>av</v>
          </cell>
          <cell r="F178">
            <v>14</v>
          </cell>
          <cell r="G178" t="str">
            <v>x</v>
          </cell>
          <cell r="J178" t="str">
            <v>av240</v>
          </cell>
        </row>
        <row r="179">
          <cell r="A179" t="str">
            <v>av300</v>
          </cell>
          <cell r="C179" t="str">
            <v>Cáp nhôm bọc AV300</v>
          </cell>
          <cell r="D179" t="str">
            <v>mét</v>
          </cell>
          <cell r="E179" t="str">
            <v>av</v>
          </cell>
          <cell r="F179">
            <v>14</v>
          </cell>
          <cell r="G179" t="str">
            <v>x</v>
          </cell>
          <cell r="J179" t="str">
            <v>av300</v>
          </cell>
        </row>
        <row r="180">
          <cell r="A180" t="str">
            <v>ABC3x50</v>
          </cell>
          <cell r="C180" t="str">
            <v>Cáp nhôm ABC 3x50mm2</v>
          </cell>
          <cell r="D180" t="str">
            <v>mét</v>
          </cell>
          <cell r="E180" t="str">
            <v>AB</v>
          </cell>
          <cell r="F180">
            <v>11</v>
          </cell>
          <cell r="G180" t="str">
            <v>x</v>
          </cell>
          <cell r="J180" t="str">
            <v>ABC3x50</v>
          </cell>
        </row>
        <row r="181">
          <cell r="A181" t="str">
            <v>ABC3x70</v>
          </cell>
          <cell r="C181" t="str">
            <v>Cáp nhôm ABC 3x70mm2</v>
          </cell>
          <cell r="D181" t="str">
            <v>mét</v>
          </cell>
          <cell r="E181" t="str">
            <v>AB</v>
          </cell>
          <cell r="F181">
            <v>11</v>
          </cell>
          <cell r="G181" t="str">
            <v>x</v>
          </cell>
          <cell r="J181" t="str">
            <v>ABC3x70</v>
          </cell>
        </row>
        <row r="182">
          <cell r="A182" t="str">
            <v>ABC4x50</v>
          </cell>
          <cell r="C182" t="str">
            <v>Cáp nhôm ABC 4x50mm2</v>
          </cell>
          <cell r="D182" t="str">
            <v>mét</v>
          </cell>
          <cell r="E182" t="str">
            <v>AB</v>
          </cell>
          <cell r="F182">
            <v>11</v>
          </cell>
          <cell r="G182" t="str">
            <v>x</v>
          </cell>
          <cell r="J182" t="str">
            <v>ABC4x50</v>
          </cell>
        </row>
        <row r="183">
          <cell r="A183" t="str">
            <v>ABC4x70</v>
          </cell>
          <cell r="C183" t="str">
            <v>Cáp nhôm ABC 4x70mm2</v>
          </cell>
          <cell r="D183" t="str">
            <v>mét</v>
          </cell>
          <cell r="E183" t="str">
            <v>AB</v>
          </cell>
          <cell r="F183">
            <v>11</v>
          </cell>
          <cell r="G183" t="str">
            <v>x</v>
          </cell>
          <cell r="J183" t="str">
            <v>ABC4x70</v>
          </cell>
        </row>
        <row r="184">
          <cell r="A184" t="str">
            <v>ABC3x95</v>
          </cell>
          <cell r="C184" t="str">
            <v>Cáp nhôm ABC 3x95mm2</v>
          </cell>
          <cell r="D184" t="str">
            <v>mét</v>
          </cell>
          <cell r="E184" t="str">
            <v>AB</v>
          </cell>
          <cell r="F184">
            <v>11</v>
          </cell>
          <cell r="G184" t="str">
            <v>x</v>
          </cell>
          <cell r="J184" t="str">
            <v>ABC3x95</v>
          </cell>
        </row>
        <row r="185">
          <cell r="A185" t="str">
            <v>ABC4x95</v>
          </cell>
          <cell r="C185" t="str">
            <v>Cáp nhôm ABC 4x95mm2</v>
          </cell>
          <cell r="D185" t="str">
            <v>mét</v>
          </cell>
          <cell r="E185" t="str">
            <v>AB</v>
          </cell>
          <cell r="F185">
            <v>11</v>
          </cell>
          <cell r="G185" t="str">
            <v>x</v>
          </cell>
          <cell r="J185" t="str">
            <v>ABC4x95</v>
          </cell>
        </row>
        <row r="186">
          <cell r="A186" t="str">
            <v>ABC4x120</v>
          </cell>
          <cell r="C186" t="str">
            <v>Cáp nhôm ABC 4x120mm2</v>
          </cell>
          <cell r="D186" t="str">
            <v>mét</v>
          </cell>
          <cell r="E186" t="str">
            <v>AB</v>
          </cell>
          <cell r="F186">
            <v>11</v>
          </cell>
          <cell r="G186" t="str">
            <v>x</v>
          </cell>
          <cell r="J186" t="str">
            <v>ABC4x120</v>
          </cell>
        </row>
        <row r="187">
          <cell r="A187" t="str">
            <v>ABC4x150</v>
          </cell>
          <cell r="C187" t="str">
            <v>Cáp nhôm ABC 4x150mm2</v>
          </cell>
          <cell r="D187" t="str">
            <v>mét</v>
          </cell>
          <cell r="E187" t="str">
            <v>AB</v>
          </cell>
          <cell r="F187">
            <v>11</v>
          </cell>
          <cell r="G187" t="str">
            <v>x</v>
          </cell>
          <cell r="J187" t="str">
            <v>ABC4x150</v>
          </cell>
        </row>
        <row r="188">
          <cell r="A188" t="str">
            <v>CVV2x2,5</v>
          </cell>
          <cell r="B188" t="str">
            <v>03.1401</v>
          </cell>
          <cell r="C188" t="str">
            <v xml:space="preserve">Cáp CVV 2x2,5mm2  </v>
          </cell>
          <cell r="D188" t="str">
            <v>mét</v>
          </cell>
          <cell r="E188" t="str">
            <v>CV</v>
          </cell>
          <cell r="F188">
            <v>9</v>
          </cell>
          <cell r="G188" t="str">
            <v>x</v>
          </cell>
          <cell r="J188" t="str">
            <v>CVV2x2,5</v>
          </cell>
        </row>
        <row r="189">
          <cell r="A189" t="str">
            <v>CVV316</v>
          </cell>
          <cell r="B189" t="str">
            <v>03.1401</v>
          </cell>
          <cell r="C189" t="str">
            <v>Cáp CVV 3x16mm2</v>
          </cell>
          <cell r="D189" t="str">
            <v>mét</v>
          </cell>
          <cell r="E189" t="str">
            <v>CV</v>
          </cell>
          <cell r="F189">
            <v>9</v>
          </cell>
          <cell r="G189" t="str">
            <v>x</v>
          </cell>
          <cell r="J189" t="str">
            <v>CVV316</v>
          </cell>
        </row>
        <row r="190">
          <cell r="A190" t="str">
            <v>CVV4X2,5</v>
          </cell>
          <cell r="B190" t="str">
            <v>03.1401</v>
          </cell>
          <cell r="C190" t="str">
            <v xml:space="preserve">Cáp CVV 4x2,5mm2  </v>
          </cell>
          <cell r="D190" t="str">
            <v>mét</v>
          </cell>
          <cell r="E190" t="str">
            <v>CV</v>
          </cell>
          <cell r="F190">
            <v>9</v>
          </cell>
          <cell r="G190" t="str">
            <v>x</v>
          </cell>
          <cell r="J190" t="str">
            <v>CVV4X2,5</v>
          </cell>
        </row>
        <row r="191">
          <cell r="A191" t="str">
            <v>M5M</v>
          </cell>
          <cell r="C191" t="str">
            <v>Dây đồng trần mềm dẹt</v>
          </cell>
          <cell r="D191" t="str">
            <v>mét</v>
          </cell>
          <cell r="E191" t="str">
            <v>M5</v>
          </cell>
          <cell r="F191">
            <v>50</v>
          </cell>
          <cell r="G191" t="str">
            <v>x</v>
          </cell>
          <cell r="J191" t="str">
            <v>M5M</v>
          </cell>
        </row>
        <row r="192">
          <cell r="A192" t="str">
            <v>CVV4X4</v>
          </cell>
          <cell r="B192" t="str">
            <v>03.1401</v>
          </cell>
          <cell r="C192" t="str">
            <v xml:space="preserve">Cáp CVV 4x4mm2  </v>
          </cell>
          <cell r="D192" t="str">
            <v>mét</v>
          </cell>
          <cell r="E192" t="str">
            <v>CV</v>
          </cell>
          <cell r="F192">
            <v>9</v>
          </cell>
          <cell r="G192" t="str">
            <v>x</v>
          </cell>
          <cell r="J192" t="str">
            <v>CVV4X4</v>
          </cell>
        </row>
        <row r="193">
          <cell r="A193" t="str">
            <v>CV2,5</v>
          </cell>
          <cell r="B193" t="str">
            <v>04.4201</v>
          </cell>
          <cell r="C193" t="str">
            <v>Cáp đồng mềm CV2,5</v>
          </cell>
          <cell r="D193" t="str">
            <v>mét</v>
          </cell>
          <cell r="E193" t="str">
            <v>CV</v>
          </cell>
          <cell r="F193">
            <v>8</v>
          </cell>
          <cell r="G193" t="str">
            <v>x</v>
          </cell>
          <cell r="J193" t="str">
            <v>CV2,5</v>
          </cell>
        </row>
        <row r="194">
          <cell r="A194" t="str">
            <v>cv11</v>
          </cell>
          <cell r="B194" t="str">
            <v>04.4201</v>
          </cell>
          <cell r="C194" t="str">
            <v>Cáp đồng bọc CV11</v>
          </cell>
          <cell r="D194" t="str">
            <v>mét</v>
          </cell>
          <cell r="E194" t="str">
            <v>cv</v>
          </cell>
          <cell r="F194">
            <v>9</v>
          </cell>
          <cell r="G194" t="str">
            <v>x</v>
          </cell>
          <cell r="J194" t="str">
            <v>cv11</v>
          </cell>
        </row>
        <row r="195">
          <cell r="A195" t="str">
            <v>cv16</v>
          </cell>
          <cell r="B195" t="str">
            <v>04.4201</v>
          </cell>
          <cell r="C195" t="str">
            <v>Cáp đồng bọc CV16</v>
          </cell>
          <cell r="D195" t="str">
            <v>mét</v>
          </cell>
          <cell r="E195" t="str">
            <v>cv</v>
          </cell>
          <cell r="F195">
            <v>8</v>
          </cell>
          <cell r="G195" t="str">
            <v>x</v>
          </cell>
          <cell r="J195" t="str">
            <v>cv16</v>
          </cell>
        </row>
        <row r="196">
          <cell r="A196" t="str">
            <v>cv25</v>
          </cell>
          <cell r="C196" t="str">
            <v>Cáp đồng bọc CV25</v>
          </cell>
          <cell r="D196" t="str">
            <v>mét</v>
          </cell>
          <cell r="E196" t="str">
            <v>cv</v>
          </cell>
          <cell r="F196">
            <v>8</v>
          </cell>
          <cell r="G196" t="str">
            <v>x</v>
          </cell>
          <cell r="J196" t="str">
            <v>cv25</v>
          </cell>
        </row>
        <row r="197">
          <cell r="A197" t="str">
            <v>cxv25</v>
          </cell>
          <cell r="C197" t="str">
            <v>Cáp đồng bọc 24KV-CXV-25</v>
          </cell>
          <cell r="D197" t="str">
            <v>mét</v>
          </cell>
          <cell r="E197" t="str">
            <v>cx</v>
          </cell>
          <cell r="F197">
            <v>8</v>
          </cell>
          <cell r="G197" t="str">
            <v>x</v>
          </cell>
          <cell r="J197" t="str">
            <v>cxv25</v>
          </cell>
        </row>
        <row r="198">
          <cell r="A198" t="str">
            <v>cv35</v>
          </cell>
          <cell r="C198" t="str">
            <v>Cáp đồng bọc CV35</v>
          </cell>
          <cell r="D198" t="str">
            <v>mét</v>
          </cell>
          <cell r="E198" t="str">
            <v>cv</v>
          </cell>
          <cell r="F198">
            <v>8</v>
          </cell>
          <cell r="G198" t="str">
            <v>x</v>
          </cell>
          <cell r="J198" t="str">
            <v>cv35</v>
          </cell>
        </row>
        <row r="199">
          <cell r="A199" t="str">
            <v>cv50</v>
          </cell>
          <cell r="C199" t="str">
            <v>Cáp đồng bọc CV50</v>
          </cell>
          <cell r="D199" t="str">
            <v>mét</v>
          </cell>
          <cell r="E199" t="str">
            <v>cv</v>
          </cell>
          <cell r="F199">
            <v>8</v>
          </cell>
          <cell r="G199" t="str">
            <v>x</v>
          </cell>
          <cell r="J199" t="str">
            <v>cv50</v>
          </cell>
        </row>
        <row r="200">
          <cell r="A200" t="str">
            <v>cv70</v>
          </cell>
          <cell r="C200" t="str">
            <v>Cáp đồng bọc CV70</v>
          </cell>
          <cell r="D200" t="str">
            <v>mét</v>
          </cell>
          <cell r="E200" t="str">
            <v>cv</v>
          </cell>
          <cell r="F200">
            <v>8</v>
          </cell>
          <cell r="G200" t="str">
            <v>x</v>
          </cell>
          <cell r="J200" t="str">
            <v>cv70</v>
          </cell>
        </row>
        <row r="201">
          <cell r="A201" t="str">
            <v>cv95</v>
          </cell>
          <cell r="C201" t="str">
            <v>Cáp đồng bọc CV95</v>
          </cell>
          <cell r="D201" t="str">
            <v>mét</v>
          </cell>
          <cell r="E201" t="str">
            <v>cv</v>
          </cell>
          <cell r="F201">
            <v>8</v>
          </cell>
          <cell r="G201" t="str">
            <v>x</v>
          </cell>
          <cell r="J201" t="str">
            <v>cv95</v>
          </cell>
        </row>
        <row r="202">
          <cell r="A202" t="str">
            <v>cv120</v>
          </cell>
          <cell r="C202" t="str">
            <v>Cáp đồng bọc CV120</v>
          </cell>
          <cell r="D202" t="str">
            <v>mét</v>
          </cell>
          <cell r="E202" t="str">
            <v>cv</v>
          </cell>
          <cell r="F202">
            <v>8</v>
          </cell>
          <cell r="G202" t="str">
            <v>x</v>
          </cell>
          <cell r="J202" t="str">
            <v>cv120</v>
          </cell>
        </row>
        <row r="203">
          <cell r="A203" t="str">
            <v>cv150</v>
          </cell>
          <cell r="C203" t="str">
            <v>Cáp đồng bọc CV150</v>
          </cell>
          <cell r="D203" t="str">
            <v>mét</v>
          </cell>
          <cell r="E203" t="str">
            <v>cv</v>
          </cell>
          <cell r="F203">
            <v>8</v>
          </cell>
          <cell r="G203" t="str">
            <v>x</v>
          </cell>
          <cell r="J203" t="str">
            <v>cv150</v>
          </cell>
        </row>
        <row r="204">
          <cell r="A204" t="str">
            <v>cv185</v>
          </cell>
          <cell r="C204" t="str">
            <v>Cáp đồng bọc CV185</v>
          </cell>
          <cell r="D204" t="str">
            <v>mét</v>
          </cell>
          <cell r="E204" t="str">
            <v>cv</v>
          </cell>
          <cell r="F204">
            <v>8</v>
          </cell>
          <cell r="G204" t="str">
            <v>x</v>
          </cell>
          <cell r="J204" t="str">
            <v>cv185</v>
          </cell>
        </row>
        <row r="205">
          <cell r="A205" t="str">
            <v>cv200</v>
          </cell>
          <cell r="C205" t="str">
            <v>Cáp đồng bọc CV200</v>
          </cell>
          <cell r="D205" t="str">
            <v>mét</v>
          </cell>
          <cell r="E205" t="str">
            <v>cv</v>
          </cell>
          <cell r="F205">
            <v>8</v>
          </cell>
          <cell r="G205" t="str">
            <v>x</v>
          </cell>
          <cell r="J205" t="str">
            <v>cv200</v>
          </cell>
        </row>
        <row r="206">
          <cell r="A206" t="str">
            <v>cv240</v>
          </cell>
          <cell r="C206" t="str">
            <v>Cáp đồng bọc CV240</v>
          </cell>
          <cell r="D206" t="str">
            <v>mét</v>
          </cell>
          <cell r="E206" t="str">
            <v>cv</v>
          </cell>
          <cell r="F206">
            <v>8</v>
          </cell>
          <cell r="G206" t="str">
            <v>x</v>
          </cell>
          <cell r="J206" t="str">
            <v>cv240</v>
          </cell>
        </row>
        <row r="207">
          <cell r="A207" t="str">
            <v>cv250</v>
          </cell>
          <cell r="C207" t="str">
            <v>Cáp đồng bọc CV250</v>
          </cell>
          <cell r="D207" t="str">
            <v>mét</v>
          </cell>
          <cell r="E207" t="str">
            <v>cv</v>
          </cell>
          <cell r="F207">
            <v>8</v>
          </cell>
          <cell r="G207" t="str">
            <v>x</v>
          </cell>
          <cell r="J207" t="str">
            <v>cv250</v>
          </cell>
        </row>
        <row r="208">
          <cell r="A208" t="str">
            <v>cv300</v>
          </cell>
          <cell r="C208" t="str">
            <v>Cáp đồng bọc CV300</v>
          </cell>
          <cell r="D208" t="str">
            <v>mét</v>
          </cell>
          <cell r="E208" t="str">
            <v>cv</v>
          </cell>
          <cell r="F208">
            <v>8</v>
          </cell>
          <cell r="G208" t="str">
            <v>x</v>
          </cell>
          <cell r="J208" t="str">
            <v>cv300</v>
          </cell>
        </row>
        <row r="209">
          <cell r="A209" t="str">
            <v>cv400</v>
          </cell>
          <cell r="C209" t="str">
            <v>Cáp đồng bọc CV400</v>
          </cell>
          <cell r="D209" t="str">
            <v>mét</v>
          </cell>
          <cell r="E209" t="str">
            <v>cv</v>
          </cell>
          <cell r="F209">
            <v>8</v>
          </cell>
          <cell r="G209" t="str">
            <v>x</v>
          </cell>
          <cell r="J209" t="str">
            <v>cv400</v>
          </cell>
        </row>
        <row r="210">
          <cell r="A210" t="str">
            <v>acv35</v>
          </cell>
          <cell r="C210" t="str">
            <v>Cáp nhôm lõi thép ACV35</v>
          </cell>
          <cell r="D210" t="str">
            <v>mét</v>
          </cell>
          <cell r="E210" t="str">
            <v>ac</v>
          </cell>
          <cell r="F210">
            <v>13</v>
          </cell>
          <cell r="G210" t="str">
            <v>x</v>
          </cell>
          <cell r="J210" t="str">
            <v>acv35</v>
          </cell>
        </row>
        <row r="211">
          <cell r="A211" t="str">
            <v>acv50</v>
          </cell>
          <cell r="C211" t="str">
            <v>Cáp nhôm lõi thép ACV50</v>
          </cell>
          <cell r="D211" t="str">
            <v>mét</v>
          </cell>
          <cell r="E211" t="str">
            <v>ac</v>
          </cell>
          <cell r="F211">
            <v>13</v>
          </cell>
          <cell r="G211" t="str">
            <v>x</v>
          </cell>
          <cell r="J211" t="str">
            <v>acv50</v>
          </cell>
        </row>
        <row r="212">
          <cell r="A212" t="str">
            <v>acv70</v>
          </cell>
          <cell r="C212" t="str">
            <v>Cáp nhôm lõi thép ACV70</v>
          </cell>
          <cell r="D212" t="str">
            <v>mét</v>
          </cell>
          <cell r="E212" t="str">
            <v>ac</v>
          </cell>
          <cell r="F212">
            <v>13</v>
          </cell>
          <cell r="G212" t="str">
            <v>x</v>
          </cell>
          <cell r="J212" t="str">
            <v>acv70</v>
          </cell>
        </row>
        <row r="213">
          <cell r="A213" t="str">
            <v>acv95</v>
          </cell>
          <cell r="C213" t="str">
            <v>Cáp nhôm lõi thép ACV95</v>
          </cell>
          <cell r="D213" t="str">
            <v>mét</v>
          </cell>
          <cell r="E213" t="str">
            <v>ac</v>
          </cell>
          <cell r="F213">
            <v>13</v>
          </cell>
          <cell r="G213" t="str">
            <v>x</v>
          </cell>
          <cell r="J213" t="str">
            <v>acv95</v>
          </cell>
        </row>
        <row r="214">
          <cell r="A214" t="str">
            <v>acv120</v>
          </cell>
          <cell r="C214" t="str">
            <v>Cáp nhôm lõi thép ACV120</v>
          </cell>
          <cell r="D214" t="str">
            <v>mét</v>
          </cell>
          <cell r="E214" t="str">
            <v>ac</v>
          </cell>
          <cell r="F214">
            <v>13</v>
          </cell>
          <cell r="G214" t="str">
            <v>x</v>
          </cell>
          <cell r="J214" t="str">
            <v>acv120</v>
          </cell>
        </row>
        <row r="215">
          <cell r="A215" t="str">
            <v>acv150</v>
          </cell>
          <cell r="C215" t="str">
            <v>Cáp nhôm lõi thép ACV150</v>
          </cell>
          <cell r="D215" t="str">
            <v>mét</v>
          </cell>
          <cell r="E215" t="str">
            <v>ac</v>
          </cell>
          <cell r="F215">
            <v>13</v>
          </cell>
          <cell r="G215" t="str">
            <v>x</v>
          </cell>
          <cell r="J215" t="str">
            <v>acv150</v>
          </cell>
        </row>
        <row r="216">
          <cell r="A216" t="str">
            <v>acv185</v>
          </cell>
          <cell r="C216" t="str">
            <v>Cáp nhôm lõi thép ACV185</v>
          </cell>
          <cell r="D216" t="str">
            <v>mét</v>
          </cell>
          <cell r="E216" t="str">
            <v>ac</v>
          </cell>
          <cell r="F216">
            <v>13</v>
          </cell>
          <cell r="G216" t="str">
            <v>x</v>
          </cell>
          <cell r="J216" t="str">
            <v>acv185</v>
          </cell>
        </row>
        <row r="217">
          <cell r="A217" t="str">
            <v>acv240</v>
          </cell>
          <cell r="C217" t="str">
            <v>Cáp nhôm lõi thép ACV240</v>
          </cell>
          <cell r="D217" t="str">
            <v>mét</v>
          </cell>
          <cell r="E217" t="str">
            <v>ac</v>
          </cell>
          <cell r="F217">
            <v>13</v>
          </cell>
          <cell r="G217" t="str">
            <v>x</v>
          </cell>
          <cell r="J217" t="str">
            <v>acv240</v>
          </cell>
        </row>
        <row r="218">
          <cell r="A218" t="str">
            <v>A35</v>
          </cell>
          <cell r="C218" t="str">
            <v>Cáp nhôm A-35</v>
          </cell>
          <cell r="D218" t="str">
            <v>kg</v>
          </cell>
          <cell r="E218" t="str">
            <v>A3</v>
          </cell>
          <cell r="F218">
            <v>14</v>
          </cell>
          <cell r="G218" t="str">
            <v>x</v>
          </cell>
          <cell r="J218" t="str">
            <v>A35</v>
          </cell>
        </row>
        <row r="219">
          <cell r="A219" t="str">
            <v>A50</v>
          </cell>
          <cell r="C219" t="str">
            <v>Cáp nhôm A-50</v>
          </cell>
          <cell r="D219" t="str">
            <v>kg</v>
          </cell>
          <cell r="E219" t="str">
            <v>A5</v>
          </cell>
          <cell r="F219">
            <v>14</v>
          </cell>
          <cell r="G219" t="str">
            <v>x</v>
          </cell>
          <cell r="J219" t="str">
            <v>A50</v>
          </cell>
        </row>
        <row r="220">
          <cell r="A220" t="str">
            <v>A70</v>
          </cell>
          <cell r="C220" t="str">
            <v>Cáp nhôm A-70</v>
          </cell>
          <cell r="D220" t="str">
            <v>kg</v>
          </cell>
          <cell r="E220" t="str">
            <v>A7</v>
          </cell>
          <cell r="F220">
            <v>14</v>
          </cell>
          <cell r="G220" t="str">
            <v>x</v>
          </cell>
          <cell r="J220" t="str">
            <v>A70</v>
          </cell>
        </row>
        <row r="221">
          <cell r="A221" t="str">
            <v>A95</v>
          </cell>
          <cell r="C221" t="str">
            <v>Cáp nhôm A-95</v>
          </cell>
          <cell r="D221" t="str">
            <v>kg</v>
          </cell>
          <cell r="E221" t="str">
            <v>A9</v>
          </cell>
          <cell r="F221">
            <v>14</v>
          </cell>
          <cell r="G221" t="str">
            <v>x</v>
          </cell>
          <cell r="J221" t="str">
            <v>A95</v>
          </cell>
        </row>
        <row r="222">
          <cell r="A222" t="str">
            <v>A120</v>
          </cell>
          <cell r="C222" t="str">
            <v>Cáp nhôm A-120</v>
          </cell>
          <cell r="D222" t="str">
            <v>kg</v>
          </cell>
          <cell r="E222" t="str">
            <v>A1</v>
          </cell>
          <cell r="F222">
            <v>14</v>
          </cell>
          <cell r="G222" t="str">
            <v>x</v>
          </cell>
          <cell r="J222" t="str">
            <v>A120</v>
          </cell>
        </row>
        <row r="223">
          <cell r="A223" t="str">
            <v>A150</v>
          </cell>
          <cell r="C223" t="str">
            <v>Cáp nhôm A-150</v>
          </cell>
          <cell r="D223" t="str">
            <v>kg</v>
          </cell>
          <cell r="E223" t="str">
            <v>A1</v>
          </cell>
          <cell r="F223">
            <v>14</v>
          </cell>
          <cell r="G223" t="str">
            <v>x</v>
          </cell>
          <cell r="J223" t="str">
            <v>A150</v>
          </cell>
        </row>
        <row r="224">
          <cell r="A224" t="str">
            <v>A185</v>
          </cell>
          <cell r="C224" t="str">
            <v>Cáp nhôm A-185</v>
          </cell>
          <cell r="D224" t="str">
            <v>kg</v>
          </cell>
          <cell r="E224" t="str">
            <v>A1</v>
          </cell>
          <cell r="F224">
            <v>14</v>
          </cell>
          <cell r="G224" t="str">
            <v>x</v>
          </cell>
          <cell r="J224" t="str">
            <v>A185</v>
          </cell>
        </row>
        <row r="225">
          <cell r="A225" t="str">
            <v>A240</v>
          </cell>
          <cell r="C225" t="str">
            <v>Cáp nhôm A-240</v>
          </cell>
          <cell r="D225" t="str">
            <v>kg</v>
          </cell>
          <cell r="E225" t="str">
            <v>A2</v>
          </cell>
          <cell r="F225">
            <v>14</v>
          </cell>
          <cell r="G225" t="str">
            <v>x</v>
          </cell>
          <cell r="J225" t="str">
            <v>A240</v>
          </cell>
        </row>
        <row r="226">
          <cell r="A226" t="str">
            <v>C3/8</v>
          </cell>
          <cell r="C226" t="str">
            <v>Cáp thép 3/8"</v>
          </cell>
          <cell r="D226" t="str">
            <v>kg</v>
          </cell>
          <cell r="E226" t="str">
            <v>C3</v>
          </cell>
          <cell r="F226">
            <v>16</v>
          </cell>
          <cell r="G226" t="str">
            <v>x</v>
          </cell>
          <cell r="J226" t="str">
            <v>C3/8</v>
          </cell>
        </row>
        <row r="227">
          <cell r="A227" t="str">
            <v>C5/8m</v>
          </cell>
          <cell r="C227" t="str">
            <v>Cáp thép 5/8"</v>
          </cell>
          <cell r="D227" t="str">
            <v>mét</v>
          </cell>
          <cell r="E227" t="str">
            <v>C5</v>
          </cell>
          <cell r="F227">
            <v>16</v>
          </cell>
          <cell r="G227" t="str">
            <v>x</v>
          </cell>
          <cell r="J227" t="str">
            <v>C5/8m</v>
          </cell>
        </row>
        <row r="228">
          <cell r="A228" t="str">
            <v>C5/8</v>
          </cell>
          <cell r="C228" t="str">
            <v>Cáp thép 5/8"</v>
          </cell>
          <cell r="D228" t="str">
            <v>kg</v>
          </cell>
          <cell r="E228" t="str">
            <v>C5</v>
          </cell>
          <cell r="F228">
            <v>16</v>
          </cell>
          <cell r="G228" t="str">
            <v>x</v>
          </cell>
          <cell r="J228" t="str">
            <v>C5/8</v>
          </cell>
        </row>
        <row r="229">
          <cell r="A229" t="str">
            <v>CSDI</v>
          </cell>
          <cell r="C229" t="str">
            <v>Chân sứ đỉnh thẳng dài 870mm</v>
          </cell>
          <cell r="D229" t="str">
            <v>cái</v>
          </cell>
          <cell r="E229" t="str">
            <v>CS</v>
          </cell>
          <cell r="F229">
            <v>50</v>
          </cell>
          <cell r="G229" t="str">
            <v>x</v>
          </cell>
          <cell r="J229" t="str">
            <v>CSDI</v>
          </cell>
        </row>
        <row r="230">
          <cell r="A230" t="str">
            <v>CSDG</v>
          </cell>
          <cell r="C230" t="str">
            <v>Chân sứ đỉnh đỡ góc dài 870mm</v>
          </cell>
          <cell r="D230" t="str">
            <v>cái</v>
          </cell>
          <cell r="E230" t="str">
            <v>CS</v>
          </cell>
          <cell r="F230">
            <v>50</v>
          </cell>
          <cell r="G230" t="str">
            <v>x</v>
          </cell>
          <cell r="J230" t="str">
            <v>CSDG</v>
          </cell>
        </row>
        <row r="231">
          <cell r="A231" t="str">
            <v>CSD</v>
          </cell>
          <cell r="C231" t="str">
            <v>Chân sứ đứng D20</v>
          </cell>
          <cell r="D231" t="str">
            <v>cái</v>
          </cell>
          <cell r="E231" t="str">
            <v>CS</v>
          </cell>
          <cell r="F231">
            <v>50</v>
          </cell>
          <cell r="G231" t="str">
            <v>x</v>
          </cell>
          <cell r="J231" t="str">
            <v>CSD</v>
          </cell>
        </row>
        <row r="232">
          <cell r="A232" t="str">
            <v>DAYA</v>
          </cell>
          <cell r="C232" t="str">
            <v xml:space="preserve">Dây nhôm buộc </v>
          </cell>
          <cell r="D232" t="str">
            <v>kg</v>
          </cell>
          <cell r="E232" t="str">
            <v>DA</v>
          </cell>
          <cell r="F232">
            <v>50</v>
          </cell>
          <cell r="G232" t="str">
            <v>x</v>
          </cell>
          <cell r="J232" t="str">
            <v>DAYA</v>
          </cell>
        </row>
        <row r="233">
          <cell r="A233" t="str">
            <v>DAYA70</v>
          </cell>
          <cell r="C233" t="str">
            <v>Cáp nhôm A-70: buộc cổ sứ</v>
          </cell>
          <cell r="D233" t="str">
            <v>kg</v>
          </cell>
          <cell r="E233" t="str">
            <v>DA</v>
          </cell>
          <cell r="F233">
            <v>50</v>
          </cell>
          <cell r="G233" t="str">
            <v>x</v>
          </cell>
          <cell r="J233" t="str">
            <v>DAYA70</v>
          </cell>
        </row>
        <row r="234">
          <cell r="A234" t="str">
            <v>GDFCO</v>
          </cell>
          <cell r="B234" t="str">
            <v>05.6100</v>
          </cell>
          <cell r="C234" t="str">
            <v>Giá chữ "T" lắp FCO, LA (V63x63x6)</v>
          </cell>
          <cell r="D234" t="str">
            <v>bộ</v>
          </cell>
          <cell r="E234" t="str">
            <v>GD</v>
          </cell>
          <cell r="F234">
            <v>50</v>
          </cell>
          <cell r="G234" t="str">
            <v>x</v>
          </cell>
          <cell r="J234" t="str">
            <v>GDFCO</v>
          </cell>
        </row>
        <row r="235">
          <cell r="A235" t="str">
            <v>GUFCO</v>
          </cell>
          <cell r="B235" t="str">
            <v>05.6100</v>
          </cell>
          <cell r="C235" t="str">
            <v>Giá U 80x600 lắp FCO</v>
          </cell>
          <cell r="D235" t="str">
            <v>bộ</v>
          </cell>
          <cell r="E235" t="str">
            <v>GU</v>
          </cell>
          <cell r="F235">
            <v>50</v>
          </cell>
          <cell r="G235" t="str">
            <v>x</v>
          </cell>
          <cell r="J235" t="str">
            <v>GUFCO</v>
          </cell>
        </row>
        <row r="236">
          <cell r="A236" t="str">
            <v>GIATFCO</v>
          </cell>
          <cell r="B236" t="str">
            <v>05.6001</v>
          </cell>
          <cell r="C236" t="str">
            <v>Giá chữ "T" lắp FCO, LA (V50x50x5)</v>
          </cell>
          <cell r="D236" t="str">
            <v>Kg</v>
          </cell>
          <cell r="E236" t="str">
            <v>GI</v>
          </cell>
          <cell r="F236">
            <v>50</v>
          </cell>
          <cell r="G236" t="str">
            <v>x</v>
          </cell>
          <cell r="J236" t="str">
            <v>GIATFCO</v>
          </cell>
        </row>
        <row r="237">
          <cell r="A237" t="str">
            <v>Gianoi1600</v>
          </cell>
          <cell r="C237" t="str">
            <v>Giá nới + Thanh cái tủ CB</v>
          </cell>
          <cell r="D237" t="str">
            <v>bộ</v>
          </cell>
          <cell r="E237" t="str">
            <v>Gi</v>
          </cell>
          <cell r="F237">
            <v>50</v>
          </cell>
          <cell r="G237" t="str">
            <v>x</v>
          </cell>
          <cell r="J237" t="str">
            <v>Gianoi1600</v>
          </cell>
        </row>
        <row r="238">
          <cell r="A238" t="str">
            <v>Gianoi2500</v>
          </cell>
          <cell r="C238" t="str">
            <v>Giá nới + Thanh cái tủ CB</v>
          </cell>
          <cell r="D238" t="str">
            <v>bộ</v>
          </cell>
          <cell r="E238" t="str">
            <v>Gi</v>
          </cell>
          <cell r="F238">
            <v>50</v>
          </cell>
          <cell r="G238" t="str">
            <v>x</v>
          </cell>
          <cell r="J238" t="str">
            <v>Gianoi2500</v>
          </cell>
        </row>
        <row r="239">
          <cell r="A239" t="str">
            <v>GianoiCB</v>
          </cell>
          <cell r="C239" t="str">
            <v>Giá nới + Thanh cái tủ CB</v>
          </cell>
          <cell r="D239" t="str">
            <v>bộ</v>
          </cell>
          <cell r="E239" t="str">
            <v>Gi</v>
          </cell>
          <cell r="F239">
            <v>50</v>
          </cell>
          <cell r="G239" t="str">
            <v>x</v>
          </cell>
          <cell r="J239" t="str">
            <v>GianoiCB</v>
          </cell>
        </row>
        <row r="240">
          <cell r="A240" t="str">
            <v>GCST</v>
          </cell>
          <cell r="C240" t="str">
            <v>Gia công sắt thép</v>
          </cell>
          <cell r="D240" t="str">
            <v>kg</v>
          </cell>
          <cell r="E240" t="str">
            <v>GC</v>
          </cell>
          <cell r="F240">
            <v>2000</v>
          </cell>
          <cell r="G240" t="str">
            <v>x</v>
          </cell>
          <cell r="J240" t="str">
            <v>GCST</v>
          </cell>
        </row>
        <row r="241">
          <cell r="A241" t="str">
            <v>G</v>
          </cell>
          <cell r="C241" t="str">
            <v>Vật liệu dựng trụ</v>
          </cell>
          <cell r="D241" t="str">
            <v>trụ</v>
          </cell>
          <cell r="E241" t="str">
            <v>G</v>
          </cell>
          <cell r="F241">
            <v>2000</v>
          </cell>
          <cell r="G241" t="str">
            <v>x</v>
          </cell>
          <cell r="J241" t="str">
            <v>G</v>
          </cell>
        </row>
        <row r="242">
          <cell r="A242" t="str">
            <v>K3B</v>
          </cell>
          <cell r="C242" t="str">
            <v>Kẹp cáp 3 boulon</v>
          </cell>
          <cell r="D242" t="str">
            <v>cái</v>
          </cell>
          <cell r="E242" t="str">
            <v>K3</v>
          </cell>
          <cell r="F242">
            <v>50</v>
          </cell>
          <cell r="G242" t="str">
            <v>x</v>
          </cell>
          <cell r="J242" t="str">
            <v>K3B</v>
          </cell>
        </row>
        <row r="243">
          <cell r="A243" t="str">
            <v>CTD</v>
          </cell>
          <cell r="C243" t="str">
            <v>Cọc tiếp đất Ø16 - 2,4m</v>
          </cell>
          <cell r="D243" t="str">
            <v>cọc</v>
          </cell>
          <cell r="E243" t="str">
            <v>CT</v>
          </cell>
          <cell r="F243">
            <v>50</v>
          </cell>
          <cell r="G243" t="str">
            <v>x</v>
          </cell>
          <cell r="J243" t="str">
            <v>CTD</v>
          </cell>
        </row>
        <row r="244">
          <cell r="A244" t="str">
            <v>CTD+K</v>
          </cell>
          <cell r="C244" t="str">
            <v>Cọc tiếp đất Þ 16- 2,4m + kẹp cọc mạ đồng</v>
          </cell>
          <cell r="D244" t="str">
            <v>bộ</v>
          </cell>
          <cell r="E244" t="str">
            <v>CT</v>
          </cell>
          <cell r="F244">
            <v>50</v>
          </cell>
          <cell r="G244" t="str">
            <v>x</v>
          </cell>
          <cell r="J244" t="str">
            <v>CTD+K</v>
          </cell>
        </row>
        <row r="245">
          <cell r="A245" t="str">
            <v>K-Cu</v>
          </cell>
          <cell r="C245" t="str">
            <v>Kẹp cọc tiếp đất Cu</v>
          </cell>
          <cell r="D245" t="str">
            <v>cái</v>
          </cell>
          <cell r="E245" t="str">
            <v>K-</v>
          </cell>
          <cell r="F245">
            <v>50</v>
          </cell>
          <cell r="G245" t="str">
            <v>x</v>
          </cell>
          <cell r="J245" t="str">
            <v>K-Cu</v>
          </cell>
        </row>
        <row r="246">
          <cell r="A246" t="str">
            <v>K-Fe</v>
          </cell>
          <cell r="C246" t="str">
            <v>Kẹp cọc tiếp đất Fe</v>
          </cell>
          <cell r="D246" t="str">
            <v>cái</v>
          </cell>
          <cell r="E246" t="str">
            <v>K-</v>
          </cell>
          <cell r="F246">
            <v>50</v>
          </cell>
          <cell r="G246" t="str">
            <v>x</v>
          </cell>
          <cell r="J246" t="str">
            <v>K-Fe</v>
          </cell>
        </row>
        <row r="247">
          <cell r="A247" t="str">
            <v>K35</v>
          </cell>
          <cell r="C247" t="str">
            <v>Kẹp 2 rãnh (APC) cỡ dây 35mm2</v>
          </cell>
          <cell r="D247" t="str">
            <v>cái</v>
          </cell>
          <cell r="E247" t="str">
            <v>K3</v>
          </cell>
          <cell r="F247">
            <v>50</v>
          </cell>
          <cell r="G247" t="str">
            <v>x</v>
          </cell>
          <cell r="J247" t="str">
            <v>K35</v>
          </cell>
        </row>
        <row r="248">
          <cell r="A248" t="str">
            <v>K50</v>
          </cell>
          <cell r="C248" t="str">
            <v>Kẹp 2 rãnh (APC) cỡ dây 50mm2</v>
          </cell>
          <cell r="D248" t="str">
            <v>cái</v>
          </cell>
          <cell r="E248" t="str">
            <v>K5</v>
          </cell>
          <cell r="F248">
            <v>50</v>
          </cell>
          <cell r="G248" t="str">
            <v>x</v>
          </cell>
          <cell r="J248" t="str">
            <v>K50</v>
          </cell>
        </row>
        <row r="249">
          <cell r="A249" t="str">
            <v>K70</v>
          </cell>
          <cell r="C249" t="str">
            <v>Kẹp 2 rãnh (APC) cỡ dây 70mm2</v>
          </cell>
          <cell r="D249" t="str">
            <v>cái</v>
          </cell>
          <cell r="E249" t="str">
            <v>K7</v>
          </cell>
          <cell r="F249">
            <v>50</v>
          </cell>
          <cell r="G249" t="str">
            <v>x</v>
          </cell>
          <cell r="J249" t="str">
            <v>K70</v>
          </cell>
        </row>
        <row r="250">
          <cell r="A250" t="str">
            <v>K95</v>
          </cell>
          <cell r="C250" t="str">
            <v>Kẹp 2 rãnh (APC) cỡ dây 95mm2</v>
          </cell>
          <cell r="D250" t="str">
            <v>cái</v>
          </cell>
          <cell r="E250" t="str">
            <v>K9</v>
          </cell>
          <cell r="F250">
            <v>50</v>
          </cell>
          <cell r="G250" t="str">
            <v>x</v>
          </cell>
          <cell r="J250" t="str">
            <v>K95</v>
          </cell>
        </row>
        <row r="251">
          <cell r="A251" t="str">
            <v>K120</v>
          </cell>
          <cell r="C251" t="str">
            <v>Kẹp 2 rãnh (APC) cỡ dây 120mm2</v>
          </cell>
          <cell r="D251" t="str">
            <v>cái</v>
          </cell>
          <cell r="E251" t="str">
            <v>K1</v>
          </cell>
          <cell r="F251">
            <v>50</v>
          </cell>
          <cell r="G251" t="str">
            <v>x</v>
          </cell>
          <cell r="J251" t="str">
            <v>K120</v>
          </cell>
        </row>
        <row r="252">
          <cell r="A252" t="str">
            <v>K150</v>
          </cell>
          <cell r="C252" t="str">
            <v>Kẹp 2 rãnh (APC) cỡ dây 150mm2</v>
          </cell>
          <cell r="D252" t="str">
            <v>cái</v>
          </cell>
          <cell r="E252" t="str">
            <v>K1</v>
          </cell>
          <cell r="F252">
            <v>50</v>
          </cell>
          <cell r="G252" t="str">
            <v>x</v>
          </cell>
          <cell r="J252" t="str">
            <v>K150</v>
          </cell>
        </row>
        <row r="253">
          <cell r="A253" t="str">
            <v>K185</v>
          </cell>
          <cell r="C253" t="str">
            <v>Kẹp 2 rãnh (APC) cỡ dây 185mm2</v>
          </cell>
          <cell r="D253" t="str">
            <v>cái</v>
          </cell>
          <cell r="E253" t="str">
            <v>K1</v>
          </cell>
          <cell r="F253">
            <v>50</v>
          </cell>
          <cell r="G253" t="str">
            <v>x</v>
          </cell>
          <cell r="J253" t="str">
            <v>K185</v>
          </cell>
        </row>
        <row r="254">
          <cell r="A254" t="str">
            <v>K240</v>
          </cell>
          <cell r="C254" t="str">
            <v>Kẹp 2 rãnh (APC) cỡ dây 240 mm2</v>
          </cell>
          <cell r="D254" t="str">
            <v>cái</v>
          </cell>
          <cell r="E254" t="str">
            <v>K2</v>
          </cell>
          <cell r="F254">
            <v>50</v>
          </cell>
          <cell r="G254" t="str">
            <v>x</v>
          </cell>
          <cell r="J254" t="str">
            <v>K240</v>
          </cell>
        </row>
        <row r="255">
          <cell r="A255" t="str">
            <v>KTREO211</v>
          </cell>
          <cell r="C255" t="str">
            <v>Kẹp treo cáp ABC2x11mm2</v>
          </cell>
          <cell r="D255" t="str">
            <v>cái</v>
          </cell>
          <cell r="E255" t="str">
            <v>KT</v>
          </cell>
          <cell r="F255">
            <v>50</v>
          </cell>
          <cell r="G255" t="str">
            <v>x</v>
          </cell>
          <cell r="J255" t="str">
            <v>KTREO211</v>
          </cell>
        </row>
        <row r="256">
          <cell r="A256" t="str">
            <v>KTREO11</v>
          </cell>
          <cell r="C256" t="str">
            <v>Kẹp treo cáp ABC4x11mm2</v>
          </cell>
          <cell r="D256" t="str">
            <v>cái</v>
          </cell>
          <cell r="E256" t="str">
            <v>KT</v>
          </cell>
          <cell r="F256">
            <v>50</v>
          </cell>
          <cell r="G256" t="str">
            <v>x</v>
          </cell>
          <cell r="J256" t="str">
            <v>KTREO11</v>
          </cell>
        </row>
        <row r="257">
          <cell r="A257" t="str">
            <v>KTREO22</v>
          </cell>
          <cell r="C257" t="str">
            <v>Kẹp treo cáp ABC4x22mm2</v>
          </cell>
          <cell r="D257" t="str">
            <v>cái</v>
          </cell>
          <cell r="E257" t="str">
            <v>KT</v>
          </cell>
          <cell r="F257">
            <v>50</v>
          </cell>
          <cell r="G257" t="str">
            <v>x</v>
          </cell>
          <cell r="J257" t="str">
            <v>KTREO22</v>
          </cell>
        </row>
        <row r="258">
          <cell r="A258" t="str">
            <v>KTREO35</v>
          </cell>
          <cell r="C258" t="str">
            <v>Kẹp treo cáp ABC4x35mm2</v>
          </cell>
          <cell r="D258" t="str">
            <v>cái</v>
          </cell>
          <cell r="E258" t="str">
            <v>KT</v>
          </cell>
          <cell r="F258">
            <v>50</v>
          </cell>
          <cell r="G258" t="str">
            <v>x</v>
          </cell>
          <cell r="J258" t="str">
            <v>KTREO35</v>
          </cell>
        </row>
        <row r="259">
          <cell r="A259" t="str">
            <v>KTREO50</v>
          </cell>
          <cell r="C259" t="str">
            <v>Kẹp treo cáp ABC4x50mm2</v>
          </cell>
          <cell r="D259" t="str">
            <v>cái</v>
          </cell>
          <cell r="E259" t="str">
            <v>KT</v>
          </cell>
          <cell r="F259">
            <v>50</v>
          </cell>
          <cell r="G259" t="str">
            <v>x</v>
          </cell>
          <cell r="J259" t="str">
            <v>KTREO50</v>
          </cell>
        </row>
        <row r="260">
          <cell r="A260" t="str">
            <v>KTREO70</v>
          </cell>
          <cell r="B260" t="str">
            <v>06.1201</v>
          </cell>
          <cell r="C260" t="str">
            <v>Kẹp treo cáp ABC4x70mm2</v>
          </cell>
          <cell r="D260" t="str">
            <v>cái</v>
          </cell>
          <cell r="E260" t="str">
            <v>KT</v>
          </cell>
          <cell r="F260">
            <v>50</v>
          </cell>
          <cell r="G260" t="str">
            <v>x</v>
          </cell>
          <cell r="J260" t="str">
            <v>KTREO70</v>
          </cell>
        </row>
        <row r="261">
          <cell r="A261" t="str">
            <v>KTREO95</v>
          </cell>
          <cell r="C261" t="str">
            <v>Kẹp treo cáp ABC4x95mm2</v>
          </cell>
          <cell r="D261" t="str">
            <v>cái</v>
          </cell>
          <cell r="E261" t="str">
            <v>KT</v>
          </cell>
          <cell r="F261">
            <v>50</v>
          </cell>
          <cell r="G261" t="str">
            <v>x</v>
          </cell>
          <cell r="J261" t="str">
            <v>KTREO95</v>
          </cell>
        </row>
        <row r="262">
          <cell r="A262" t="str">
            <v>KTREO120</v>
          </cell>
          <cell r="C262" t="str">
            <v>Kẹp treo cáp ABC4x120mm2</v>
          </cell>
          <cell r="D262" t="str">
            <v>cái</v>
          </cell>
          <cell r="E262" t="str">
            <v>KT</v>
          </cell>
          <cell r="F262">
            <v>50</v>
          </cell>
          <cell r="G262" t="str">
            <v>x</v>
          </cell>
          <cell r="J262" t="str">
            <v>KTREO120</v>
          </cell>
        </row>
        <row r="263">
          <cell r="A263" t="str">
            <v>KTREO150</v>
          </cell>
          <cell r="C263" t="str">
            <v>Kẹp treo cáp ABC4x150mm2</v>
          </cell>
          <cell r="D263" t="str">
            <v>cái</v>
          </cell>
          <cell r="E263" t="str">
            <v>KT</v>
          </cell>
          <cell r="F263">
            <v>50</v>
          </cell>
          <cell r="G263" t="str">
            <v>x</v>
          </cell>
          <cell r="J263" t="str">
            <v>KTREO150</v>
          </cell>
        </row>
        <row r="264">
          <cell r="A264" t="str">
            <v>MTREO A</v>
          </cell>
          <cell r="C264" t="str">
            <v>Móc treo chữ A</v>
          </cell>
          <cell r="D264" t="str">
            <v>cái</v>
          </cell>
          <cell r="E264" t="str">
            <v>MT</v>
          </cell>
          <cell r="F264">
            <v>50</v>
          </cell>
          <cell r="G264" t="str">
            <v>x</v>
          </cell>
          <cell r="J264" t="str">
            <v>MTREO A</v>
          </cell>
        </row>
        <row r="265">
          <cell r="A265" t="str">
            <v>MOCDUNG</v>
          </cell>
          <cell r="C265" t="str">
            <v xml:space="preserve">Móc dừng </v>
          </cell>
          <cell r="D265" t="str">
            <v>cái</v>
          </cell>
          <cell r="E265" t="str">
            <v>MO</v>
          </cell>
          <cell r="F265">
            <v>50</v>
          </cell>
          <cell r="G265" t="str">
            <v>x</v>
          </cell>
          <cell r="J265" t="str">
            <v>MOCDUNG</v>
          </cell>
        </row>
        <row r="266">
          <cell r="A266" t="str">
            <v xml:space="preserve">MTREO </v>
          </cell>
          <cell r="C266" t="str">
            <v xml:space="preserve">Móc đơn treo cáp </v>
          </cell>
          <cell r="D266" t="str">
            <v>cái</v>
          </cell>
          <cell r="E266" t="str">
            <v>MT</v>
          </cell>
          <cell r="F266">
            <v>50</v>
          </cell>
          <cell r="G266" t="str">
            <v>x</v>
          </cell>
          <cell r="J266" t="str">
            <v xml:space="preserve">MTREO </v>
          </cell>
        </row>
        <row r="267">
          <cell r="A267" t="str">
            <v>KDPLY</v>
          </cell>
          <cell r="C267" t="str">
            <v>Khánh bắt sứ kép polymer</v>
          </cell>
          <cell r="D267" t="str">
            <v>cái</v>
          </cell>
          <cell r="E267" t="str">
            <v>KD</v>
          </cell>
          <cell r="F267">
            <v>50</v>
          </cell>
          <cell r="G267" t="str">
            <v>x</v>
          </cell>
          <cell r="J267" t="str">
            <v>KDPLY</v>
          </cell>
        </row>
        <row r="268">
          <cell r="A268" t="str">
            <v>KNGUNG211</v>
          </cell>
          <cell r="C268" t="str">
            <v>Kẹp ngừng cáp ABC2x11mm2</v>
          </cell>
          <cell r="D268" t="str">
            <v>cái</v>
          </cell>
          <cell r="E268" t="str">
            <v>KN</v>
          </cell>
          <cell r="F268">
            <v>50</v>
          </cell>
          <cell r="G268" t="str">
            <v>x</v>
          </cell>
          <cell r="J268" t="str">
            <v>KNGUNG211</v>
          </cell>
        </row>
        <row r="269">
          <cell r="A269" t="str">
            <v>KNGUNG11</v>
          </cell>
          <cell r="C269" t="str">
            <v>Kẹp ngừng cáp ABC4x11mm2</v>
          </cell>
          <cell r="D269" t="str">
            <v>cái</v>
          </cell>
          <cell r="E269" t="str">
            <v>KN</v>
          </cell>
          <cell r="F269">
            <v>50</v>
          </cell>
          <cell r="G269" t="str">
            <v>x</v>
          </cell>
          <cell r="J269" t="str">
            <v>KNGUNG11</v>
          </cell>
        </row>
        <row r="270">
          <cell r="A270" t="str">
            <v>KNGUNG22</v>
          </cell>
          <cell r="C270" t="str">
            <v>Kẹp ngừng cáp ABC4x22mm2</v>
          </cell>
          <cell r="D270" t="str">
            <v>cái</v>
          </cell>
          <cell r="E270" t="str">
            <v>KN</v>
          </cell>
          <cell r="F270">
            <v>50</v>
          </cell>
          <cell r="G270" t="str">
            <v>x</v>
          </cell>
          <cell r="J270" t="str">
            <v>KNGUNG22</v>
          </cell>
        </row>
        <row r="271">
          <cell r="A271" t="str">
            <v>KNGUNG35</v>
          </cell>
          <cell r="C271" t="str">
            <v>Kẹp ngừng cáp ABC4x35mm2</v>
          </cell>
          <cell r="D271" t="str">
            <v>cái</v>
          </cell>
          <cell r="E271" t="str">
            <v>KN</v>
          </cell>
          <cell r="F271">
            <v>50</v>
          </cell>
          <cell r="G271" t="str">
            <v>x</v>
          </cell>
          <cell r="J271" t="str">
            <v>KNGUNG35</v>
          </cell>
        </row>
        <row r="272">
          <cell r="A272" t="str">
            <v>KNGUNG50</v>
          </cell>
          <cell r="C272" t="str">
            <v>Kẹp ngừng cáp ABC4x50mm2</v>
          </cell>
          <cell r="D272" t="str">
            <v>cái</v>
          </cell>
          <cell r="E272" t="str">
            <v>KN</v>
          </cell>
          <cell r="F272">
            <v>50</v>
          </cell>
          <cell r="G272" t="str">
            <v>x</v>
          </cell>
          <cell r="J272" t="str">
            <v>KNGUNG50</v>
          </cell>
        </row>
        <row r="273">
          <cell r="A273" t="str">
            <v>KNGUNG70</v>
          </cell>
          <cell r="B273" t="str">
            <v>06.1201</v>
          </cell>
          <cell r="C273" t="str">
            <v>Kẹp ngừng cáp ABC4x70mm2</v>
          </cell>
          <cell r="D273" t="str">
            <v>cái</v>
          </cell>
          <cell r="E273" t="str">
            <v>KN</v>
          </cell>
          <cell r="F273">
            <v>50</v>
          </cell>
          <cell r="G273" t="str">
            <v>x</v>
          </cell>
          <cell r="J273" t="str">
            <v>KNGUNG70</v>
          </cell>
        </row>
        <row r="274">
          <cell r="A274" t="str">
            <v>KNGUNG95</v>
          </cell>
          <cell r="C274" t="str">
            <v>Kẹp ngừng cáp ABC4x95mm2</v>
          </cell>
          <cell r="D274" t="str">
            <v>cái</v>
          </cell>
          <cell r="E274" t="str">
            <v>KN</v>
          </cell>
          <cell r="F274">
            <v>50</v>
          </cell>
          <cell r="G274" t="str">
            <v>x</v>
          </cell>
          <cell r="J274" t="str">
            <v>KNGUNG95</v>
          </cell>
        </row>
        <row r="275">
          <cell r="A275" t="str">
            <v>KNGUNG120</v>
          </cell>
          <cell r="C275" t="str">
            <v>Kẹp ngừng cáp ABC4x120mm2</v>
          </cell>
          <cell r="D275" t="str">
            <v>cái</v>
          </cell>
          <cell r="E275" t="str">
            <v>KN</v>
          </cell>
          <cell r="F275">
            <v>50</v>
          </cell>
          <cell r="G275" t="str">
            <v>x</v>
          </cell>
          <cell r="J275" t="str">
            <v>KNGUNG120</v>
          </cell>
        </row>
        <row r="276">
          <cell r="A276" t="str">
            <v>KNGUNG150</v>
          </cell>
          <cell r="C276" t="str">
            <v>Kẹp ngừng cáp ABC4x150mm2</v>
          </cell>
          <cell r="D276" t="str">
            <v>cái</v>
          </cell>
          <cell r="E276" t="str">
            <v>KN</v>
          </cell>
          <cell r="F276">
            <v>50</v>
          </cell>
          <cell r="G276" t="str">
            <v>x</v>
          </cell>
          <cell r="J276" t="str">
            <v>KNGUNG150</v>
          </cell>
        </row>
        <row r="277">
          <cell r="A277" t="str">
            <v>Hopcap240</v>
          </cell>
          <cell r="C277" t="str">
            <v>Hộp nối cáp ngầm 24kV 3x240mm2</v>
          </cell>
          <cell r="D277" t="str">
            <v>cái</v>
          </cell>
          <cell r="E277" t="str">
            <v>Ho</v>
          </cell>
          <cell r="F277">
            <v>50</v>
          </cell>
          <cell r="G277" t="str">
            <v>x</v>
          </cell>
          <cell r="J277" t="str">
            <v>Hopcap240</v>
          </cell>
        </row>
        <row r="278">
          <cell r="A278" t="str">
            <v>Hopcap185</v>
          </cell>
          <cell r="C278" t="str">
            <v>Hộp nối cáp ngầm 24kV 3x185mm2</v>
          </cell>
          <cell r="D278" t="str">
            <v>cái</v>
          </cell>
          <cell r="E278" t="str">
            <v>Ho</v>
          </cell>
          <cell r="F278">
            <v>50</v>
          </cell>
          <cell r="G278" t="str">
            <v>x</v>
          </cell>
          <cell r="J278" t="str">
            <v>Hopcap185</v>
          </cell>
        </row>
        <row r="279">
          <cell r="A279" t="str">
            <v>Hopcap150</v>
          </cell>
          <cell r="C279" t="str">
            <v>Hộp nối cáp ngầm 24kV 3x150mm2</v>
          </cell>
          <cell r="D279" t="str">
            <v>cái</v>
          </cell>
          <cell r="E279" t="str">
            <v>Ho</v>
          </cell>
          <cell r="F279">
            <v>50</v>
          </cell>
          <cell r="G279" t="str">
            <v>x</v>
          </cell>
          <cell r="J279" t="str">
            <v>Hopcap150</v>
          </cell>
        </row>
        <row r="280">
          <cell r="A280" t="str">
            <v>Hopcap120</v>
          </cell>
          <cell r="C280" t="str">
            <v>Hộp nối cáp ngầm 24kV 3x120mm2</v>
          </cell>
          <cell r="D280" t="str">
            <v>cái</v>
          </cell>
          <cell r="E280" t="str">
            <v>Ho</v>
          </cell>
          <cell r="F280">
            <v>50</v>
          </cell>
          <cell r="G280" t="str">
            <v>x</v>
          </cell>
          <cell r="J280" t="str">
            <v>Hopcap120</v>
          </cell>
        </row>
        <row r="281">
          <cell r="A281" t="str">
            <v>Hopcap95</v>
          </cell>
          <cell r="C281" t="str">
            <v>Hộp nối cáp ngầm 24kV 3x95mm2</v>
          </cell>
          <cell r="D281" t="str">
            <v>cái</v>
          </cell>
          <cell r="E281" t="str">
            <v>Ho</v>
          </cell>
          <cell r="F281">
            <v>50</v>
          </cell>
          <cell r="G281" t="str">
            <v>x</v>
          </cell>
          <cell r="J281" t="str">
            <v>Hopcap95</v>
          </cell>
        </row>
        <row r="282">
          <cell r="A282" t="str">
            <v>Hopcap70</v>
          </cell>
          <cell r="C282" t="str">
            <v>Hộp nối cáp ngầm 24kV 3x70mm2</v>
          </cell>
          <cell r="D282" t="str">
            <v>cái</v>
          </cell>
          <cell r="E282" t="str">
            <v>Ho</v>
          </cell>
          <cell r="F282">
            <v>50</v>
          </cell>
          <cell r="G282" t="str">
            <v>x</v>
          </cell>
          <cell r="J282" t="str">
            <v>Hopcap70</v>
          </cell>
        </row>
        <row r="283">
          <cell r="A283" t="str">
            <v>Hopcap50</v>
          </cell>
          <cell r="C283" t="str">
            <v>Hộp nối cáp ngầm 24kV 3x50mm2</v>
          </cell>
          <cell r="D283" t="str">
            <v>cái</v>
          </cell>
          <cell r="E283" t="str">
            <v>Ho</v>
          </cell>
          <cell r="F283">
            <v>50</v>
          </cell>
          <cell r="G283" t="str">
            <v>x</v>
          </cell>
          <cell r="J283" t="str">
            <v>Hopcap50</v>
          </cell>
        </row>
        <row r="284">
          <cell r="A284" t="str">
            <v>HOP9C</v>
          </cell>
          <cell r="B284" t="str">
            <v>06.1201</v>
          </cell>
          <cell r="C284" t="str">
            <v>Hộp phân phối 9CB-32A( hộp rỗng)</v>
          </cell>
          <cell r="D284" t="str">
            <v>cái</v>
          </cell>
          <cell r="E284" t="str">
            <v>HO</v>
          </cell>
          <cell r="F284">
            <v>50</v>
          </cell>
          <cell r="G284" t="str">
            <v>x</v>
          </cell>
          <cell r="J284" t="str">
            <v>HOP9C</v>
          </cell>
        </row>
        <row r="285">
          <cell r="A285" t="str">
            <v>HOP6C</v>
          </cell>
          <cell r="C285" t="str">
            <v>Hộp phân phối (hộp rỗng)</v>
          </cell>
          <cell r="D285" t="str">
            <v>cái</v>
          </cell>
          <cell r="E285" t="str">
            <v>HO</v>
          </cell>
          <cell r="F285">
            <v>50</v>
          </cell>
          <cell r="G285" t="str">
            <v>x</v>
          </cell>
          <cell r="J285" t="str">
            <v>HOP6C</v>
          </cell>
        </row>
        <row r="286">
          <cell r="A286" t="str">
            <v>BTNN</v>
          </cell>
          <cell r="C286" t="str">
            <v>Bêtông nhựa nóng hạt thô</v>
          </cell>
          <cell r="D286" t="str">
            <v>m3</v>
          </cell>
          <cell r="E286" t="str">
            <v>BT</v>
          </cell>
          <cell r="F286">
            <v>50</v>
          </cell>
          <cell r="G286" t="str">
            <v>x</v>
          </cell>
          <cell r="J286" t="str">
            <v>BTNN</v>
          </cell>
        </row>
        <row r="287">
          <cell r="A287" t="str">
            <v>BTNN min</v>
          </cell>
          <cell r="C287" t="str">
            <v>Bêtông nhựa nóng hạt mịn</v>
          </cell>
          <cell r="D287" t="str">
            <v>m3</v>
          </cell>
          <cell r="E287" t="str">
            <v>BT</v>
          </cell>
          <cell r="F287">
            <v>50</v>
          </cell>
          <cell r="G287" t="str">
            <v>x</v>
          </cell>
          <cell r="J287" t="str">
            <v>BTNN min</v>
          </cell>
        </row>
        <row r="288">
          <cell r="A288" t="str">
            <v>BTNN-TL</v>
          </cell>
          <cell r="B288" t="str">
            <v>ED.2005</v>
          </cell>
          <cell r="C288" t="str">
            <v>Tái lập bêtông nhựa nóng hạt thô 7mm</v>
          </cell>
          <cell r="D288" t="str">
            <v>m2</v>
          </cell>
          <cell r="E288" t="str">
            <v>BT</v>
          </cell>
          <cell r="F288">
            <v>50</v>
          </cell>
          <cell r="G288" t="str">
            <v>x</v>
          </cell>
          <cell r="J288" t="str">
            <v>BTNN-TL</v>
          </cell>
        </row>
        <row r="289">
          <cell r="A289" t="str">
            <v>BTNN-TL min</v>
          </cell>
          <cell r="B289" t="str">
            <v>ED.3001</v>
          </cell>
          <cell r="C289" t="str">
            <v>Tái lập bêtông nhựa nóng hạt mịn 3mm</v>
          </cell>
          <cell r="D289" t="str">
            <v>m2</v>
          </cell>
          <cell r="E289" t="str">
            <v>BT</v>
          </cell>
          <cell r="F289">
            <v>50</v>
          </cell>
          <cell r="G289" t="str">
            <v>x</v>
          </cell>
          <cell r="J289" t="str">
            <v>BTNN-TL min</v>
          </cell>
        </row>
        <row r="290">
          <cell r="A290" t="str">
            <v>BT</v>
          </cell>
          <cell r="B290" t="str">
            <v>04.9001</v>
          </cell>
          <cell r="C290" t="str">
            <v>Bitum</v>
          </cell>
          <cell r="D290" t="str">
            <v>m2</v>
          </cell>
          <cell r="E290" t="str">
            <v>BT</v>
          </cell>
          <cell r="F290">
            <v>50</v>
          </cell>
          <cell r="G290" t="str">
            <v>x</v>
          </cell>
          <cell r="J290" t="str">
            <v>BT</v>
          </cell>
        </row>
        <row r="291">
          <cell r="A291" t="str">
            <v>BIT150</v>
          </cell>
          <cell r="C291" t="str">
            <v>Nắp bịt đầu cáp ABC150mm2</v>
          </cell>
          <cell r="D291" t="str">
            <v>cái</v>
          </cell>
          <cell r="E291" t="str">
            <v>BI</v>
          </cell>
          <cell r="F291">
            <v>50</v>
          </cell>
          <cell r="G291" t="str">
            <v>x</v>
          </cell>
          <cell r="J291" t="str">
            <v>BIT150</v>
          </cell>
        </row>
        <row r="292">
          <cell r="A292" t="str">
            <v>BIT120</v>
          </cell>
          <cell r="C292" t="str">
            <v>Nắp bịt đầu cáp ABC120mm2</v>
          </cell>
          <cell r="D292" t="str">
            <v>cái</v>
          </cell>
          <cell r="E292" t="str">
            <v>BI</v>
          </cell>
          <cell r="F292">
            <v>50</v>
          </cell>
          <cell r="G292" t="str">
            <v>x</v>
          </cell>
          <cell r="J292" t="str">
            <v>BIT120</v>
          </cell>
        </row>
        <row r="293">
          <cell r="A293" t="str">
            <v>BIT95</v>
          </cell>
          <cell r="C293" t="str">
            <v>Nắp bịt đầu cáp ABC95mm2</v>
          </cell>
          <cell r="D293" t="str">
            <v>cái</v>
          </cell>
          <cell r="E293" t="str">
            <v>BI</v>
          </cell>
          <cell r="F293">
            <v>50</v>
          </cell>
          <cell r="G293" t="str">
            <v>x</v>
          </cell>
          <cell r="J293" t="str">
            <v>BIT95</v>
          </cell>
        </row>
        <row r="294">
          <cell r="A294" t="str">
            <v>BIT70</v>
          </cell>
          <cell r="C294" t="str">
            <v>Nắp bịt đầu cáp ABC70mm2</v>
          </cell>
          <cell r="D294" t="str">
            <v>cái</v>
          </cell>
          <cell r="E294" t="str">
            <v>BI</v>
          </cell>
          <cell r="F294">
            <v>50</v>
          </cell>
          <cell r="G294" t="str">
            <v>x</v>
          </cell>
          <cell r="J294" t="str">
            <v>BIT70</v>
          </cell>
        </row>
        <row r="295">
          <cell r="A295" t="str">
            <v>BIT50</v>
          </cell>
          <cell r="C295" t="str">
            <v>Nắp bịt đầu cáp ABC50mm2</v>
          </cell>
          <cell r="D295" t="str">
            <v>cái</v>
          </cell>
          <cell r="E295" t="str">
            <v>BI</v>
          </cell>
          <cell r="F295">
            <v>50</v>
          </cell>
          <cell r="G295" t="str">
            <v>x</v>
          </cell>
          <cell r="J295" t="str">
            <v>BIT50</v>
          </cell>
        </row>
        <row r="296">
          <cell r="A296" t="str">
            <v>BIT35</v>
          </cell>
          <cell r="C296" t="str">
            <v>Nắp bịt đầu cáp 35mm2</v>
          </cell>
          <cell r="D296" t="str">
            <v>cái</v>
          </cell>
          <cell r="E296" t="str">
            <v>BI</v>
          </cell>
          <cell r="F296">
            <v>50</v>
          </cell>
          <cell r="G296" t="str">
            <v>x</v>
          </cell>
          <cell r="J296" t="str">
            <v>BIT35</v>
          </cell>
        </row>
        <row r="297">
          <cell r="A297" t="str">
            <v>KE399</v>
          </cell>
          <cell r="C297" t="str">
            <v>Kẹp ép WR 399</v>
          </cell>
          <cell r="D297" t="str">
            <v>cái</v>
          </cell>
          <cell r="E297" t="str">
            <v>KE</v>
          </cell>
          <cell r="F297">
            <v>50</v>
          </cell>
          <cell r="G297" t="str">
            <v>x</v>
          </cell>
          <cell r="J297" t="str">
            <v>KE399</v>
          </cell>
        </row>
        <row r="298">
          <cell r="A298" t="str">
            <v>KE25</v>
          </cell>
          <cell r="C298" t="str">
            <v>Kẹp ép cỡ dây 25mm2</v>
          </cell>
          <cell r="D298" t="str">
            <v>cái</v>
          </cell>
          <cell r="E298" t="str">
            <v>KE</v>
          </cell>
          <cell r="F298">
            <v>50</v>
          </cell>
          <cell r="G298" t="str">
            <v>x</v>
          </cell>
          <cell r="J298" t="str">
            <v>KE25</v>
          </cell>
        </row>
        <row r="299">
          <cell r="A299" t="str">
            <v>KE35</v>
          </cell>
          <cell r="C299" t="str">
            <v>Kẹp ép WR cỡ dây 35mm2</v>
          </cell>
          <cell r="D299" t="str">
            <v>cái</v>
          </cell>
          <cell r="E299" t="str">
            <v>KE</v>
          </cell>
          <cell r="F299">
            <v>50</v>
          </cell>
          <cell r="G299" t="str">
            <v>x</v>
          </cell>
          <cell r="J299" t="str">
            <v>KE35</v>
          </cell>
        </row>
        <row r="300">
          <cell r="A300" t="str">
            <v>KE50</v>
          </cell>
          <cell r="C300" t="str">
            <v>Kẹp ép WR cỡ dây 50mm2</v>
          </cell>
          <cell r="D300" t="str">
            <v>cái</v>
          </cell>
          <cell r="E300" t="str">
            <v>KE</v>
          </cell>
          <cell r="F300">
            <v>50</v>
          </cell>
          <cell r="G300" t="str">
            <v>x</v>
          </cell>
          <cell r="J300" t="str">
            <v>KE50</v>
          </cell>
        </row>
        <row r="301">
          <cell r="A301" t="str">
            <v>KE70</v>
          </cell>
          <cell r="C301" t="str">
            <v>Kẹp ép WR cỡ dây 70mm2</v>
          </cell>
          <cell r="D301" t="str">
            <v>cái</v>
          </cell>
          <cell r="E301" t="str">
            <v>KE</v>
          </cell>
          <cell r="F301">
            <v>50</v>
          </cell>
          <cell r="G301" t="str">
            <v>x</v>
          </cell>
          <cell r="J301" t="str">
            <v>KE70</v>
          </cell>
        </row>
        <row r="302">
          <cell r="A302" t="str">
            <v>KE95</v>
          </cell>
          <cell r="C302" t="str">
            <v>Kẹp ép WR cỡ dây 95mm2</v>
          </cell>
          <cell r="D302" t="str">
            <v>cái</v>
          </cell>
          <cell r="E302" t="str">
            <v>KE</v>
          </cell>
          <cell r="F302">
            <v>50</v>
          </cell>
          <cell r="G302" t="str">
            <v>x</v>
          </cell>
          <cell r="J302" t="str">
            <v>KE95</v>
          </cell>
        </row>
        <row r="303">
          <cell r="A303" t="str">
            <v>KE120</v>
          </cell>
          <cell r="C303" t="str">
            <v>Kẹp ép WR cỡ dây 120mm2</v>
          </cell>
          <cell r="D303" t="str">
            <v>cái</v>
          </cell>
          <cell r="E303" t="str">
            <v>KE</v>
          </cell>
          <cell r="F303">
            <v>50</v>
          </cell>
          <cell r="G303" t="str">
            <v>x</v>
          </cell>
          <cell r="J303" t="str">
            <v>KE120</v>
          </cell>
        </row>
        <row r="304">
          <cell r="A304" t="str">
            <v>KE150</v>
          </cell>
          <cell r="C304" t="str">
            <v>Kẹp ép WR cỡ dây 150mm2</v>
          </cell>
          <cell r="D304" t="str">
            <v>cái</v>
          </cell>
          <cell r="E304" t="str">
            <v>KE</v>
          </cell>
          <cell r="F304">
            <v>50</v>
          </cell>
          <cell r="G304" t="str">
            <v>x</v>
          </cell>
          <cell r="J304" t="str">
            <v>KE150</v>
          </cell>
        </row>
        <row r="305">
          <cell r="A305" t="str">
            <v>KE185</v>
          </cell>
          <cell r="C305" t="str">
            <v>Kẹp ép WR cỡ dây 185mm2</v>
          </cell>
          <cell r="D305" t="str">
            <v>cái</v>
          </cell>
          <cell r="E305" t="str">
            <v>KE</v>
          </cell>
          <cell r="F305">
            <v>50</v>
          </cell>
          <cell r="G305" t="str">
            <v>x</v>
          </cell>
          <cell r="J305" t="str">
            <v>KE185</v>
          </cell>
        </row>
        <row r="306">
          <cell r="A306" t="str">
            <v>KE240</v>
          </cell>
          <cell r="C306" t="str">
            <v>Kẹp ép WR cỡ dây 240mm2</v>
          </cell>
          <cell r="D306" t="str">
            <v>cái</v>
          </cell>
          <cell r="E306" t="str">
            <v>KE</v>
          </cell>
          <cell r="F306">
            <v>50</v>
          </cell>
          <cell r="G306" t="str">
            <v>x</v>
          </cell>
          <cell r="J306" t="str">
            <v>KE240</v>
          </cell>
        </row>
        <row r="307">
          <cell r="A307" t="str">
            <v>KCUAL</v>
          </cell>
          <cell r="C307" t="str">
            <v>Kẹp nối đồng-nhôm</v>
          </cell>
          <cell r="D307" t="str">
            <v>cái</v>
          </cell>
          <cell r="E307" t="str">
            <v>KC</v>
          </cell>
          <cell r="F307">
            <v>50</v>
          </cell>
          <cell r="G307" t="str">
            <v>x</v>
          </cell>
          <cell r="J307" t="str">
            <v>KCUAL</v>
          </cell>
        </row>
        <row r="308">
          <cell r="A308" t="str">
            <v>KCUAL60</v>
          </cell>
          <cell r="C308" t="str">
            <v>Kẹp nối đồng-nhôm 60mm2</v>
          </cell>
          <cell r="D308" t="str">
            <v>cái</v>
          </cell>
          <cell r="E308" t="str">
            <v>KC</v>
          </cell>
          <cell r="F308">
            <v>50</v>
          </cell>
          <cell r="G308" t="str">
            <v>x</v>
          </cell>
          <cell r="J308" t="str">
            <v>KCUAL60</v>
          </cell>
        </row>
        <row r="309">
          <cell r="A309" t="str">
            <v>KQ2/0</v>
          </cell>
          <cell r="B309" t="str">
            <v>04.3007</v>
          </cell>
          <cell r="C309" t="str">
            <v>Kẹp quai 2/0</v>
          </cell>
          <cell r="D309" t="str">
            <v>cái</v>
          </cell>
          <cell r="E309" t="str">
            <v>KQ</v>
          </cell>
          <cell r="F309">
            <v>50</v>
          </cell>
          <cell r="G309" t="str">
            <v>x</v>
          </cell>
          <cell r="J309" t="str">
            <v>KQ2/0</v>
          </cell>
        </row>
        <row r="310">
          <cell r="A310" t="str">
            <v xml:space="preserve">KQ2/0 </v>
          </cell>
          <cell r="B310" t="str">
            <v>04.3007</v>
          </cell>
          <cell r="C310" t="str">
            <v>Kẹp quai 2/0 + chụp cách điện</v>
          </cell>
          <cell r="D310" t="str">
            <v>bộ</v>
          </cell>
          <cell r="E310" t="str">
            <v>KQ</v>
          </cell>
          <cell r="F310">
            <v>50</v>
          </cell>
          <cell r="G310" t="str">
            <v>x</v>
          </cell>
          <cell r="J310" t="str">
            <v xml:space="preserve">KQ2/0 </v>
          </cell>
        </row>
        <row r="311">
          <cell r="A311" t="str">
            <v>KQ4/0</v>
          </cell>
          <cell r="B311" t="str">
            <v>04.3007</v>
          </cell>
          <cell r="C311" t="str">
            <v>Kẹp quai 4/0</v>
          </cell>
          <cell r="D311" t="str">
            <v>cái</v>
          </cell>
          <cell r="E311" t="str">
            <v>KQ</v>
          </cell>
          <cell r="F311">
            <v>50</v>
          </cell>
          <cell r="G311" t="str">
            <v>x</v>
          </cell>
          <cell r="J311" t="str">
            <v>KQ4/0</v>
          </cell>
        </row>
        <row r="312">
          <cell r="A312" t="str">
            <v xml:space="preserve">KQ4/0 </v>
          </cell>
          <cell r="B312" t="str">
            <v>04.3007</v>
          </cell>
          <cell r="C312" t="str">
            <v>Kẹp quai 4/0 + chụp cách điện</v>
          </cell>
          <cell r="D312" t="str">
            <v>cái</v>
          </cell>
          <cell r="E312" t="str">
            <v>KQ</v>
          </cell>
          <cell r="F312">
            <v>50</v>
          </cell>
          <cell r="G312" t="str">
            <v>x</v>
          </cell>
          <cell r="J312" t="str">
            <v xml:space="preserve">KQ4/0 </v>
          </cell>
        </row>
        <row r="313">
          <cell r="A313" t="str">
            <v>KH2/0</v>
          </cell>
          <cell r="B313" t="str">
            <v>04.3007</v>
          </cell>
          <cell r="C313" t="str">
            <v>Kẹp hotline 2/0</v>
          </cell>
          <cell r="D313" t="str">
            <v>cái</v>
          </cell>
          <cell r="E313" t="str">
            <v>KH</v>
          </cell>
          <cell r="F313">
            <v>50</v>
          </cell>
          <cell r="G313" t="str">
            <v>x</v>
          </cell>
          <cell r="J313" t="str">
            <v>KH2/0</v>
          </cell>
        </row>
        <row r="314">
          <cell r="A314" t="str">
            <v>KH4/0</v>
          </cell>
          <cell r="B314" t="str">
            <v>04.3007</v>
          </cell>
          <cell r="C314" t="str">
            <v>Kẹp hotline 4/0</v>
          </cell>
          <cell r="D314" t="str">
            <v>cái</v>
          </cell>
          <cell r="E314" t="str">
            <v>KH</v>
          </cell>
          <cell r="F314">
            <v>50</v>
          </cell>
          <cell r="G314" t="str">
            <v>x</v>
          </cell>
          <cell r="J314" t="str">
            <v>KH4/0</v>
          </cell>
        </row>
        <row r="315">
          <cell r="A315" t="str">
            <v>KH350M</v>
          </cell>
          <cell r="B315" t="str">
            <v>04.3007</v>
          </cell>
          <cell r="C315" t="str">
            <v>Kẹp hotline 350MCM</v>
          </cell>
          <cell r="D315" t="str">
            <v>cái</v>
          </cell>
          <cell r="E315" t="str">
            <v>KH</v>
          </cell>
          <cell r="F315">
            <v>50</v>
          </cell>
          <cell r="G315" t="str">
            <v>x</v>
          </cell>
          <cell r="J315" t="str">
            <v>KH350M</v>
          </cell>
        </row>
        <row r="316">
          <cell r="A316" t="str">
            <v>KEU35</v>
          </cell>
          <cell r="C316" t="str">
            <v>Kẹp U bolt dây 35mm2</v>
          </cell>
          <cell r="D316" t="str">
            <v>cái</v>
          </cell>
          <cell r="E316" t="str">
            <v>KE</v>
          </cell>
          <cell r="F316">
            <v>50</v>
          </cell>
          <cell r="G316" t="str">
            <v>x</v>
          </cell>
          <cell r="J316" t="str">
            <v>KEU35</v>
          </cell>
        </row>
        <row r="317">
          <cell r="A317" t="str">
            <v>KEU50</v>
          </cell>
          <cell r="C317" t="str">
            <v>Kẹp U bolt dây 50mm2</v>
          </cell>
          <cell r="D317" t="str">
            <v>cái</v>
          </cell>
          <cell r="E317" t="str">
            <v>KE</v>
          </cell>
          <cell r="F317">
            <v>50</v>
          </cell>
          <cell r="G317" t="str">
            <v>x</v>
          </cell>
          <cell r="J317" t="str">
            <v>KEU50</v>
          </cell>
        </row>
        <row r="318">
          <cell r="A318" t="str">
            <v>KEU70</v>
          </cell>
          <cell r="C318" t="str">
            <v>Kẹp U bolt dây 70mm2</v>
          </cell>
          <cell r="D318" t="str">
            <v>cái</v>
          </cell>
          <cell r="E318" t="str">
            <v>KE</v>
          </cell>
          <cell r="F318">
            <v>50</v>
          </cell>
          <cell r="G318" t="str">
            <v>x</v>
          </cell>
          <cell r="J318" t="str">
            <v>KEU70</v>
          </cell>
        </row>
        <row r="319">
          <cell r="A319" t="str">
            <v>KEU95</v>
          </cell>
          <cell r="C319" t="str">
            <v>Kẹp U bolt dây 95mm2</v>
          </cell>
          <cell r="D319" t="str">
            <v>cái</v>
          </cell>
          <cell r="E319" t="str">
            <v>KE</v>
          </cell>
          <cell r="F319">
            <v>50</v>
          </cell>
          <cell r="G319" t="str">
            <v>x</v>
          </cell>
          <cell r="J319" t="str">
            <v>KEU95</v>
          </cell>
        </row>
        <row r="320">
          <cell r="A320" t="str">
            <v>Kd50</v>
          </cell>
          <cell r="C320" t="str">
            <v>Khóa đỡ dây cỡ dây 50</v>
          </cell>
          <cell r="D320" t="str">
            <v>cái</v>
          </cell>
          <cell r="E320" t="str">
            <v>Kd</v>
          </cell>
          <cell r="F320">
            <v>50</v>
          </cell>
          <cell r="G320" t="str">
            <v>x</v>
          </cell>
          <cell r="J320" t="str">
            <v>Kd50</v>
          </cell>
        </row>
        <row r="321">
          <cell r="A321" t="str">
            <v>Kd70</v>
          </cell>
          <cell r="C321" t="str">
            <v>Khóa đỡ dây cỡ dây 70</v>
          </cell>
          <cell r="D321" t="str">
            <v>cái</v>
          </cell>
          <cell r="E321" t="str">
            <v>Kd</v>
          </cell>
          <cell r="F321">
            <v>50</v>
          </cell>
          <cell r="G321" t="str">
            <v>x</v>
          </cell>
          <cell r="J321" t="str">
            <v>Kd70</v>
          </cell>
        </row>
        <row r="322">
          <cell r="A322" t="str">
            <v>Kd95</v>
          </cell>
          <cell r="C322" t="str">
            <v>Khóa đỡ dây cỡ dây 95</v>
          </cell>
          <cell r="D322" t="str">
            <v>cái</v>
          </cell>
          <cell r="E322" t="str">
            <v>Kd</v>
          </cell>
          <cell r="F322">
            <v>50</v>
          </cell>
          <cell r="G322" t="str">
            <v>x</v>
          </cell>
          <cell r="J322" t="str">
            <v>Kd95</v>
          </cell>
        </row>
        <row r="323">
          <cell r="A323" t="str">
            <v>Kd120</v>
          </cell>
          <cell r="C323" t="str">
            <v>Khóa đỡ dây cỡ dây 120</v>
          </cell>
          <cell r="D323" t="str">
            <v>cái</v>
          </cell>
          <cell r="E323" t="str">
            <v>Kd</v>
          </cell>
          <cell r="F323">
            <v>50</v>
          </cell>
          <cell r="G323" t="str">
            <v>x</v>
          </cell>
          <cell r="J323" t="str">
            <v>Kd120</v>
          </cell>
        </row>
        <row r="324">
          <cell r="A324" t="str">
            <v>Kd150</v>
          </cell>
          <cell r="C324" t="str">
            <v>Khóa đỡ dây cỡ dây 150</v>
          </cell>
          <cell r="D324" t="str">
            <v>cái</v>
          </cell>
          <cell r="E324" t="str">
            <v>Kd</v>
          </cell>
          <cell r="F324">
            <v>50</v>
          </cell>
          <cell r="G324" t="str">
            <v>x</v>
          </cell>
          <cell r="J324" t="str">
            <v>Kd150</v>
          </cell>
        </row>
        <row r="325">
          <cell r="A325" t="str">
            <v>Kd185</v>
          </cell>
          <cell r="C325" t="str">
            <v>Khóa đỡ dây cỡ dây 185</v>
          </cell>
          <cell r="D325" t="str">
            <v>cái</v>
          </cell>
          <cell r="E325" t="str">
            <v>Kd</v>
          </cell>
          <cell r="F325">
            <v>50</v>
          </cell>
          <cell r="G325" t="str">
            <v>x</v>
          </cell>
          <cell r="J325" t="str">
            <v>Kd185</v>
          </cell>
        </row>
        <row r="326">
          <cell r="A326" t="str">
            <v>Kd240</v>
          </cell>
          <cell r="C326" t="str">
            <v>Khóa đỡ dây cỡ dây 240</v>
          </cell>
          <cell r="D326" t="str">
            <v>cái</v>
          </cell>
          <cell r="E326" t="str">
            <v>Kd</v>
          </cell>
          <cell r="F326">
            <v>50</v>
          </cell>
          <cell r="G326" t="str">
            <v>x</v>
          </cell>
          <cell r="J326" t="str">
            <v>Kd240</v>
          </cell>
        </row>
        <row r="327">
          <cell r="A327" t="str">
            <v>KD357</v>
          </cell>
          <cell r="C327" t="str">
            <v>Khóa đỡ Đ357</v>
          </cell>
          <cell r="D327" t="str">
            <v>cái</v>
          </cell>
          <cell r="E327" t="str">
            <v>KD</v>
          </cell>
          <cell r="F327">
            <v>50</v>
          </cell>
          <cell r="G327" t="str">
            <v>x</v>
          </cell>
          <cell r="J327" t="str">
            <v>KD357</v>
          </cell>
        </row>
        <row r="328">
          <cell r="A328" t="str">
            <v>KD912</v>
          </cell>
          <cell r="C328" t="str">
            <v>Khóa đỡ Đ912</v>
          </cell>
          <cell r="D328" t="str">
            <v>cái</v>
          </cell>
          <cell r="E328" t="str">
            <v>KD</v>
          </cell>
          <cell r="F328">
            <v>50</v>
          </cell>
          <cell r="G328" t="str">
            <v>x</v>
          </cell>
          <cell r="J328" t="str">
            <v>KD912</v>
          </cell>
        </row>
        <row r="329">
          <cell r="A329" t="str">
            <v>KD158</v>
          </cell>
          <cell r="C329" t="str">
            <v>Khóa đỡ Đ158</v>
          </cell>
          <cell r="D329" t="str">
            <v>cái</v>
          </cell>
          <cell r="E329" t="str">
            <v>KD</v>
          </cell>
          <cell r="F329">
            <v>50</v>
          </cell>
          <cell r="G329" t="str">
            <v>x</v>
          </cell>
          <cell r="J329" t="str">
            <v>KD158</v>
          </cell>
        </row>
        <row r="330">
          <cell r="A330" t="str">
            <v>KN35</v>
          </cell>
          <cell r="C330" t="str">
            <v>Khóa néo dây cỡ dây 35</v>
          </cell>
          <cell r="D330" t="str">
            <v>cái</v>
          </cell>
          <cell r="E330" t="str">
            <v>KN</v>
          </cell>
          <cell r="F330">
            <v>50</v>
          </cell>
          <cell r="G330" t="str">
            <v>x</v>
          </cell>
          <cell r="J330" t="str">
            <v>KN35</v>
          </cell>
        </row>
        <row r="331">
          <cell r="A331" t="str">
            <v>KN50</v>
          </cell>
          <cell r="C331" t="str">
            <v>Khóa néo dây cỡ dây 50</v>
          </cell>
          <cell r="D331" t="str">
            <v>cái</v>
          </cell>
          <cell r="E331" t="str">
            <v>KN</v>
          </cell>
          <cell r="F331">
            <v>50</v>
          </cell>
          <cell r="G331" t="str">
            <v>x</v>
          </cell>
          <cell r="J331" t="str">
            <v>KN50</v>
          </cell>
        </row>
        <row r="332">
          <cell r="A332" t="str">
            <v>KN70</v>
          </cell>
          <cell r="C332" t="str">
            <v>Khóa néo dây cỡ dây 70</v>
          </cell>
          <cell r="D332" t="str">
            <v>cái</v>
          </cell>
          <cell r="E332" t="str">
            <v>KN</v>
          </cell>
          <cell r="F332">
            <v>50</v>
          </cell>
          <cell r="G332" t="str">
            <v>x</v>
          </cell>
          <cell r="J332" t="str">
            <v>KN70</v>
          </cell>
        </row>
        <row r="333">
          <cell r="A333" t="str">
            <v>KN95</v>
          </cell>
          <cell r="C333" t="str">
            <v>Khóa néo dây cỡ dây 95</v>
          </cell>
          <cell r="D333" t="str">
            <v>cái</v>
          </cell>
          <cell r="E333" t="str">
            <v>KN</v>
          </cell>
          <cell r="F333">
            <v>50</v>
          </cell>
          <cell r="G333" t="str">
            <v>x</v>
          </cell>
          <cell r="J333" t="str">
            <v>KN95</v>
          </cell>
        </row>
        <row r="334">
          <cell r="A334" t="str">
            <v>KN120</v>
          </cell>
          <cell r="C334" t="str">
            <v>Khóa néo dây cỡ dây 120</v>
          </cell>
          <cell r="D334" t="str">
            <v>cái</v>
          </cell>
          <cell r="E334" t="str">
            <v>KN</v>
          </cell>
          <cell r="F334">
            <v>50</v>
          </cell>
          <cell r="G334" t="str">
            <v>x</v>
          </cell>
          <cell r="J334" t="str">
            <v>KN120</v>
          </cell>
        </row>
        <row r="335">
          <cell r="A335" t="str">
            <v>KN150</v>
          </cell>
          <cell r="C335" t="str">
            <v>Khóa néo dây cỡ dây 150</v>
          </cell>
          <cell r="D335" t="str">
            <v>cái</v>
          </cell>
          <cell r="E335" t="str">
            <v>KN</v>
          </cell>
          <cell r="F335">
            <v>50</v>
          </cell>
          <cell r="G335" t="str">
            <v>x</v>
          </cell>
          <cell r="J335" t="str">
            <v>KN150</v>
          </cell>
        </row>
        <row r="336">
          <cell r="A336" t="str">
            <v>KN185</v>
          </cell>
          <cell r="C336" t="str">
            <v>Khóa néo dây cỡ dây 185</v>
          </cell>
          <cell r="D336" t="str">
            <v>cái</v>
          </cell>
          <cell r="E336" t="str">
            <v>KN</v>
          </cell>
          <cell r="F336">
            <v>50</v>
          </cell>
          <cell r="G336" t="str">
            <v>x</v>
          </cell>
          <cell r="J336" t="str">
            <v>KN185</v>
          </cell>
        </row>
        <row r="337">
          <cell r="A337" t="str">
            <v>KN240</v>
          </cell>
          <cell r="C337" t="str">
            <v>Khóa néo dây cỡ dây 240</v>
          </cell>
          <cell r="D337" t="str">
            <v>cái</v>
          </cell>
          <cell r="E337" t="str">
            <v>KN</v>
          </cell>
          <cell r="F337">
            <v>50</v>
          </cell>
          <cell r="G337" t="str">
            <v>x</v>
          </cell>
          <cell r="J337" t="str">
            <v>KN240</v>
          </cell>
        </row>
        <row r="338">
          <cell r="A338" t="str">
            <v>KN158</v>
          </cell>
          <cell r="C338" t="str">
            <v>Khóa néo N158</v>
          </cell>
          <cell r="D338" t="str">
            <v>cái</v>
          </cell>
          <cell r="E338" t="str">
            <v>KN</v>
          </cell>
          <cell r="F338">
            <v>50</v>
          </cell>
          <cell r="G338" t="str">
            <v>x</v>
          </cell>
          <cell r="J338" t="str">
            <v>KN158</v>
          </cell>
        </row>
        <row r="339">
          <cell r="A339" t="str">
            <v>KN912</v>
          </cell>
          <cell r="C339" t="str">
            <v>Khóa néo N912</v>
          </cell>
          <cell r="D339" t="str">
            <v>cái</v>
          </cell>
          <cell r="E339" t="str">
            <v>KN</v>
          </cell>
          <cell r="F339">
            <v>50</v>
          </cell>
          <cell r="G339" t="str">
            <v>x</v>
          </cell>
          <cell r="J339" t="str">
            <v>KN912</v>
          </cell>
        </row>
        <row r="340">
          <cell r="A340" t="str">
            <v>KN357</v>
          </cell>
          <cell r="C340" t="str">
            <v>Khóa néo N357</v>
          </cell>
          <cell r="D340" t="str">
            <v>cái</v>
          </cell>
          <cell r="E340" t="str">
            <v>KN</v>
          </cell>
          <cell r="F340">
            <v>50</v>
          </cell>
          <cell r="G340" t="str">
            <v>x</v>
          </cell>
          <cell r="J340" t="str">
            <v>KN357</v>
          </cell>
        </row>
        <row r="341">
          <cell r="A341" t="str">
            <v>GNIU</v>
          </cell>
          <cell r="C341" t="str">
            <v>Giáp níu dừng dây bọc ACX50</v>
          </cell>
          <cell r="D341" t="str">
            <v>cái</v>
          </cell>
          <cell r="E341" t="str">
            <v>GN</v>
          </cell>
          <cell r="F341">
            <v>50</v>
          </cell>
          <cell r="G341" t="str">
            <v>x</v>
          </cell>
          <cell r="J341" t="str">
            <v>GNIU</v>
          </cell>
        </row>
        <row r="342">
          <cell r="A342" t="str">
            <v>MANG</v>
          </cell>
          <cell r="C342" t="str">
            <v>Máng che dây chằng dày 1,6mm</v>
          </cell>
          <cell r="D342" t="str">
            <v>cái</v>
          </cell>
          <cell r="E342" t="str">
            <v>MA</v>
          </cell>
          <cell r="F342">
            <v>50</v>
          </cell>
          <cell r="G342" t="str">
            <v>x</v>
          </cell>
          <cell r="J342" t="str">
            <v>MANG</v>
          </cell>
        </row>
        <row r="343">
          <cell r="A343" t="str">
            <v>MND</v>
          </cell>
          <cell r="C343" t="str">
            <v>Mắt nối đơn</v>
          </cell>
          <cell r="D343" t="str">
            <v>cái</v>
          </cell>
          <cell r="E343" t="str">
            <v>MN</v>
          </cell>
          <cell r="F343">
            <v>50</v>
          </cell>
          <cell r="G343" t="str">
            <v>x</v>
          </cell>
          <cell r="J343" t="str">
            <v>MND</v>
          </cell>
        </row>
        <row r="344">
          <cell r="A344" t="str">
            <v>MNTG</v>
          </cell>
          <cell r="C344" t="str">
            <v xml:space="preserve">Mắt nối t/ gian </v>
          </cell>
          <cell r="D344" t="str">
            <v>cái</v>
          </cell>
          <cell r="E344" t="str">
            <v>MN</v>
          </cell>
          <cell r="F344">
            <v>50</v>
          </cell>
          <cell r="G344" t="str">
            <v>x</v>
          </cell>
          <cell r="J344" t="str">
            <v>MNTG</v>
          </cell>
        </row>
        <row r="345">
          <cell r="A345" t="str">
            <v>MT</v>
          </cell>
          <cell r="C345" t="str">
            <v xml:space="preserve">Móc treo chữ U </v>
          </cell>
          <cell r="D345" t="str">
            <v>cái</v>
          </cell>
          <cell r="E345" t="str">
            <v>MT</v>
          </cell>
          <cell r="F345">
            <v>50</v>
          </cell>
          <cell r="G345" t="str">
            <v>x</v>
          </cell>
          <cell r="J345" t="str">
            <v>MT</v>
          </cell>
        </row>
        <row r="346">
          <cell r="A346" t="str">
            <v>MT61A</v>
          </cell>
          <cell r="C346" t="str">
            <v>Móc treo CK61A</v>
          </cell>
          <cell r="D346" t="str">
            <v>cái</v>
          </cell>
          <cell r="E346" t="str">
            <v>MT</v>
          </cell>
          <cell r="F346">
            <v>50</v>
          </cell>
          <cell r="G346" t="str">
            <v>x</v>
          </cell>
          <cell r="J346" t="str">
            <v>MT61A</v>
          </cell>
        </row>
        <row r="347">
          <cell r="A347" t="str">
            <v>VT</v>
          </cell>
          <cell r="C347" t="str">
            <v>Vòng treo đầu tròn</v>
          </cell>
          <cell r="D347" t="str">
            <v>cái</v>
          </cell>
          <cell r="E347" t="str">
            <v>VT</v>
          </cell>
          <cell r="F347">
            <v>50</v>
          </cell>
          <cell r="G347" t="str">
            <v>x</v>
          </cell>
          <cell r="J347" t="str">
            <v>VT</v>
          </cell>
        </row>
        <row r="348">
          <cell r="A348" t="str">
            <v>ON240A</v>
          </cell>
          <cell r="C348" t="str">
            <v>Ống nối dây A-240</v>
          </cell>
          <cell r="D348" t="str">
            <v>cái</v>
          </cell>
          <cell r="E348" t="str">
            <v>ON</v>
          </cell>
          <cell r="F348">
            <v>50</v>
          </cell>
          <cell r="G348" t="str">
            <v>x</v>
          </cell>
          <cell r="J348" t="str">
            <v>ON240A</v>
          </cell>
        </row>
        <row r="349">
          <cell r="A349" t="str">
            <v>ON185A</v>
          </cell>
          <cell r="C349" t="str">
            <v>Ống nối dây A-185</v>
          </cell>
          <cell r="D349" t="str">
            <v>cái</v>
          </cell>
          <cell r="E349" t="str">
            <v>ON</v>
          </cell>
          <cell r="F349">
            <v>50</v>
          </cell>
          <cell r="G349" t="str">
            <v>x</v>
          </cell>
          <cell r="J349" t="str">
            <v>ON185A</v>
          </cell>
        </row>
        <row r="350">
          <cell r="A350" t="str">
            <v>ON120A</v>
          </cell>
          <cell r="C350" t="str">
            <v>Ống nối dây A-120</v>
          </cell>
          <cell r="D350" t="str">
            <v>cái</v>
          </cell>
          <cell r="E350" t="str">
            <v>ON</v>
          </cell>
          <cell r="F350">
            <v>50</v>
          </cell>
          <cell r="G350" t="str">
            <v>x</v>
          </cell>
          <cell r="J350" t="str">
            <v>ON120A</v>
          </cell>
        </row>
        <row r="351">
          <cell r="A351" t="str">
            <v>ON95A</v>
          </cell>
          <cell r="C351" t="str">
            <v>Ống nối dây A-95</v>
          </cell>
          <cell r="D351" t="str">
            <v>cái</v>
          </cell>
          <cell r="E351" t="str">
            <v>ON</v>
          </cell>
          <cell r="F351">
            <v>50</v>
          </cell>
          <cell r="G351" t="str">
            <v>x</v>
          </cell>
          <cell r="J351" t="str">
            <v>ON95A</v>
          </cell>
        </row>
        <row r="352">
          <cell r="A352" t="str">
            <v>ON70A</v>
          </cell>
          <cell r="C352" t="str">
            <v>Ống nối dây A-70</v>
          </cell>
          <cell r="D352" t="str">
            <v>cái</v>
          </cell>
          <cell r="E352" t="str">
            <v>ON</v>
          </cell>
          <cell r="F352">
            <v>50</v>
          </cell>
          <cell r="G352" t="str">
            <v>x</v>
          </cell>
          <cell r="J352" t="str">
            <v>ON70A</v>
          </cell>
        </row>
        <row r="353">
          <cell r="A353" t="str">
            <v>ON50A</v>
          </cell>
          <cell r="C353" t="str">
            <v>Ống nối dây A-50</v>
          </cell>
          <cell r="D353" t="str">
            <v>cái</v>
          </cell>
          <cell r="E353" t="str">
            <v>ON</v>
          </cell>
          <cell r="F353">
            <v>50</v>
          </cell>
          <cell r="G353" t="str">
            <v>x</v>
          </cell>
          <cell r="J353" t="str">
            <v>ON50A</v>
          </cell>
        </row>
        <row r="354">
          <cell r="A354" t="str">
            <v>ON35A</v>
          </cell>
          <cell r="C354" t="str">
            <v>Ống nối dây A-35</v>
          </cell>
          <cell r="D354" t="str">
            <v>cái</v>
          </cell>
          <cell r="E354" t="str">
            <v>ON</v>
          </cell>
          <cell r="F354">
            <v>50</v>
          </cell>
          <cell r="G354" t="str">
            <v>x</v>
          </cell>
          <cell r="J354" t="str">
            <v>ON35A</v>
          </cell>
        </row>
        <row r="355">
          <cell r="A355" t="str">
            <v>ON35</v>
          </cell>
          <cell r="C355" t="str">
            <v>Ống nối dây cỡ 35mm2</v>
          </cell>
          <cell r="D355" t="str">
            <v>cái</v>
          </cell>
          <cell r="E355" t="str">
            <v>ON</v>
          </cell>
          <cell r="F355">
            <v>50</v>
          </cell>
          <cell r="G355" t="str">
            <v>x</v>
          </cell>
          <cell r="J355" t="str">
            <v>ON35</v>
          </cell>
        </row>
        <row r="356">
          <cell r="A356" t="str">
            <v>ON50</v>
          </cell>
          <cell r="C356" t="str">
            <v>Ống nối dây cỡ 50mm2</v>
          </cell>
          <cell r="D356" t="str">
            <v>cái</v>
          </cell>
          <cell r="E356" t="str">
            <v>ON</v>
          </cell>
          <cell r="F356">
            <v>50</v>
          </cell>
          <cell r="G356" t="str">
            <v>x</v>
          </cell>
          <cell r="J356" t="str">
            <v>ON50</v>
          </cell>
        </row>
        <row r="357">
          <cell r="A357" t="str">
            <v>ON70</v>
          </cell>
          <cell r="C357" t="str">
            <v>Ống nối dây cỡ 70mm2</v>
          </cell>
          <cell r="D357" t="str">
            <v>cái</v>
          </cell>
          <cell r="E357" t="str">
            <v>ON</v>
          </cell>
          <cell r="F357">
            <v>50</v>
          </cell>
          <cell r="G357" t="str">
            <v>x</v>
          </cell>
          <cell r="J357" t="str">
            <v>ON70</v>
          </cell>
        </row>
        <row r="358">
          <cell r="A358" t="str">
            <v>ON95</v>
          </cell>
          <cell r="C358" t="str">
            <v>Ống nối dây cỡ 95mm2</v>
          </cell>
          <cell r="D358" t="str">
            <v>cái</v>
          </cell>
          <cell r="E358" t="str">
            <v>ON</v>
          </cell>
          <cell r="F358">
            <v>50</v>
          </cell>
          <cell r="G358" t="str">
            <v>x</v>
          </cell>
          <cell r="J358" t="str">
            <v>ON95</v>
          </cell>
        </row>
        <row r="359">
          <cell r="A359" t="str">
            <v>ON120</v>
          </cell>
          <cell r="C359" t="str">
            <v>Ống nối dây cỡ 120mm2</v>
          </cell>
          <cell r="D359" t="str">
            <v>cái</v>
          </cell>
          <cell r="E359" t="str">
            <v>ON</v>
          </cell>
          <cell r="F359">
            <v>50</v>
          </cell>
          <cell r="G359" t="str">
            <v>x</v>
          </cell>
          <cell r="J359" t="str">
            <v>ON120</v>
          </cell>
        </row>
        <row r="360">
          <cell r="A360" t="str">
            <v>ON150</v>
          </cell>
          <cell r="C360" t="str">
            <v>Ống nối dây cỡ 150mm2</v>
          </cell>
          <cell r="D360" t="str">
            <v>cái</v>
          </cell>
          <cell r="E360" t="str">
            <v>ON</v>
          </cell>
          <cell r="F360">
            <v>50</v>
          </cell>
          <cell r="G360" t="str">
            <v>x</v>
          </cell>
          <cell r="J360" t="str">
            <v>ON150</v>
          </cell>
        </row>
        <row r="361">
          <cell r="A361" t="str">
            <v>ON185</v>
          </cell>
          <cell r="C361" t="str">
            <v>Ống nối dây cỡ 185mm2</v>
          </cell>
          <cell r="D361" t="str">
            <v>cái</v>
          </cell>
          <cell r="E361" t="str">
            <v>ON</v>
          </cell>
          <cell r="F361">
            <v>50</v>
          </cell>
          <cell r="G361" t="str">
            <v>x</v>
          </cell>
          <cell r="J361" t="str">
            <v>ON185</v>
          </cell>
        </row>
        <row r="362">
          <cell r="A362" t="str">
            <v>ON240</v>
          </cell>
          <cell r="C362" t="str">
            <v>Ống nối dây cỡ 240mm2</v>
          </cell>
          <cell r="D362" t="str">
            <v>cái</v>
          </cell>
          <cell r="E362" t="str">
            <v>ON</v>
          </cell>
          <cell r="F362">
            <v>50</v>
          </cell>
          <cell r="G362" t="str">
            <v>x</v>
          </cell>
          <cell r="J362" t="str">
            <v>ON240</v>
          </cell>
        </row>
        <row r="363">
          <cell r="A363" t="str">
            <v>ON50B</v>
          </cell>
          <cell r="C363" t="str">
            <v>Ống nối dây chịu sức căng cỡ 50mm2</v>
          </cell>
          <cell r="D363" t="str">
            <v>cái</v>
          </cell>
          <cell r="E363" t="str">
            <v>ON</v>
          </cell>
          <cell r="F363">
            <v>50</v>
          </cell>
          <cell r="G363" t="str">
            <v>x</v>
          </cell>
          <cell r="J363" t="str">
            <v>ON50B</v>
          </cell>
        </row>
        <row r="364">
          <cell r="A364" t="str">
            <v>PU</v>
          </cell>
          <cell r="C364" t="str">
            <v>Puli</v>
          </cell>
          <cell r="D364" t="str">
            <v>cái</v>
          </cell>
          <cell r="E364" t="str">
            <v>PU</v>
          </cell>
          <cell r="F364">
            <v>50</v>
          </cell>
          <cell r="G364" t="str">
            <v>x</v>
          </cell>
          <cell r="J364" t="str">
            <v>PU</v>
          </cell>
        </row>
        <row r="365">
          <cell r="A365" t="str">
            <v>R1</v>
          </cell>
          <cell r="C365" t="str">
            <v>Uclevis + sứ ống chỉ</v>
          </cell>
          <cell r="D365" t="str">
            <v>bộ</v>
          </cell>
          <cell r="E365" t="str">
            <v>R1</v>
          </cell>
          <cell r="F365">
            <v>50</v>
          </cell>
          <cell r="G365" t="str">
            <v>x</v>
          </cell>
          <cell r="J365" t="str">
            <v>R1</v>
          </cell>
        </row>
        <row r="366">
          <cell r="A366" t="str">
            <v>R2</v>
          </cell>
          <cell r="C366" t="str">
            <v>Rack 2 sứ + sứ ống chỉ</v>
          </cell>
          <cell r="D366" t="str">
            <v>bộ</v>
          </cell>
          <cell r="E366" t="str">
            <v>R2</v>
          </cell>
          <cell r="F366">
            <v>50</v>
          </cell>
          <cell r="G366" t="str">
            <v>x</v>
          </cell>
          <cell r="J366" t="str">
            <v>R2</v>
          </cell>
        </row>
        <row r="367">
          <cell r="A367" t="str">
            <v>R3</v>
          </cell>
          <cell r="C367" t="str">
            <v>Rack 3 sứ + sứ ống chỉ</v>
          </cell>
          <cell r="D367" t="str">
            <v>bộ</v>
          </cell>
          <cell r="E367" t="str">
            <v>R3</v>
          </cell>
          <cell r="F367">
            <v>50</v>
          </cell>
          <cell r="G367" t="str">
            <v>x</v>
          </cell>
          <cell r="J367" t="str">
            <v>R3</v>
          </cell>
        </row>
        <row r="368">
          <cell r="A368" t="str">
            <v>R4</v>
          </cell>
          <cell r="C368" t="str">
            <v>Rack 4</v>
          </cell>
          <cell r="D368" t="str">
            <v>cái</v>
          </cell>
          <cell r="E368" t="str">
            <v>R4</v>
          </cell>
          <cell r="F368">
            <v>50</v>
          </cell>
          <cell r="G368" t="str">
            <v>x</v>
          </cell>
          <cell r="J368" t="str">
            <v>R4</v>
          </cell>
        </row>
        <row r="369">
          <cell r="A369" t="str">
            <v>R4S</v>
          </cell>
          <cell r="C369" t="str">
            <v>Rack 4 sứ + sứ ống chỉ</v>
          </cell>
          <cell r="D369" t="str">
            <v>bộ</v>
          </cell>
          <cell r="E369" t="str">
            <v>R4</v>
          </cell>
          <cell r="F369">
            <v>50</v>
          </cell>
          <cell r="G369" t="str">
            <v>x</v>
          </cell>
          <cell r="J369" t="str">
            <v>R4S</v>
          </cell>
        </row>
        <row r="370">
          <cell r="A370" t="str">
            <v>SD</v>
          </cell>
          <cell r="C370" t="str">
            <v xml:space="preserve">Sứ đứng 24KV </v>
          </cell>
          <cell r="D370" t="str">
            <v>cái</v>
          </cell>
          <cell r="E370" t="str">
            <v>SD</v>
          </cell>
          <cell r="F370">
            <v>3</v>
          </cell>
          <cell r="G370" t="str">
            <v>x</v>
          </cell>
          <cell r="J370" t="str">
            <v>SD</v>
          </cell>
        </row>
        <row r="371">
          <cell r="A371" t="str">
            <v>SDC</v>
          </cell>
          <cell r="C371" t="str">
            <v>Sứ đứng 24KV ĐR 540mm (bọc chì)</v>
          </cell>
          <cell r="D371" t="str">
            <v>cái</v>
          </cell>
          <cell r="E371" t="str">
            <v>SD</v>
          </cell>
          <cell r="F371">
            <v>6</v>
          </cell>
          <cell r="G371" t="str">
            <v>x</v>
          </cell>
          <cell r="J371" t="str">
            <v>SDC</v>
          </cell>
        </row>
        <row r="372">
          <cell r="A372" t="str">
            <v>CSDC</v>
          </cell>
          <cell r="C372" t="str">
            <v>Chân sứ đứng D20-265 (bọc chì)</v>
          </cell>
          <cell r="D372" t="str">
            <v>cái</v>
          </cell>
          <cell r="E372" t="str">
            <v>CS</v>
          </cell>
          <cell r="F372">
            <v>6</v>
          </cell>
          <cell r="G372" t="str">
            <v>x</v>
          </cell>
          <cell r="J372" t="str">
            <v>CSDC</v>
          </cell>
        </row>
        <row r="373">
          <cell r="A373" t="str">
            <v>SD35</v>
          </cell>
          <cell r="C373" t="str">
            <v>Sứ đứng 35KV + ty</v>
          </cell>
          <cell r="D373" t="str">
            <v>bộ</v>
          </cell>
          <cell r="E373" t="str">
            <v>SD</v>
          </cell>
          <cell r="F373">
            <v>6</v>
          </cell>
          <cell r="G373" t="str">
            <v>x</v>
          </cell>
          <cell r="J373" t="str">
            <v>SD35</v>
          </cell>
        </row>
        <row r="374">
          <cell r="A374" t="str">
            <v>SDI35</v>
          </cell>
          <cell r="C374" t="str">
            <v>Sứ đứng 35KV + ty sứ đỉnh</v>
          </cell>
          <cell r="D374" t="str">
            <v>bộ</v>
          </cell>
          <cell r="E374" t="str">
            <v>SD</v>
          </cell>
          <cell r="F374">
            <v>6</v>
          </cell>
          <cell r="G374" t="str">
            <v>x</v>
          </cell>
          <cell r="J374" t="str">
            <v>SDI35</v>
          </cell>
        </row>
        <row r="375">
          <cell r="A375" t="str">
            <v>SDCM</v>
          </cell>
          <cell r="C375" t="str">
            <v>Sứ đứng 24KV chống nhiễm mặn</v>
          </cell>
          <cell r="D375" t="str">
            <v>cái</v>
          </cell>
          <cell r="E375" t="str">
            <v>SD</v>
          </cell>
          <cell r="F375">
            <v>6</v>
          </cell>
          <cell r="G375" t="str">
            <v>x</v>
          </cell>
          <cell r="J375" t="str">
            <v>SDCM</v>
          </cell>
        </row>
        <row r="376">
          <cell r="A376" t="str">
            <v>SN</v>
          </cell>
          <cell r="C376" t="str">
            <v>Sứ chằng</v>
          </cell>
          <cell r="D376" t="str">
            <v>cái</v>
          </cell>
          <cell r="E376" t="str">
            <v>SN</v>
          </cell>
          <cell r="F376">
            <v>50</v>
          </cell>
          <cell r="G376" t="str">
            <v>x</v>
          </cell>
          <cell r="J376" t="str">
            <v>SN</v>
          </cell>
        </row>
        <row r="377">
          <cell r="A377" t="str">
            <v>SOC</v>
          </cell>
          <cell r="C377" t="str">
            <v xml:space="preserve">Sứ ống chỉ </v>
          </cell>
          <cell r="D377" t="str">
            <v>cái</v>
          </cell>
          <cell r="E377" t="str">
            <v>SO</v>
          </cell>
          <cell r="F377">
            <v>50</v>
          </cell>
          <cell r="G377" t="str">
            <v>x</v>
          </cell>
          <cell r="J377" t="str">
            <v>SOC</v>
          </cell>
        </row>
        <row r="378">
          <cell r="A378" t="str">
            <v>ST</v>
          </cell>
          <cell r="C378" t="str">
            <v>Sứ treo loại 70kN</v>
          </cell>
          <cell r="D378" t="str">
            <v>bát</v>
          </cell>
          <cell r="E378" t="str">
            <v>ST</v>
          </cell>
          <cell r="F378">
            <v>50</v>
          </cell>
          <cell r="G378" t="str">
            <v>x</v>
          </cell>
          <cell r="J378" t="str">
            <v>ST</v>
          </cell>
        </row>
        <row r="379">
          <cell r="A379" t="str">
            <v>ST120</v>
          </cell>
          <cell r="C379" t="str">
            <v>Sứ treo loại 120kN</v>
          </cell>
          <cell r="D379" t="str">
            <v>bát</v>
          </cell>
          <cell r="E379" t="str">
            <v>ST</v>
          </cell>
          <cell r="F379">
            <v>50</v>
          </cell>
          <cell r="G379" t="str">
            <v>x</v>
          </cell>
          <cell r="J379" t="str">
            <v>ST120</v>
          </cell>
        </row>
        <row r="380">
          <cell r="A380" t="str">
            <v>STply</v>
          </cell>
          <cell r="C380" t="str">
            <v>Sứ treo polymer</v>
          </cell>
          <cell r="D380" t="str">
            <v>chuỗi</v>
          </cell>
          <cell r="E380" t="str">
            <v>ST</v>
          </cell>
          <cell r="F380">
            <v>3</v>
          </cell>
          <cell r="G380" t="str">
            <v>x</v>
          </cell>
          <cell r="J380" t="str">
            <v>STply</v>
          </cell>
        </row>
        <row r="381">
          <cell r="A381" t="str">
            <v>Stply-HT</v>
          </cell>
          <cell r="C381" t="str">
            <v>Sứ polymer cách điện hạ thế thanh cái tủ</v>
          </cell>
          <cell r="D381" t="str">
            <v>cái</v>
          </cell>
          <cell r="E381" t="str">
            <v>St</v>
          </cell>
          <cell r="F381">
            <v>50</v>
          </cell>
          <cell r="G381" t="str">
            <v>x</v>
          </cell>
          <cell r="J381" t="str">
            <v>Stply-HT</v>
          </cell>
        </row>
        <row r="382">
          <cell r="A382" t="str">
            <v>S40</v>
          </cell>
          <cell r="C382" t="str">
            <v>Sắt dẹt 40 x 4</v>
          </cell>
          <cell r="D382" t="str">
            <v>kg</v>
          </cell>
          <cell r="E382" t="str">
            <v>S4</v>
          </cell>
          <cell r="F382">
            <v>50</v>
          </cell>
          <cell r="G382" t="str">
            <v>x</v>
          </cell>
          <cell r="J382" t="str">
            <v>S40</v>
          </cell>
        </row>
        <row r="383">
          <cell r="A383" t="str">
            <v>S50</v>
          </cell>
          <cell r="C383" t="str">
            <v>Sắt dẹt 50x5</v>
          </cell>
          <cell r="D383" t="str">
            <v>kg</v>
          </cell>
          <cell r="E383" t="str">
            <v>S5</v>
          </cell>
          <cell r="F383">
            <v>50</v>
          </cell>
          <cell r="G383" t="str">
            <v>x</v>
          </cell>
          <cell r="J383" t="str">
            <v>S50</v>
          </cell>
        </row>
        <row r="384">
          <cell r="A384" t="str">
            <v>S60</v>
          </cell>
          <cell r="C384" t="str">
            <v>Sắt dẹt 60 x 6</v>
          </cell>
          <cell r="D384" t="str">
            <v>kg</v>
          </cell>
          <cell r="E384" t="str">
            <v>S6</v>
          </cell>
          <cell r="F384">
            <v>50</v>
          </cell>
          <cell r="G384" t="str">
            <v>x</v>
          </cell>
          <cell r="J384" t="str">
            <v>S60</v>
          </cell>
        </row>
        <row r="385">
          <cell r="A385" t="str">
            <v>S70</v>
          </cell>
          <cell r="C385" t="str">
            <v>Sắt dẹt 70 x 7</v>
          </cell>
          <cell r="D385" t="str">
            <v>kg</v>
          </cell>
          <cell r="E385" t="str">
            <v>S7</v>
          </cell>
          <cell r="F385">
            <v>50</v>
          </cell>
          <cell r="G385" t="str">
            <v>x</v>
          </cell>
          <cell r="J385" t="str">
            <v>S70</v>
          </cell>
        </row>
        <row r="386">
          <cell r="A386" t="str">
            <v>S806</v>
          </cell>
          <cell r="C386" t="str">
            <v>Sắt dẹt 80 x 6</v>
          </cell>
          <cell r="D386" t="str">
            <v>kg</v>
          </cell>
          <cell r="E386" t="str">
            <v>S8</v>
          </cell>
          <cell r="F386">
            <v>50</v>
          </cell>
          <cell r="G386" t="str">
            <v>x</v>
          </cell>
          <cell r="J386" t="str">
            <v>S806</v>
          </cell>
        </row>
        <row r="387">
          <cell r="A387" t="str">
            <v>S80</v>
          </cell>
          <cell r="C387" t="str">
            <v>Sắt dẹt 80 x 8</v>
          </cell>
          <cell r="D387" t="str">
            <v>kg</v>
          </cell>
          <cell r="E387" t="str">
            <v>S8</v>
          </cell>
          <cell r="F387">
            <v>50</v>
          </cell>
          <cell r="G387" t="str">
            <v>x</v>
          </cell>
          <cell r="J387" t="str">
            <v>S80</v>
          </cell>
        </row>
        <row r="388">
          <cell r="A388" t="str">
            <v>S1008</v>
          </cell>
          <cell r="C388" t="str">
            <v>Sắt dẹt 100 x 8</v>
          </cell>
          <cell r="D388" t="str">
            <v>kg</v>
          </cell>
          <cell r="E388" t="str">
            <v>S1</v>
          </cell>
          <cell r="F388">
            <v>50</v>
          </cell>
          <cell r="G388" t="str">
            <v>x</v>
          </cell>
          <cell r="J388" t="str">
            <v>S1008</v>
          </cell>
        </row>
        <row r="389">
          <cell r="A389" t="str">
            <v>SL32</v>
          </cell>
          <cell r="C389" t="str">
            <v>Sắt góc L32 x 32 x 3</v>
          </cell>
          <cell r="D389" t="str">
            <v>kg</v>
          </cell>
          <cell r="E389" t="str">
            <v>SL</v>
          </cell>
          <cell r="F389">
            <v>50</v>
          </cell>
          <cell r="G389" t="str">
            <v>x</v>
          </cell>
          <cell r="J389" t="str">
            <v>SL32</v>
          </cell>
        </row>
        <row r="390">
          <cell r="A390" t="str">
            <v>SL40</v>
          </cell>
          <cell r="C390" t="str">
            <v>Sắt góc L40 x40 x4</v>
          </cell>
          <cell r="D390" t="str">
            <v>kg</v>
          </cell>
          <cell r="E390" t="str">
            <v>SL</v>
          </cell>
          <cell r="F390">
            <v>50</v>
          </cell>
          <cell r="G390" t="str">
            <v>x</v>
          </cell>
          <cell r="J390" t="str">
            <v>SL40</v>
          </cell>
        </row>
        <row r="391">
          <cell r="A391" t="str">
            <v>SL45</v>
          </cell>
          <cell r="C391" t="str">
            <v>Sắt góc L45 x45 x 4</v>
          </cell>
          <cell r="D391" t="str">
            <v>kg</v>
          </cell>
          <cell r="E391" t="str">
            <v>SL</v>
          </cell>
          <cell r="F391">
            <v>50</v>
          </cell>
          <cell r="G391" t="str">
            <v>x</v>
          </cell>
          <cell r="J391" t="str">
            <v>SL45</v>
          </cell>
        </row>
        <row r="392">
          <cell r="A392" t="str">
            <v>SL50</v>
          </cell>
          <cell r="C392" t="str">
            <v>Sắt góc L50 x50 x5</v>
          </cell>
          <cell r="D392" t="str">
            <v>kg</v>
          </cell>
          <cell r="E392" t="str">
            <v>SL</v>
          </cell>
          <cell r="F392">
            <v>50</v>
          </cell>
          <cell r="G392" t="str">
            <v>x</v>
          </cell>
          <cell r="J392" t="str">
            <v>SL50</v>
          </cell>
        </row>
        <row r="393">
          <cell r="A393" t="str">
            <v>SL50-720</v>
          </cell>
          <cell r="C393" t="str">
            <v>Sắt góc L50 x50 x5 x720</v>
          </cell>
          <cell r="D393" t="str">
            <v>cái</v>
          </cell>
          <cell r="E393" t="str">
            <v>SL</v>
          </cell>
          <cell r="F393">
            <v>50</v>
          </cell>
          <cell r="G393" t="str">
            <v>x</v>
          </cell>
          <cell r="H393">
            <v>720</v>
          </cell>
          <cell r="J393" t="str">
            <v>SL50-720</v>
          </cell>
        </row>
        <row r="394">
          <cell r="A394" t="str">
            <v>SL50-810</v>
          </cell>
          <cell r="C394" t="str">
            <v>Sắt góc L50 x50 x5 - 810</v>
          </cell>
          <cell r="D394" t="str">
            <v>cái</v>
          </cell>
          <cell r="E394" t="str">
            <v>SL</v>
          </cell>
          <cell r="F394">
            <v>50</v>
          </cell>
          <cell r="G394" t="str">
            <v>x</v>
          </cell>
          <cell r="H394">
            <v>810</v>
          </cell>
          <cell r="J394" t="str">
            <v>SL50-810</v>
          </cell>
        </row>
        <row r="395">
          <cell r="A395" t="str">
            <v>SL50-920</v>
          </cell>
          <cell r="C395" t="str">
            <v>Sắt góc L50 x50 x5 x920</v>
          </cell>
          <cell r="D395" t="str">
            <v>cái</v>
          </cell>
          <cell r="E395" t="str">
            <v>SL</v>
          </cell>
          <cell r="F395">
            <v>50</v>
          </cell>
          <cell r="G395" t="str">
            <v>x</v>
          </cell>
          <cell r="H395">
            <v>920</v>
          </cell>
          <cell r="J395" t="str">
            <v>SL50-920</v>
          </cell>
        </row>
        <row r="396">
          <cell r="A396" t="str">
            <v>SL50-1190</v>
          </cell>
          <cell r="C396" t="str">
            <v>Sắt góc L50 x50 x5 x1190</v>
          </cell>
          <cell r="D396" t="str">
            <v>cái</v>
          </cell>
          <cell r="E396" t="str">
            <v>SL</v>
          </cell>
          <cell r="F396">
            <v>50</v>
          </cell>
          <cell r="G396" t="str">
            <v>x</v>
          </cell>
          <cell r="H396">
            <v>1190</v>
          </cell>
          <cell r="J396" t="str">
            <v>SL50-1190</v>
          </cell>
        </row>
        <row r="397">
          <cell r="A397" t="str">
            <v>SL50kg</v>
          </cell>
          <cell r="C397" t="str">
            <v>Sắt góc L50 x50 x5</v>
          </cell>
          <cell r="D397" t="str">
            <v>kg</v>
          </cell>
          <cell r="E397" t="str">
            <v>SL</v>
          </cell>
          <cell r="F397">
            <v>50</v>
          </cell>
          <cell r="G397" t="str">
            <v>x</v>
          </cell>
          <cell r="J397" t="str">
            <v>SL50kg</v>
          </cell>
        </row>
        <row r="398">
          <cell r="A398" t="str">
            <v>SL70</v>
          </cell>
          <cell r="C398" t="str">
            <v>Sắt góc L70 x70 x7</v>
          </cell>
          <cell r="D398" t="str">
            <v>kg</v>
          </cell>
          <cell r="E398" t="str">
            <v>SL</v>
          </cell>
          <cell r="F398">
            <v>50</v>
          </cell>
          <cell r="G398" t="str">
            <v>x</v>
          </cell>
          <cell r="J398" t="str">
            <v>SL70</v>
          </cell>
        </row>
        <row r="399">
          <cell r="A399" t="str">
            <v>SL75kg</v>
          </cell>
          <cell r="C399" t="str">
            <v>Sắt góc L75 x75 x8</v>
          </cell>
          <cell r="D399" t="str">
            <v>kg</v>
          </cell>
          <cell r="E399" t="str">
            <v>SL</v>
          </cell>
          <cell r="F399">
            <v>50</v>
          </cell>
          <cell r="G399" t="str">
            <v>x</v>
          </cell>
          <cell r="J399" t="str">
            <v>SL75kg</v>
          </cell>
        </row>
        <row r="400">
          <cell r="A400" t="str">
            <v>SL75</v>
          </cell>
          <cell r="C400" t="str">
            <v>Sắt góc L75 x75 x8</v>
          </cell>
          <cell r="D400" t="str">
            <v>kg</v>
          </cell>
          <cell r="E400" t="str">
            <v>SL</v>
          </cell>
          <cell r="F400">
            <v>50</v>
          </cell>
          <cell r="G400" t="str">
            <v>x</v>
          </cell>
          <cell r="J400" t="str">
            <v>SL75</v>
          </cell>
        </row>
        <row r="401">
          <cell r="A401" t="str">
            <v>SL75-1660</v>
          </cell>
          <cell r="C401" t="str">
            <v>Sắt góc L75 x75 x8 x1660</v>
          </cell>
          <cell r="D401" t="str">
            <v>cái</v>
          </cell>
          <cell r="E401" t="str">
            <v>SL</v>
          </cell>
          <cell r="F401">
            <v>50</v>
          </cell>
          <cell r="G401" t="str">
            <v>x</v>
          </cell>
          <cell r="H401">
            <v>1660</v>
          </cell>
          <cell r="J401" t="str">
            <v>SL75-1660</v>
          </cell>
        </row>
        <row r="402">
          <cell r="A402" t="str">
            <v>SL75-2000</v>
          </cell>
          <cell r="C402" t="str">
            <v>Sắt góc L75 x75 x8-2.200</v>
          </cell>
          <cell r="D402" t="str">
            <v>cái</v>
          </cell>
          <cell r="E402" t="str">
            <v>SL</v>
          </cell>
          <cell r="F402">
            <v>50</v>
          </cell>
          <cell r="G402" t="str">
            <v>x</v>
          </cell>
          <cell r="H402">
            <v>2000</v>
          </cell>
          <cell r="J402" t="str">
            <v>SL75-2000</v>
          </cell>
        </row>
        <row r="403">
          <cell r="A403" t="str">
            <v>SL75-1990</v>
          </cell>
          <cell r="C403" t="str">
            <v>Sắt góc L50 x50 x5-1990</v>
          </cell>
          <cell r="D403" t="str">
            <v>cái</v>
          </cell>
          <cell r="E403" t="str">
            <v>SL</v>
          </cell>
          <cell r="F403">
            <v>50</v>
          </cell>
          <cell r="G403" t="str">
            <v>x</v>
          </cell>
          <cell r="H403">
            <v>1990</v>
          </cell>
          <cell r="J403" t="str">
            <v>SL75-1990</v>
          </cell>
        </row>
        <row r="404">
          <cell r="A404" t="str">
            <v>SL75-2100</v>
          </cell>
          <cell r="C404" t="str">
            <v>Sắt góc L75 x75 x8-2100</v>
          </cell>
          <cell r="D404" t="str">
            <v>cái</v>
          </cell>
          <cell r="E404" t="str">
            <v>SL</v>
          </cell>
          <cell r="F404">
            <v>50</v>
          </cell>
          <cell r="G404" t="str">
            <v>x</v>
          </cell>
          <cell r="H404">
            <v>2100</v>
          </cell>
          <cell r="J404" t="str">
            <v>SL75-2100</v>
          </cell>
        </row>
        <row r="405">
          <cell r="A405" t="str">
            <v>SL75-2200</v>
          </cell>
          <cell r="C405" t="str">
            <v>Sắt góc L75 x75 x8 x2200</v>
          </cell>
          <cell r="D405" t="str">
            <v>cái</v>
          </cell>
          <cell r="E405" t="str">
            <v>SL</v>
          </cell>
          <cell r="F405">
            <v>50</v>
          </cell>
          <cell r="G405" t="str">
            <v>x</v>
          </cell>
          <cell r="H405">
            <v>2200</v>
          </cell>
          <cell r="J405" t="str">
            <v>SL75-2200</v>
          </cell>
        </row>
        <row r="406">
          <cell r="A406" t="str">
            <v>SL75-2400</v>
          </cell>
          <cell r="C406" t="str">
            <v>Sắt góc L75 x75 x8 x2400</v>
          </cell>
          <cell r="D406" t="str">
            <v>cái</v>
          </cell>
          <cell r="E406" t="str">
            <v>SL</v>
          </cell>
          <cell r="F406">
            <v>50</v>
          </cell>
          <cell r="G406" t="str">
            <v>x</v>
          </cell>
          <cell r="H406">
            <v>2400</v>
          </cell>
          <cell r="J406" t="str">
            <v>SL75-2400</v>
          </cell>
        </row>
        <row r="407">
          <cell r="A407" t="str">
            <v>SO6</v>
          </cell>
          <cell r="C407" t="str">
            <v>Sắt Ø6</v>
          </cell>
          <cell r="D407" t="str">
            <v>kg</v>
          </cell>
          <cell r="E407" t="str">
            <v>SO</v>
          </cell>
          <cell r="F407">
            <v>50</v>
          </cell>
          <cell r="G407" t="str">
            <v>x</v>
          </cell>
          <cell r="J407" t="str">
            <v>SO6</v>
          </cell>
        </row>
        <row r="408">
          <cell r="A408" t="str">
            <v>SO8</v>
          </cell>
          <cell r="C408" t="str">
            <v>Sắt Ø8</v>
          </cell>
          <cell r="D408" t="str">
            <v>kg</v>
          </cell>
          <cell r="E408" t="str">
            <v>SO</v>
          </cell>
          <cell r="F408">
            <v>50</v>
          </cell>
          <cell r="G408" t="str">
            <v>x</v>
          </cell>
          <cell r="J408" t="str">
            <v>SO8</v>
          </cell>
        </row>
        <row r="409">
          <cell r="A409" t="str">
            <v>SO10</v>
          </cell>
          <cell r="C409" t="str">
            <v>Sắt Ø10</v>
          </cell>
          <cell r="D409" t="str">
            <v>kg</v>
          </cell>
          <cell r="E409" t="str">
            <v>SO</v>
          </cell>
          <cell r="F409">
            <v>50</v>
          </cell>
          <cell r="G409" t="str">
            <v>x</v>
          </cell>
          <cell r="J409" t="str">
            <v>SO10</v>
          </cell>
        </row>
        <row r="410">
          <cell r="A410" t="str">
            <v>SO12</v>
          </cell>
          <cell r="C410" t="str">
            <v>Sắt Ø12</v>
          </cell>
          <cell r="D410" t="str">
            <v>kg</v>
          </cell>
          <cell r="E410" t="str">
            <v>SO</v>
          </cell>
          <cell r="F410">
            <v>50</v>
          </cell>
          <cell r="G410" t="str">
            <v>x</v>
          </cell>
          <cell r="J410" t="str">
            <v>SO12</v>
          </cell>
        </row>
        <row r="411">
          <cell r="A411" t="str">
            <v>SO16</v>
          </cell>
          <cell r="C411" t="str">
            <v>Sắt Ø16</v>
          </cell>
          <cell r="D411" t="str">
            <v>kg</v>
          </cell>
          <cell r="E411" t="str">
            <v>SO</v>
          </cell>
          <cell r="F411">
            <v>50</v>
          </cell>
          <cell r="G411" t="str">
            <v>x</v>
          </cell>
          <cell r="J411" t="str">
            <v>SO16</v>
          </cell>
        </row>
        <row r="412">
          <cell r="A412" t="str">
            <v>SO24</v>
          </cell>
          <cell r="C412" t="str">
            <v>Sắt Ø24</v>
          </cell>
          <cell r="D412" t="str">
            <v>kg</v>
          </cell>
          <cell r="E412" t="str">
            <v>SO</v>
          </cell>
          <cell r="F412">
            <v>50</v>
          </cell>
          <cell r="G412" t="str">
            <v>x</v>
          </cell>
          <cell r="J412" t="str">
            <v>SO24</v>
          </cell>
        </row>
        <row r="413">
          <cell r="A413" t="str">
            <v>EKE300</v>
          </cell>
          <cell r="C413" t="str">
            <v>Ê KE 5x300x300\Zn</v>
          </cell>
          <cell r="D413" t="str">
            <v>kg</v>
          </cell>
          <cell r="E413" t="str">
            <v>EK</v>
          </cell>
          <cell r="F413">
            <v>50</v>
          </cell>
          <cell r="G413" t="str">
            <v>x</v>
          </cell>
          <cell r="J413" t="str">
            <v>EKE300</v>
          </cell>
        </row>
        <row r="414">
          <cell r="A414" t="str">
            <v>thept6</v>
          </cell>
          <cell r="C414" t="str">
            <v>Thép tấm 6mm</v>
          </cell>
          <cell r="D414" t="str">
            <v>kg</v>
          </cell>
          <cell r="E414" t="str">
            <v>th</v>
          </cell>
          <cell r="F414">
            <v>50</v>
          </cell>
          <cell r="G414" t="str">
            <v>x</v>
          </cell>
          <cell r="J414" t="str">
            <v>thept6</v>
          </cell>
        </row>
        <row r="415">
          <cell r="A415" t="str">
            <v>thept5</v>
          </cell>
          <cell r="C415" t="str">
            <v>Thép tấm 5mm</v>
          </cell>
          <cell r="D415" t="str">
            <v>kg</v>
          </cell>
          <cell r="E415" t="str">
            <v>th</v>
          </cell>
          <cell r="F415">
            <v>50</v>
          </cell>
          <cell r="G415" t="str">
            <v>x</v>
          </cell>
          <cell r="J415" t="str">
            <v>thept5</v>
          </cell>
        </row>
        <row r="416">
          <cell r="A416" t="str">
            <v>thept4</v>
          </cell>
          <cell r="C416" t="str">
            <v>Thép tấm 4mm</v>
          </cell>
          <cell r="D416" t="str">
            <v>kg</v>
          </cell>
          <cell r="E416" t="str">
            <v>th</v>
          </cell>
          <cell r="F416">
            <v>50</v>
          </cell>
          <cell r="G416" t="str">
            <v>x</v>
          </cell>
          <cell r="J416" t="str">
            <v>thept4</v>
          </cell>
        </row>
        <row r="417">
          <cell r="A417" t="str">
            <v>thept2</v>
          </cell>
          <cell r="C417" t="str">
            <v>Thép tấm 2mm</v>
          </cell>
          <cell r="D417" t="str">
            <v>kg</v>
          </cell>
          <cell r="E417" t="str">
            <v>th</v>
          </cell>
          <cell r="F417">
            <v>50</v>
          </cell>
          <cell r="G417" t="str">
            <v>x</v>
          </cell>
          <cell r="J417" t="str">
            <v>thept2</v>
          </cell>
        </row>
        <row r="418">
          <cell r="A418" t="str">
            <v>CL</v>
          </cell>
          <cell r="C418" t="str">
            <v>Bộ chống chằng hẹp Ø60/50x1500+2BL12x40+BL16x250/80</v>
          </cell>
          <cell r="D418" t="str">
            <v>bộ</v>
          </cell>
          <cell r="E418" t="str">
            <v>CL</v>
          </cell>
          <cell r="F418">
            <v>50</v>
          </cell>
          <cell r="G418" t="str">
            <v>x</v>
          </cell>
          <cell r="J418" t="str">
            <v>CL</v>
          </cell>
        </row>
        <row r="419">
          <cell r="A419" t="str">
            <v>CLHT</v>
          </cell>
          <cell r="C419" t="str">
            <v>Bộ chống chằng hẹp Ø60/50x1200+2BL12x40+BL16x200/50</v>
          </cell>
          <cell r="D419" t="str">
            <v>bộ</v>
          </cell>
          <cell r="E419" t="str">
            <v>CL</v>
          </cell>
          <cell r="F419">
            <v>50</v>
          </cell>
          <cell r="G419" t="str">
            <v>x</v>
          </cell>
          <cell r="J419" t="str">
            <v>CLHT</v>
          </cell>
        </row>
        <row r="420">
          <cell r="A420" t="str">
            <v>TN1618</v>
          </cell>
          <cell r="C420" t="str">
            <v>Ty neo Ø16x1800</v>
          </cell>
          <cell r="D420" t="str">
            <v>cái</v>
          </cell>
          <cell r="E420" t="str">
            <v>TN</v>
          </cell>
          <cell r="F420">
            <v>50</v>
          </cell>
          <cell r="G420" t="str">
            <v>x</v>
          </cell>
          <cell r="J420" t="str">
            <v>TN1618</v>
          </cell>
        </row>
        <row r="421">
          <cell r="A421" t="str">
            <v>TN1624</v>
          </cell>
          <cell r="C421" t="str">
            <v>Ty neo Ø16x2400</v>
          </cell>
          <cell r="D421" t="str">
            <v>cái</v>
          </cell>
          <cell r="E421" t="str">
            <v>TN</v>
          </cell>
          <cell r="F421">
            <v>50</v>
          </cell>
          <cell r="G421" t="str">
            <v>x</v>
          </cell>
          <cell r="J421" t="str">
            <v>TN1624</v>
          </cell>
        </row>
        <row r="422">
          <cell r="A422" t="str">
            <v>TN1824</v>
          </cell>
          <cell r="C422" t="str">
            <v>Ty neo Ø18x2400</v>
          </cell>
          <cell r="D422" t="str">
            <v>cái</v>
          </cell>
          <cell r="E422" t="str">
            <v>TN</v>
          </cell>
          <cell r="F422">
            <v>50</v>
          </cell>
          <cell r="G422" t="str">
            <v>x</v>
          </cell>
          <cell r="J422" t="str">
            <v>TN1824</v>
          </cell>
        </row>
        <row r="423">
          <cell r="A423" t="str">
            <v>TN2224</v>
          </cell>
          <cell r="C423" t="str">
            <v>Ty neo Ø22x2400</v>
          </cell>
          <cell r="D423" t="str">
            <v>cái</v>
          </cell>
          <cell r="E423" t="str">
            <v>TN</v>
          </cell>
          <cell r="F423">
            <v>50</v>
          </cell>
          <cell r="G423" t="str">
            <v>x</v>
          </cell>
          <cell r="J423" t="str">
            <v>TN2224</v>
          </cell>
        </row>
        <row r="424">
          <cell r="A424" t="str">
            <v>TN30</v>
          </cell>
          <cell r="C424" t="str">
            <v>Ty neo Ø22x3000</v>
          </cell>
          <cell r="D424" t="str">
            <v>cái</v>
          </cell>
          <cell r="E424" t="str">
            <v>TN</v>
          </cell>
          <cell r="F424">
            <v>50</v>
          </cell>
          <cell r="G424" t="str">
            <v>x</v>
          </cell>
          <cell r="J424" t="str">
            <v>TN30</v>
          </cell>
        </row>
        <row r="425">
          <cell r="A425" t="str">
            <v>TN37</v>
          </cell>
          <cell r="C425" t="str">
            <v>Ty neo Ø22x3700</v>
          </cell>
          <cell r="D425" t="str">
            <v>cái</v>
          </cell>
          <cell r="E425" t="str">
            <v>TN</v>
          </cell>
          <cell r="F425">
            <v>50</v>
          </cell>
          <cell r="G425" t="str">
            <v>x</v>
          </cell>
          <cell r="J425" t="str">
            <v>TN37</v>
          </cell>
        </row>
        <row r="426">
          <cell r="A426" t="str">
            <v>NX</v>
          </cell>
          <cell r="B426" t="str">
            <v>04.4001</v>
          </cell>
          <cell r="C426" t="str">
            <v>Neo xòe 8 hướng (dày 3,2mm)</v>
          </cell>
          <cell r="D426" t="str">
            <v>cái</v>
          </cell>
          <cell r="E426" t="str">
            <v>NX</v>
          </cell>
          <cell r="F426">
            <v>50</v>
          </cell>
          <cell r="G426" t="str">
            <v>x</v>
          </cell>
          <cell r="J426" t="str">
            <v>NX</v>
          </cell>
        </row>
        <row r="427">
          <cell r="A427" t="str">
            <v>CD142</v>
          </cell>
          <cell r="B427" t="str">
            <v>06.3231</v>
          </cell>
          <cell r="C427" t="str">
            <v>Cổ dê CD.X-142</v>
          </cell>
          <cell r="D427" t="str">
            <v>bộ</v>
          </cell>
          <cell r="E427" t="str">
            <v>CD</v>
          </cell>
          <cell r="F427">
            <v>50</v>
          </cell>
          <cell r="G427" t="str">
            <v>x</v>
          </cell>
          <cell r="J427" t="str">
            <v>CD142</v>
          </cell>
        </row>
        <row r="428">
          <cell r="A428" t="str">
            <v>CD142a</v>
          </cell>
          <cell r="B428" t="str">
            <v>06.3231</v>
          </cell>
          <cell r="C428" t="str">
            <v>Cổ dê CD.X-142A</v>
          </cell>
          <cell r="D428" t="str">
            <v>bộ</v>
          </cell>
          <cell r="E428" t="str">
            <v>CD</v>
          </cell>
          <cell r="F428">
            <v>50</v>
          </cell>
          <cell r="G428" t="str">
            <v>x</v>
          </cell>
          <cell r="J428" t="str">
            <v>CD142a</v>
          </cell>
        </row>
        <row r="429">
          <cell r="A429" t="str">
            <v>CD146</v>
          </cell>
          <cell r="B429" t="str">
            <v>06.3231</v>
          </cell>
          <cell r="C429" t="str">
            <v>Cổ dê CD.X-146</v>
          </cell>
          <cell r="D429" t="str">
            <v>bộ</v>
          </cell>
          <cell r="E429" t="str">
            <v>CD</v>
          </cell>
          <cell r="F429">
            <v>50</v>
          </cell>
          <cell r="G429" t="str">
            <v>x</v>
          </cell>
          <cell r="J429" t="str">
            <v>CD146</v>
          </cell>
        </row>
        <row r="430">
          <cell r="A430" t="str">
            <v>CD146a</v>
          </cell>
          <cell r="B430" t="str">
            <v>06.3231</v>
          </cell>
          <cell r="C430" t="str">
            <v>Cổ dê CD.X-146A</v>
          </cell>
          <cell r="D430" t="str">
            <v>bộ</v>
          </cell>
          <cell r="E430" t="str">
            <v>CD</v>
          </cell>
          <cell r="F430">
            <v>50</v>
          </cell>
          <cell r="G430" t="str">
            <v>x</v>
          </cell>
          <cell r="J430" t="str">
            <v>CD146a</v>
          </cell>
        </row>
        <row r="431">
          <cell r="A431" t="str">
            <v>CD682</v>
          </cell>
          <cell r="B431" t="str">
            <v>06.3231</v>
          </cell>
          <cell r="C431" t="str">
            <v>Cổ dê 6,82kg</v>
          </cell>
          <cell r="D431" t="str">
            <v>bộ</v>
          </cell>
          <cell r="E431" t="str">
            <v>CD</v>
          </cell>
          <cell r="F431">
            <v>50</v>
          </cell>
          <cell r="G431" t="str">
            <v>x</v>
          </cell>
          <cell r="J431" t="str">
            <v>CD682</v>
          </cell>
        </row>
        <row r="432">
          <cell r="A432" t="str">
            <v>LCD</v>
          </cell>
          <cell r="B432" t="str">
            <v>06.2110</v>
          </cell>
          <cell r="C432" t="str">
            <v>Lắp cổ dề</v>
          </cell>
          <cell r="D432" t="str">
            <v>bộ</v>
          </cell>
          <cell r="E432" t="str">
            <v>LC</v>
          </cell>
          <cell r="F432">
            <v>2000</v>
          </cell>
          <cell r="G432" t="str">
            <v>x</v>
          </cell>
          <cell r="J432" t="str">
            <v>LCD</v>
          </cell>
        </row>
        <row r="433">
          <cell r="A433" t="str">
            <v>CD21</v>
          </cell>
          <cell r="B433" t="str">
            <v>06.3231</v>
          </cell>
          <cell r="C433" t="str">
            <v>Cổ dê kẹp ống PVC  21</v>
          </cell>
          <cell r="D433" t="str">
            <v>bộ</v>
          </cell>
          <cell r="E433" t="str">
            <v>CD</v>
          </cell>
          <cell r="F433">
            <v>50</v>
          </cell>
          <cell r="G433" t="str">
            <v>x</v>
          </cell>
          <cell r="J433" t="str">
            <v>CD21</v>
          </cell>
        </row>
        <row r="434">
          <cell r="A434" t="str">
            <v>CD21S10</v>
          </cell>
          <cell r="B434" t="str">
            <v>06.3231</v>
          </cell>
          <cell r="C434" t="str">
            <v>Cổ dê kẹp sắt Ø 10</v>
          </cell>
          <cell r="D434" t="str">
            <v>bộ</v>
          </cell>
          <cell r="E434" t="str">
            <v>CD</v>
          </cell>
          <cell r="F434">
            <v>50</v>
          </cell>
          <cell r="G434" t="str">
            <v>x</v>
          </cell>
          <cell r="J434" t="str">
            <v>CD21S10</v>
          </cell>
        </row>
        <row r="435">
          <cell r="A435" t="str">
            <v>CD60</v>
          </cell>
          <cell r="B435" t="str">
            <v>06.3231</v>
          </cell>
          <cell r="C435" t="str">
            <v>Cổ dê kẹp ống PVC Ø 60</v>
          </cell>
          <cell r="D435" t="str">
            <v>bộ</v>
          </cell>
          <cell r="E435" t="str">
            <v>CD</v>
          </cell>
          <cell r="F435">
            <v>50</v>
          </cell>
          <cell r="G435" t="str">
            <v>x</v>
          </cell>
          <cell r="J435" t="str">
            <v>CD60</v>
          </cell>
        </row>
        <row r="436">
          <cell r="A436" t="str">
            <v>CD90</v>
          </cell>
          <cell r="B436" t="str">
            <v>06.3231</v>
          </cell>
          <cell r="C436" t="str">
            <v>Cổ dê kẹp ống PVC Ø 90</v>
          </cell>
          <cell r="D436" t="str">
            <v>bộ</v>
          </cell>
          <cell r="E436" t="str">
            <v>CD</v>
          </cell>
          <cell r="F436">
            <v>50</v>
          </cell>
          <cell r="G436" t="str">
            <v>x</v>
          </cell>
          <cell r="J436" t="str">
            <v>CD90</v>
          </cell>
        </row>
        <row r="437">
          <cell r="A437" t="str">
            <v>CD114</v>
          </cell>
          <cell r="B437" t="str">
            <v>06.3231</v>
          </cell>
          <cell r="C437" t="str">
            <v>Cổ dê kẹp ống PVC Ø 114</v>
          </cell>
          <cell r="D437" t="str">
            <v>bộ</v>
          </cell>
          <cell r="E437" t="str">
            <v>CD</v>
          </cell>
          <cell r="F437">
            <v>50</v>
          </cell>
          <cell r="G437" t="str">
            <v>x</v>
          </cell>
          <cell r="J437" t="str">
            <v>CD114</v>
          </cell>
        </row>
        <row r="438">
          <cell r="A438" t="str">
            <v>CD140</v>
          </cell>
          <cell r="B438" t="str">
            <v>06.3231</v>
          </cell>
          <cell r="C438" t="str">
            <v>Cổ dê kẹp ống PVC Ø 140</v>
          </cell>
          <cell r="D438" t="str">
            <v>bộ</v>
          </cell>
          <cell r="E438" t="str">
            <v>CD</v>
          </cell>
          <cell r="F438">
            <v>50</v>
          </cell>
          <cell r="G438" t="str">
            <v>x</v>
          </cell>
          <cell r="J438" t="str">
            <v>CD140</v>
          </cell>
        </row>
        <row r="439">
          <cell r="A439" t="str">
            <v>CD140TK</v>
          </cell>
          <cell r="B439" t="str">
            <v>06.3231</v>
          </cell>
          <cell r="C439" t="str">
            <v>Cổ dê kẹp ống sắt Ø 140</v>
          </cell>
          <cell r="D439" t="str">
            <v>bộ</v>
          </cell>
          <cell r="E439" t="str">
            <v>CD</v>
          </cell>
          <cell r="F439">
            <v>50</v>
          </cell>
          <cell r="G439" t="str">
            <v>x</v>
          </cell>
          <cell r="J439" t="str">
            <v>CD140TK</v>
          </cell>
        </row>
        <row r="440">
          <cell r="A440" t="str">
            <v>CD195</v>
          </cell>
          <cell r="B440" t="str">
            <v>06.3231</v>
          </cell>
          <cell r="C440" t="str">
            <v>Cổ dê Ø 195 nẹp trụ</v>
          </cell>
          <cell r="D440" t="str">
            <v>bộ</v>
          </cell>
          <cell r="E440" t="str">
            <v>CD</v>
          </cell>
          <cell r="F440">
            <v>50</v>
          </cell>
          <cell r="G440" t="str">
            <v>x</v>
          </cell>
          <cell r="J440" t="str">
            <v>CD195</v>
          </cell>
        </row>
        <row r="441">
          <cell r="A441" t="str">
            <v>CD207</v>
          </cell>
          <cell r="B441" t="str">
            <v>06.3231</v>
          </cell>
          <cell r="C441" t="str">
            <v>Cổ dê Ø 207 nẹp trụ</v>
          </cell>
          <cell r="D441" t="str">
            <v>bộ</v>
          </cell>
          <cell r="E441" t="str">
            <v>CD</v>
          </cell>
          <cell r="F441">
            <v>50</v>
          </cell>
          <cell r="G441" t="str">
            <v>x</v>
          </cell>
          <cell r="J441" t="str">
            <v>CD207</v>
          </cell>
        </row>
        <row r="442">
          <cell r="A442" t="str">
            <v>CD220</v>
          </cell>
          <cell r="B442" t="str">
            <v>06.3231</v>
          </cell>
          <cell r="C442" t="str">
            <v>Cổ dê Ø 220 nẹp trụ</v>
          </cell>
          <cell r="D442" t="str">
            <v>bộ</v>
          </cell>
          <cell r="E442" t="str">
            <v>CD</v>
          </cell>
          <cell r="F442">
            <v>50</v>
          </cell>
          <cell r="G442" t="str">
            <v>x</v>
          </cell>
          <cell r="J442" t="str">
            <v>CD220</v>
          </cell>
        </row>
        <row r="443">
          <cell r="A443" t="str">
            <v>CD240</v>
          </cell>
          <cell r="B443" t="str">
            <v>06.3231</v>
          </cell>
          <cell r="C443" t="str">
            <v>Cổ dê  Ø 240-Fe 8x100</v>
          </cell>
          <cell r="D443" t="str">
            <v>bộ</v>
          </cell>
          <cell r="E443" t="str">
            <v>CD</v>
          </cell>
          <cell r="F443">
            <v>50</v>
          </cell>
          <cell r="G443" t="str">
            <v>x</v>
          </cell>
          <cell r="J443" t="str">
            <v>CD240</v>
          </cell>
        </row>
        <row r="444">
          <cell r="A444" t="str">
            <v>CD250</v>
          </cell>
          <cell r="B444" t="str">
            <v>06.3231</v>
          </cell>
          <cell r="C444" t="str">
            <v>Cổ dê Ø 250-Fe 8x100</v>
          </cell>
          <cell r="D444" t="str">
            <v>bộ</v>
          </cell>
          <cell r="E444" t="str">
            <v>CD</v>
          </cell>
          <cell r="F444">
            <v>50</v>
          </cell>
          <cell r="G444" t="str">
            <v>x</v>
          </cell>
          <cell r="J444" t="str">
            <v>CD250</v>
          </cell>
        </row>
        <row r="445">
          <cell r="A445" t="str">
            <v>CD320</v>
          </cell>
          <cell r="B445" t="str">
            <v>06.3231</v>
          </cell>
          <cell r="C445" t="str">
            <v>Cổ dê CDĐKĐT( bắt thùng điện kế)</v>
          </cell>
          <cell r="D445" t="str">
            <v>bộ</v>
          </cell>
          <cell r="E445" t="str">
            <v>CD</v>
          </cell>
          <cell r="F445">
            <v>50</v>
          </cell>
          <cell r="G445" t="str">
            <v>x</v>
          </cell>
          <cell r="J445" t="str">
            <v>CD320</v>
          </cell>
        </row>
        <row r="446">
          <cell r="A446" t="str">
            <v>Cdtrudoi</v>
          </cell>
          <cell r="B446" t="str">
            <v>06.3231</v>
          </cell>
          <cell r="C446" t="str">
            <v>Cổ dê trụ đôi bắt sứ treo</v>
          </cell>
          <cell r="D446" t="str">
            <v>bộ</v>
          </cell>
          <cell r="E446" t="str">
            <v>Cd</v>
          </cell>
          <cell r="F446">
            <v>50</v>
          </cell>
          <cell r="G446" t="str">
            <v>x</v>
          </cell>
          <cell r="J446" t="str">
            <v>Cdtrudoi</v>
          </cell>
        </row>
        <row r="447">
          <cell r="A447" t="str">
            <v>CdtrudoiHT</v>
          </cell>
          <cell r="B447" t="str">
            <v>06.3231</v>
          </cell>
          <cell r="C447" t="str">
            <v xml:space="preserve">Cổ dê trụ đôi 8,4m bắt móc dừng </v>
          </cell>
          <cell r="D447" t="str">
            <v>bộ</v>
          </cell>
          <cell r="E447" t="str">
            <v>Cd</v>
          </cell>
          <cell r="F447">
            <v>50</v>
          </cell>
          <cell r="G447" t="str">
            <v>x</v>
          </cell>
          <cell r="J447" t="str">
            <v>CdtrudoiHT</v>
          </cell>
        </row>
        <row r="448">
          <cell r="A448" t="str">
            <v>Cdedaucap</v>
          </cell>
          <cell r="B448" t="str">
            <v>06.3231</v>
          </cell>
          <cell r="C448" t="str">
            <v xml:space="preserve">Cổ dê giữ dầu cáp+Bulon </v>
          </cell>
          <cell r="D448" t="str">
            <v>bộ</v>
          </cell>
          <cell r="E448" t="str">
            <v>Cd</v>
          </cell>
          <cell r="F448">
            <v>50</v>
          </cell>
          <cell r="G448" t="str">
            <v>x</v>
          </cell>
          <cell r="J448" t="str">
            <v>Cdedaucap</v>
          </cell>
        </row>
        <row r="449">
          <cell r="A449" t="str">
            <v>Cdtrudoi140</v>
          </cell>
          <cell r="B449" t="str">
            <v>06.3231</v>
          </cell>
          <cell r="C449" t="str">
            <v xml:space="preserve">Cổ dê giữ ống D140 vào trụ đôi + Bulon </v>
          </cell>
          <cell r="D449" t="str">
            <v>bộ</v>
          </cell>
          <cell r="E449" t="str">
            <v>Cd</v>
          </cell>
          <cell r="F449">
            <v>50</v>
          </cell>
          <cell r="G449" t="str">
            <v>x</v>
          </cell>
          <cell r="J449" t="str">
            <v>Cdtrudoi140</v>
          </cell>
        </row>
        <row r="450">
          <cell r="A450" t="str">
            <v>Cdtru140</v>
          </cell>
          <cell r="B450" t="str">
            <v>06.3231</v>
          </cell>
          <cell r="C450" t="str">
            <v xml:space="preserve">Cổ dê giữ ống D140 vào trụ + Bulon </v>
          </cell>
          <cell r="D450" t="str">
            <v>bộ</v>
          </cell>
          <cell r="E450" t="str">
            <v>Cd</v>
          </cell>
          <cell r="F450">
            <v>50</v>
          </cell>
          <cell r="G450" t="str">
            <v>x</v>
          </cell>
          <cell r="J450" t="str">
            <v>Cdtru140</v>
          </cell>
        </row>
        <row r="451">
          <cell r="A451" t="str">
            <v>Cdeoptru</v>
          </cell>
          <cell r="B451" t="str">
            <v>06.3231</v>
          </cell>
          <cell r="C451" t="str">
            <v xml:space="preserve">Cổ dê giữ ống PVC D168+Bulon </v>
          </cell>
          <cell r="D451" t="str">
            <v>bộ</v>
          </cell>
          <cell r="E451" t="str">
            <v>Cd</v>
          </cell>
          <cell r="F451">
            <v>50</v>
          </cell>
          <cell r="G451" t="str">
            <v>x</v>
          </cell>
          <cell r="J451" t="str">
            <v>Cdeoptru</v>
          </cell>
        </row>
        <row r="452">
          <cell r="A452" t="str">
            <v>CD bắt xà</v>
          </cell>
          <cell r="B452" t="str">
            <v>06.3231</v>
          </cell>
          <cell r="C452" t="str">
            <v>Cổ dê bắt xà + bulon</v>
          </cell>
          <cell r="D452" t="str">
            <v>bộ</v>
          </cell>
          <cell r="E452" t="str">
            <v>CD</v>
          </cell>
          <cell r="F452">
            <v>50</v>
          </cell>
          <cell r="G452" t="str">
            <v>x</v>
          </cell>
          <cell r="J452" t="str">
            <v>CD bắt xà</v>
          </cell>
        </row>
        <row r="453">
          <cell r="A453" t="str">
            <v>CD30x3</v>
          </cell>
          <cell r="B453" t="str">
            <v>06.3231</v>
          </cell>
          <cell r="C453" t="str">
            <v>Côllier 30x3 (290-320)</v>
          </cell>
          <cell r="D453" t="str">
            <v>bộ</v>
          </cell>
          <cell r="E453" t="str">
            <v>CD</v>
          </cell>
          <cell r="F453">
            <v>50</v>
          </cell>
          <cell r="G453" t="str">
            <v>x</v>
          </cell>
          <cell r="J453" t="str">
            <v>CD30x3</v>
          </cell>
        </row>
        <row r="454">
          <cell r="A454" t="str">
            <v>CD25x2</v>
          </cell>
          <cell r="B454" t="str">
            <v>06.3231</v>
          </cell>
          <cell r="C454" t="str">
            <v>Côllier 25x2</v>
          </cell>
          <cell r="D454" t="str">
            <v>bộ</v>
          </cell>
          <cell r="E454" t="str">
            <v>CD</v>
          </cell>
          <cell r="F454">
            <v>50</v>
          </cell>
          <cell r="G454" t="str">
            <v>x</v>
          </cell>
          <cell r="J454" t="str">
            <v>CD25x2</v>
          </cell>
        </row>
        <row r="455">
          <cell r="A455" t="str">
            <v>CD21T</v>
          </cell>
          <cell r="B455" t="str">
            <v>06.3231</v>
          </cell>
          <cell r="C455" t="str">
            <v>Cổ dê giữ ống PVC Ø 21 vào tường + Bulon + long đền + tắc kê sắt</v>
          </cell>
          <cell r="D455" t="str">
            <v>bộ</v>
          </cell>
          <cell r="E455" t="str">
            <v>CD</v>
          </cell>
          <cell r="F455">
            <v>50</v>
          </cell>
          <cell r="G455" t="str">
            <v>x</v>
          </cell>
          <cell r="J455" t="str">
            <v>CD21T</v>
          </cell>
        </row>
        <row r="456">
          <cell r="A456" t="str">
            <v>Cd42T</v>
          </cell>
          <cell r="B456" t="str">
            <v>06.3231</v>
          </cell>
          <cell r="C456" t="str">
            <v>Cổ dê giữ ống PVC D42</v>
          </cell>
          <cell r="D456" t="str">
            <v>bộ</v>
          </cell>
          <cell r="E456" t="str">
            <v>Cd</v>
          </cell>
          <cell r="F456">
            <v>50</v>
          </cell>
          <cell r="G456" t="str">
            <v>x</v>
          </cell>
          <cell r="J456" t="str">
            <v>Cd42T</v>
          </cell>
        </row>
        <row r="457">
          <cell r="A457" t="str">
            <v>Cd114T</v>
          </cell>
          <cell r="B457" t="str">
            <v>06.3231</v>
          </cell>
          <cell r="C457" t="str">
            <v>Cổ dê giữ 2 ống PVC D114 vào tường+Boulon+long đền+tắc ke sắt</v>
          </cell>
          <cell r="D457" t="str">
            <v>bộ</v>
          </cell>
          <cell r="E457" t="str">
            <v>Cd</v>
          </cell>
          <cell r="F457">
            <v>50</v>
          </cell>
          <cell r="G457" t="str">
            <v>x</v>
          </cell>
          <cell r="J457" t="str">
            <v>Cd114T</v>
          </cell>
        </row>
        <row r="458">
          <cell r="A458" t="str">
            <v>Cd140T</v>
          </cell>
          <cell r="B458" t="str">
            <v>06.3231</v>
          </cell>
          <cell r="C458" t="str">
            <v>Cổ dê giữ ống STK D140 vào tường+Boulon+long đền+tắc ke sắt</v>
          </cell>
          <cell r="D458" t="str">
            <v>bộ</v>
          </cell>
          <cell r="E458" t="str">
            <v>Cd</v>
          </cell>
          <cell r="F458">
            <v>50</v>
          </cell>
          <cell r="G458" t="str">
            <v>x</v>
          </cell>
          <cell r="J458" t="str">
            <v>Cd140T</v>
          </cell>
        </row>
        <row r="459">
          <cell r="A459" t="str">
            <v>CD5x50</v>
          </cell>
          <cell r="B459" t="str">
            <v>06.3231</v>
          </cell>
          <cell r="C459" t="str">
            <v>Cổ dê bắt tủ</v>
          </cell>
          <cell r="D459" t="str">
            <v>bộ</v>
          </cell>
          <cell r="E459" t="str">
            <v>CD</v>
          </cell>
          <cell r="F459">
            <v>50</v>
          </cell>
          <cell r="G459" t="str">
            <v>x</v>
          </cell>
          <cell r="J459" t="str">
            <v>CD5x50</v>
          </cell>
        </row>
        <row r="460">
          <cell r="A460" t="str">
            <v>CD6x60</v>
          </cell>
          <cell r="B460" t="str">
            <v>06.3231</v>
          </cell>
          <cell r="C460" t="str">
            <v>Cổ dê bắt tủ trạm trụ ghép D320/60x6</v>
          </cell>
          <cell r="D460" t="str">
            <v>bộ</v>
          </cell>
          <cell r="E460" t="str">
            <v>CD</v>
          </cell>
          <cell r="F460">
            <v>50</v>
          </cell>
          <cell r="G460" t="str">
            <v>x</v>
          </cell>
          <cell r="J460" t="str">
            <v>CD6x60</v>
          </cell>
        </row>
        <row r="461">
          <cell r="A461" t="str">
            <v>CDXA</v>
          </cell>
          <cell r="B461" t="str">
            <v>06.3231</v>
          </cell>
          <cell r="C461" t="str">
            <v xml:space="preserve">Cổ dê chống lắc 8x80x800 </v>
          </cell>
          <cell r="D461" t="str">
            <v>bộ</v>
          </cell>
          <cell r="E461" t="str">
            <v>CD</v>
          </cell>
          <cell r="F461">
            <v>50</v>
          </cell>
          <cell r="G461" t="str">
            <v>x</v>
          </cell>
          <cell r="J461" t="str">
            <v>CDXA</v>
          </cell>
        </row>
        <row r="462">
          <cell r="A462" t="str">
            <v>COM110x800x5-2,4</v>
          </cell>
          <cell r="C462" t="str">
            <v>Xà composite 110x800x5 dài 2,4m</v>
          </cell>
          <cell r="D462" t="str">
            <v>cái</v>
          </cell>
          <cell r="E462" t="str">
            <v>CO</v>
          </cell>
          <cell r="F462">
            <v>50</v>
          </cell>
          <cell r="G462" t="str">
            <v>x</v>
          </cell>
          <cell r="J462" t="str">
            <v>COM110x800x5-2,4</v>
          </cell>
        </row>
        <row r="463">
          <cell r="A463" t="str">
            <v>COM110x800x5-2,6</v>
          </cell>
          <cell r="C463" t="str">
            <v>Xà composite 110x800x5 dài 2,6m</v>
          </cell>
          <cell r="D463" t="str">
            <v>cái</v>
          </cell>
          <cell r="E463" t="str">
            <v>CO</v>
          </cell>
          <cell r="F463">
            <v>50</v>
          </cell>
          <cell r="G463" t="str">
            <v>x</v>
          </cell>
          <cell r="J463" t="str">
            <v>COM110x800x5-2,6</v>
          </cell>
        </row>
        <row r="464">
          <cell r="A464" t="str">
            <v>COM08</v>
          </cell>
          <cell r="C464" t="str">
            <v>Đà Composite 110x80x5x800</v>
          </cell>
          <cell r="D464" t="str">
            <v>cái</v>
          </cell>
          <cell r="E464" t="str">
            <v>CO</v>
          </cell>
          <cell r="F464">
            <v>50</v>
          </cell>
          <cell r="G464" t="str">
            <v>x</v>
          </cell>
          <cell r="J464" t="str">
            <v>COM08</v>
          </cell>
        </row>
        <row r="465">
          <cell r="A465" t="str">
            <v>COM08-720</v>
          </cell>
          <cell r="C465" t="str">
            <v>Đà composite 0,8m + Thanh chống đà 720</v>
          </cell>
          <cell r="D465" t="str">
            <v>cái</v>
          </cell>
          <cell r="E465" t="str">
            <v>CO</v>
          </cell>
          <cell r="F465">
            <v>50</v>
          </cell>
          <cell r="G465" t="str">
            <v>x</v>
          </cell>
          <cell r="J465" t="str">
            <v>COM08-720</v>
          </cell>
        </row>
        <row r="466">
          <cell r="A466" t="str">
            <v>com40x10x720</v>
          </cell>
          <cell r="C466" t="str">
            <v>Thanh chống Composite 10x40x720</v>
          </cell>
          <cell r="D466" t="str">
            <v>cái</v>
          </cell>
          <cell r="E466" t="str">
            <v>co</v>
          </cell>
          <cell r="F466">
            <v>50</v>
          </cell>
          <cell r="G466" t="str">
            <v>x</v>
          </cell>
          <cell r="J466" t="str">
            <v>com40x10x720</v>
          </cell>
        </row>
        <row r="467">
          <cell r="A467" t="str">
            <v>COM110x800x5</v>
          </cell>
          <cell r="C467" t="str">
            <v>Xà composite 110x800x5</v>
          </cell>
          <cell r="D467" t="str">
            <v>cái</v>
          </cell>
          <cell r="E467" t="str">
            <v>CO</v>
          </cell>
          <cell r="F467">
            <v>50</v>
          </cell>
          <cell r="G467" t="str">
            <v>x</v>
          </cell>
          <cell r="J467" t="str">
            <v>COM110x800x5</v>
          </cell>
        </row>
        <row r="468">
          <cell r="A468" t="str">
            <v>COM40X10X920</v>
          </cell>
          <cell r="C468" t="str">
            <v>Chống composite 40x10x920</v>
          </cell>
          <cell r="D468" t="str">
            <v>cái</v>
          </cell>
          <cell r="E468" t="str">
            <v>CO</v>
          </cell>
          <cell r="F468">
            <v>50</v>
          </cell>
          <cell r="G468" t="str">
            <v>x</v>
          </cell>
          <cell r="J468" t="str">
            <v>COM40X10X920</v>
          </cell>
        </row>
        <row r="469">
          <cell r="A469" t="str">
            <v>T75</v>
          </cell>
          <cell r="C469" t="str">
            <v>Trụ BTLT 7,5m F200 dự ứng lực</v>
          </cell>
          <cell r="D469" t="str">
            <v>trụ</v>
          </cell>
          <cell r="E469" t="str">
            <v>T7</v>
          </cell>
          <cell r="F469">
            <v>16</v>
          </cell>
          <cell r="G469" t="str">
            <v>x</v>
          </cell>
          <cell r="J469" t="str">
            <v>T75</v>
          </cell>
        </row>
        <row r="470">
          <cell r="A470" t="str">
            <v>T84</v>
          </cell>
          <cell r="C470" t="str">
            <v>Trụ BTLT 8,4m F200 dự ứng lực</v>
          </cell>
          <cell r="D470" t="str">
            <v>trụ</v>
          </cell>
          <cell r="E470" t="str">
            <v>T8</v>
          </cell>
          <cell r="F470">
            <v>16</v>
          </cell>
          <cell r="G470" t="str">
            <v>x</v>
          </cell>
          <cell r="J470" t="str">
            <v>T84</v>
          </cell>
        </row>
        <row r="471">
          <cell r="A471" t="str">
            <v>T84td</v>
          </cell>
          <cell r="C471" t="str">
            <v>Trụ BTLT 8,4m F200 dự ứng lực có dây tiếp địa</v>
          </cell>
          <cell r="D471" t="str">
            <v>trụ</v>
          </cell>
          <cell r="E471" t="str">
            <v>T8</v>
          </cell>
          <cell r="F471">
            <v>16</v>
          </cell>
          <cell r="G471" t="str">
            <v>x</v>
          </cell>
          <cell r="J471" t="str">
            <v>T84td</v>
          </cell>
        </row>
        <row r="472">
          <cell r="A472" t="str">
            <v>T85</v>
          </cell>
          <cell r="C472" t="str">
            <v>Trụ BTLT 8,5m F200 dự ứng lực</v>
          </cell>
          <cell r="D472" t="str">
            <v>trụ</v>
          </cell>
          <cell r="E472" t="str">
            <v>T8</v>
          </cell>
          <cell r="F472">
            <v>16</v>
          </cell>
          <cell r="G472" t="str">
            <v>x</v>
          </cell>
          <cell r="J472" t="str">
            <v>T85</v>
          </cell>
        </row>
        <row r="473">
          <cell r="A473" t="str">
            <v>T10</v>
          </cell>
          <cell r="C473" t="str">
            <v>Trụ BTLT 10,5m F480 dự ứng lực</v>
          </cell>
          <cell r="D473" t="str">
            <v>trụ</v>
          </cell>
          <cell r="E473" t="str">
            <v>T1</v>
          </cell>
          <cell r="F473">
            <v>16</v>
          </cell>
          <cell r="G473" t="str">
            <v>x</v>
          </cell>
          <cell r="J473" t="str">
            <v>T10</v>
          </cell>
        </row>
        <row r="474">
          <cell r="A474" t="str">
            <v>T105</v>
          </cell>
          <cell r="C474" t="str">
            <v>Trụ BTLT 10,5m F350 dự ứng lực</v>
          </cell>
          <cell r="D474" t="str">
            <v>trụ</v>
          </cell>
          <cell r="E474" t="str">
            <v>T1</v>
          </cell>
          <cell r="F474">
            <v>16</v>
          </cell>
          <cell r="G474" t="str">
            <v>x</v>
          </cell>
          <cell r="J474" t="str">
            <v>T105</v>
          </cell>
        </row>
        <row r="475">
          <cell r="A475" t="str">
            <v>T12</v>
          </cell>
          <cell r="C475" t="str">
            <v>Trụ BTLT 12m F350 dự ứng lực</v>
          </cell>
          <cell r="D475" t="str">
            <v>trụ</v>
          </cell>
          <cell r="E475" t="str">
            <v>T1</v>
          </cell>
          <cell r="F475">
            <v>16</v>
          </cell>
          <cell r="G475" t="str">
            <v>x</v>
          </cell>
          <cell r="J475" t="str">
            <v>T12</v>
          </cell>
        </row>
        <row r="476">
          <cell r="A476" t="str">
            <v>T12TĐ</v>
          </cell>
          <cell r="C476" t="str">
            <v>Trụ BTLT 12m F350 dự ứng lực (tiếp địa có sẵn)</v>
          </cell>
          <cell r="D476" t="str">
            <v>trụ</v>
          </cell>
          <cell r="E476" t="str">
            <v>T1</v>
          </cell>
          <cell r="F476">
            <v>16</v>
          </cell>
          <cell r="G476" t="str">
            <v>x</v>
          </cell>
          <cell r="J476" t="str">
            <v>T12TĐ</v>
          </cell>
        </row>
        <row r="477">
          <cell r="A477" t="str">
            <v>T14</v>
          </cell>
          <cell r="C477" t="str">
            <v>Trụ BTLT 14m F650 dự ứng lực</v>
          </cell>
          <cell r="D477" t="str">
            <v>trụ</v>
          </cell>
          <cell r="E477" t="str">
            <v>T1</v>
          </cell>
          <cell r="F477">
            <v>16</v>
          </cell>
          <cell r="G477" t="str">
            <v>x</v>
          </cell>
          <cell r="J477" t="str">
            <v>T14</v>
          </cell>
        </row>
        <row r="478">
          <cell r="A478" t="str">
            <v>T20</v>
          </cell>
          <cell r="C478" t="str">
            <v>Trụ BTLT 20m F1000 dự ứng lực</v>
          </cell>
          <cell r="D478" t="str">
            <v>trụ</v>
          </cell>
          <cell r="E478" t="str">
            <v>T2</v>
          </cell>
          <cell r="F478">
            <v>16</v>
          </cell>
          <cell r="G478" t="str">
            <v>x</v>
          </cell>
          <cell r="J478" t="str">
            <v>T20</v>
          </cell>
        </row>
        <row r="479">
          <cell r="A479" t="str">
            <v>SON</v>
          </cell>
          <cell r="C479" t="str">
            <v>Sơn màu</v>
          </cell>
          <cell r="D479" t="str">
            <v>kg</v>
          </cell>
          <cell r="E479" t="str">
            <v>SO</v>
          </cell>
          <cell r="F479">
            <v>50</v>
          </cell>
          <cell r="G479" t="str">
            <v>x</v>
          </cell>
          <cell r="J479" t="str">
            <v>SON</v>
          </cell>
        </row>
        <row r="480">
          <cell r="A480" t="str">
            <v>SONCR</v>
          </cell>
          <cell r="C480" t="str">
            <v>Sơn chống rỉ</v>
          </cell>
          <cell r="D480" t="str">
            <v>kg</v>
          </cell>
          <cell r="E480" t="str">
            <v>SO</v>
          </cell>
          <cell r="F480">
            <v>50</v>
          </cell>
          <cell r="G480" t="str">
            <v>x</v>
          </cell>
          <cell r="J480" t="str">
            <v>SONCR</v>
          </cell>
        </row>
        <row r="481">
          <cell r="A481" t="str">
            <v>NU</v>
          </cell>
          <cell r="C481" t="str">
            <v>Nước đổ bê tông</v>
          </cell>
          <cell r="D481" t="str">
            <v>m3</v>
          </cell>
          <cell r="E481" t="str">
            <v>NU</v>
          </cell>
          <cell r="F481">
            <v>50</v>
          </cell>
          <cell r="G481" t="str">
            <v>x</v>
          </cell>
          <cell r="J481" t="str">
            <v>NU</v>
          </cell>
        </row>
        <row r="482">
          <cell r="A482" t="str">
            <v>GO</v>
          </cell>
          <cell r="C482" t="str">
            <v>Gỗ ván khuôn</v>
          </cell>
          <cell r="D482" t="str">
            <v>m3</v>
          </cell>
          <cell r="E482" t="str">
            <v>GO</v>
          </cell>
          <cell r="F482">
            <v>999</v>
          </cell>
          <cell r="G482" t="str">
            <v>x</v>
          </cell>
          <cell r="J482" t="str">
            <v>GO</v>
          </cell>
        </row>
        <row r="483">
          <cell r="A483" t="str">
            <v>DINH</v>
          </cell>
          <cell r="C483" t="str">
            <v>Đinh các loại</v>
          </cell>
          <cell r="D483" t="str">
            <v>kg</v>
          </cell>
          <cell r="E483" t="str">
            <v>DI</v>
          </cell>
          <cell r="F483">
            <v>50</v>
          </cell>
          <cell r="G483" t="str">
            <v>x</v>
          </cell>
          <cell r="J483" t="str">
            <v>DINH</v>
          </cell>
        </row>
        <row r="484">
          <cell r="A484" t="str">
            <v>D1x2</v>
          </cell>
          <cell r="C484" t="str">
            <v>Đá 1x2</v>
          </cell>
          <cell r="D484" t="str">
            <v>m3</v>
          </cell>
          <cell r="E484" t="str">
            <v>D1</v>
          </cell>
          <cell r="F484">
            <v>999</v>
          </cell>
          <cell r="G484" t="str">
            <v>x</v>
          </cell>
          <cell r="J484" t="str">
            <v>D1x2</v>
          </cell>
        </row>
        <row r="485">
          <cell r="A485" t="str">
            <v>D0x4</v>
          </cell>
          <cell r="C485" t="str">
            <v>Đá 0x4</v>
          </cell>
          <cell r="D485" t="str">
            <v>m3</v>
          </cell>
          <cell r="E485" t="str">
            <v>D0</v>
          </cell>
          <cell r="F485">
            <v>999</v>
          </cell>
          <cell r="G485" t="str">
            <v>x</v>
          </cell>
          <cell r="J485" t="str">
            <v>D0x4</v>
          </cell>
        </row>
        <row r="486">
          <cell r="A486" t="str">
            <v>D2x4</v>
          </cell>
          <cell r="C486" t="str">
            <v>Đá 2x4</v>
          </cell>
          <cell r="D486" t="str">
            <v>m3</v>
          </cell>
          <cell r="E486" t="str">
            <v>D2</v>
          </cell>
          <cell r="F486">
            <v>999</v>
          </cell>
          <cell r="G486" t="str">
            <v>x</v>
          </cell>
          <cell r="J486" t="str">
            <v>D2x4</v>
          </cell>
        </row>
        <row r="487">
          <cell r="A487" t="str">
            <v>D4x6</v>
          </cell>
          <cell r="C487" t="str">
            <v>Đá 4x6</v>
          </cell>
          <cell r="D487" t="str">
            <v>m3</v>
          </cell>
          <cell r="E487" t="str">
            <v>D4</v>
          </cell>
          <cell r="F487">
            <v>999</v>
          </cell>
          <cell r="G487" t="str">
            <v>x</v>
          </cell>
          <cell r="J487" t="str">
            <v>D4x6</v>
          </cell>
        </row>
        <row r="488">
          <cell r="A488" t="str">
            <v>cat</v>
          </cell>
          <cell r="C488" t="str">
            <v>Cát vàng</v>
          </cell>
          <cell r="D488" t="str">
            <v>m3</v>
          </cell>
          <cell r="E488" t="str">
            <v>ca</v>
          </cell>
          <cell r="F488">
            <v>997</v>
          </cell>
          <cell r="G488" t="str">
            <v>x</v>
          </cell>
          <cell r="J488" t="str">
            <v>cat</v>
          </cell>
        </row>
        <row r="489">
          <cell r="A489" t="str">
            <v>cv</v>
          </cell>
          <cell r="C489" t="str">
            <v>Cát vàng</v>
          </cell>
          <cell r="D489" t="str">
            <v>m3</v>
          </cell>
          <cell r="E489" t="str">
            <v>cv</v>
          </cell>
          <cell r="F489">
            <v>997</v>
          </cell>
          <cell r="G489" t="str">
            <v>x</v>
          </cell>
          <cell r="J489" t="str">
            <v>cv</v>
          </cell>
        </row>
        <row r="490">
          <cell r="A490" t="str">
            <v>gachong</v>
          </cell>
          <cell r="C490" t="str">
            <v>Gạch ống</v>
          </cell>
          <cell r="D490" t="str">
            <v>viên</v>
          </cell>
          <cell r="E490" t="str">
            <v>ga</v>
          </cell>
          <cell r="F490">
            <v>50</v>
          </cell>
          <cell r="G490" t="str">
            <v>x</v>
          </cell>
          <cell r="J490" t="str">
            <v>gachong</v>
          </cell>
        </row>
        <row r="491">
          <cell r="A491" t="str">
            <v>gachtau</v>
          </cell>
          <cell r="C491" t="str">
            <v>Gạch tàu</v>
          </cell>
          <cell r="D491" t="str">
            <v>viên</v>
          </cell>
          <cell r="E491" t="str">
            <v>ga</v>
          </cell>
          <cell r="F491">
            <v>50</v>
          </cell>
          <cell r="G491" t="str">
            <v>x</v>
          </cell>
          <cell r="J491" t="str">
            <v>gachtau</v>
          </cell>
        </row>
        <row r="492">
          <cell r="A492" t="str">
            <v>gachthe</v>
          </cell>
          <cell r="C492" t="str">
            <v>Gạch thẻ</v>
          </cell>
          <cell r="D492" t="str">
            <v>viên</v>
          </cell>
          <cell r="E492" t="str">
            <v>ga</v>
          </cell>
          <cell r="F492">
            <v>50</v>
          </cell>
          <cell r="G492" t="str">
            <v>x</v>
          </cell>
          <cell r="J492" t="str">
            <v>gachthe</v>
          </cell>
        </row>
        <row r="493">
          <cell r="A493" t="str">
            <v>XM</v>
          </cell>
          <cell r="C493" t="str">
            <v>Ximăng (PC40)</v>
          </cell>
          <cell r="D493" t="str">
            <v>kg</v>
          </cell>
          <cell r="E493" t="str">
            <v>XM</v>
          </cell>
          <cell r="F493">
            <v>996</v>
          </cell>
          <cell r="G493" t="str">
            <v>x</v>
          </cell>
          <cell r="J493" t="str">
            <v>XM</v>
          </cell>
        </row>
        <row r="494">
          <cell r="A494" t="str">
            <v>qhan</v>
          </cell>
          <cell r="C494" t="str">
            <v>Que hàn điện</v>
          </cell>
          <cell r="D494" t="str">
            <v>kg</v>
          </cell>
          <cell r="E494" t="str">
            <v>qh</v>
          </cell>
          <cell r="F494">
            <v>50</v>
          </cell>
          <cell r="G494" t="str">
            <v>x</v>
          </cell>
          <cell r="J494" t="str">
            <v>qhan</v>
          </cell>
        </row>
        <row r="495">
          <cell r="A495" t="str">
            <v>coson</v>
          </cell>
          <cell r="C495" t="str">
            <v>Cọ sơn</v>
          </cell>
          <cell r="D495" t="str">
            <v>cái</v>
          </cell>
          <cell r="E495" t="str">
            <v>co</v>
          </cell>
          <cell r="F495">
            <v>50</v>
          </cell>
          <cell r="G495" t="str">
            <v>x</v>
          </cell>
          <cell r="J495" t="str">
            <v>coson</v>
          </cell>
        </row>
        <row r="496">
          <cell r="A496" t="str">
            <v>Nilong</v>
          </cell>
          <cell r="C496" t="str">
            <v>Tấm nilông màu cảnh báo</v>
          </cell>
          <cell r="D496" t="str">
            <v>m2</v>
          </cell>
          <cell r="E496" t="str">
            <v>Ni</v>
          </cell>
          <cell r="F496">
            <v>50</v>
          </cell>
          <cell r="G496" t="str">
            <v>x</v>
          </cell>
          <cell r="J496" t="str">
            <v>Nilong</v>
          </cell>
        </row>
        <row r="497">
          <cell r="A497" t="str">
            <v>NLON</v>
          </cell>
          <cell r="C497" t="str">
            <v>Nylon làm dấu khổ 0.6m</v>
          </cell>
          <cell r="D497" t="str">
            <v>m</v>
          </cell>
          <cell r="E497" t="str">
            <v>NL</v>
          </cell>
          <cell r="F497">
            <v>50</v>
          </cell>
          <cell r="G497" t="str">
            <v>x</v>
          </cell>
          <cell r="J497" t="str">
            <v>NLON</v>
          </cell>
        </row>
        <row r="498">
          <cell r="A498" t="str">
            <v>thepb</v>
          </cell>
          <cell r="C498" t="str">
            <v>Dây thép buộc A70</v>
          </cell>
          <cell r="D498" t="str">
            <v>kg</v>
          </cell>
          <cell r="E498" t="str">
            <v>th</v>
          </cell>
          <cell r="F498">
            <v>50</v>
          </cell>
          <cell r="G498" t="str">
            <v>x</v>
          </cell>
          <cell r="J498" t="str">
            <v>thepb</v>
          </cell>
        </row>
        <row r="499">
          <cell r="A499" t="str">
            <v>daucap50</v>
          </cell>
          <cell r="C499" t="str">
            <v>Đầu cáp ngầm 24KV 3x50mm2 outdoor</v>
          </cell>
          <cell r="D499" t="str">
            <v>cái</v>
          </cell>
          <cell r="E499" t="str">
            <v>da</v>
          </cell>
          <cell r="F499">
            <v>50</v>
          </cell>
          <cell r="G499" t="str">
            <v>x</v>
          </cell>
          <cell r="J499" t="str">
            <v>daucap50</v>
          </cell>
        </row>
        <row r="500">
          <cell r="A500" t="str">
            <v>daucap70</v>
          </cell>
          <cell r="C500" t="str">
            <v>Đầu cáp ngầm 24KV 3x70mm2 outdoor</v>
          </cell>
          <cell r="D500" t="str">
            <v>cái</v>
          </cell>
          <cell r="E500" t="str">
            <v>da</v>
          </cell>
          <cell r="F500">
            <v>50</v>
          </cell>
          <cell r="G500" t="str">
            <v>x</v>
          </cell>
          <cell r="J500" t="str">
            <v>daucap70</v>
          </cell>
        </row>
        <row r="501">
          <cell r="A501" t="str">
            <v>daucap95</v>
          </cell>
          <cell r="C501" t="str">
            <v>Đầu cáp ngầm 24KV 3x95mm2 outdoor</v>
          </cell>
          <cell r="D501" t="str">
            <v>cái</v>
          </cell>
          <cell r="E501" t="str">
            <v>da</v>
          </cell>
          <cell r="F501">
            <v>50</v>
          </cell>
          <cell r="G501" t="str">
            <v>x</v>
          </cell>
          <cell r="J501" t="str">
            <v>daucap95</v>
          </cell>
        </row>
        <row r="502">
          <cell r="A502" t="str">
            <v>daucap120</v>
          </cell>
          <cell r="C502" t="str">
            <v>Đầu cáp ngầm 24KV 3x120mm2 outdoor</v>
          </cell>
          <cell r="D502" t="str">
            <v>cái</v>
          </cell>
          <cell r="E502" t="str">
            <v>da</v>
          </cell>
          <cell r="F502">
            <v>50</v>
          </cell>
          <cell r="G502" t="str">
            <v>x</v>
          </cell>
          <cell r="J502" t="str">
            <v>daucap120</v>
          </cell>
        </row>
        <row r="503">
          <cell r="A503" t="str">
            <v>daucap150</v>
          </cell>
          <cell r="C503" t="str">
            <v>Đầu cáp ngầm 24kV 3x150mm2 outdoor</v>
          </cell>
          <cell r="D503" t="str">
            <v>cái</v>
          </cell>
          <cell r="E503" t="str">
            <v>da</v>
          </cell>
          <cell r="F503">
            <v>50</v>
          </cell>
          <cell r="G503" t="str">
            <v>x</v>
          </cell>
          <cell r="J503" t="str">
            <v>daucap150</v>
          </cell>
        </row>
        <row r="504">
          <cell r="A504" t="str">
            <v>daucap185</v>
          </cell>
          <cell r="C504" t="str">
            <v>Đầu cáp ngầm 24kV 3x185mm2 outdoor</v>
          </cell>
          <cell r="D504" t="str">
            <v>cái</v>
          </cell>
          <cell r="E504" t="str">
            <v>da</v>
          </cell>
          <cell r="F504">
            <v>50</v>
          </cell>
          <cell r="G504" t="str">
            <v>x</v>
          </cell>
          <cell r="J504" t="str">
            <v>daucap185</v>
          </cell>
        </row>
        <row r="505">
          <cell r="A505" t="str">
            <v>daucap240</v>
          </cell>
          <cell r="C505" t="str">
            <v>Đầu cáp ngầm 24kV 3x240mm2 outdoor</v>
          </cell>
          <cell r="D505" t="str">
            <v>cái</v>
          </cell>
          <cell r="E505" t="str">
            <v>da</v>
          </cell>
          <cell r="F505">
            <v>50</v>
          </cell>
          <cell r="G505" t="str">
            <v>x</v>
          </cell>
          <cell r="J505" t="str">
            <v>daucap240</v>
          </cell>
        </row>
        <row r="506">
          <cell r="A506" t="str">
            <v>daucap50in</v>
          </cell>
          <cell r="C506" t="str">
            <v>Đầu cáp ngầm 24KV 3x50mm2 indoor</v>
          </cell>
          <cell r="D506" t="str">
            <v>cái</v>
          </cell>
          <cell r="E506" t="str">
            <v>da</v>
          </cell>
          <cell r="F506">
            <v>50</v>
          </cell>
          <cell r="G506" t="str">
            <v>x</v>
          </cell>
          <cell r="J506" t="str">
            <v>daucap50in</v>
          </cell>
        </row>
        <row r="507">
          <cell r="A507" t="str">
            <v>daucap70in</v>
          </cell>
          <cell r="C507" t="str">
            <v>Đầu cáp ngầm 24KV 3x70mm2 indoor</v>
          </cell>
          <cell r="D507" t="str">
            <v>cái</v>
          </cell>
          <cell r="E507" t="str">
            <v>da</v>
          </cell>
          <cell r="F507">
            <v>50</v>
          </cell>
          <cell r="G507" t="str">
            <v>x</v>
          </cell>
          <cell r="J507" t="str">
            <v>daucap70in</v>
          </cell>
        </row>
        <row r="508">
          <cell r="A508" t="str">
            <v>daucap95in</v>
          </cell>
          <cell r="C508" t="str">
            <v>Đầu cáp ngầm 24KV 3x95mm2 indoor</v>
          </cell>
          <cell r="D508" t="str">
            <v>cái</v>
          </cell>
          <cell r="E508" t="str">
            <v>da</v>
          </cell>
          <cell r="F508">
            <v>50</v>
          </cell>
          <cell r="G508" t="str">
            <v>x</v>
          </cell>
          <cell r="J508" t="str">
            <v>daucap95in</v>
          </cell>
        </row>
        <row r="509">
          <cell r="A509" t="str">
            <v>daucap120in</v>
          </cell>
          <cell r="C509" t="str">
            <v>Đầu cáp ngầm 24KV 3x120mm2 indoor</v>
          </cell>
          <cell r="D509" t="str">
            <v>cái</v>
          </cell>
          <cell r="E509" t="str">
            <v>da</v>
          </cell>
          <cell r="F509">
            <v>50</v>
          </cell>
          <cell r="G509" t="str">
            <v>x</v>
          </cell>
          <cell r="J509" t="str">
            <v>daucap120in</v>
          </cell>
        </row>
        <row r="510">
          <cell r="A510" t="str">
            <v>daucap150in</v>
          </cell>
          <cell r="C510" t="str">
            <v>Đầu cáp ngầm 24kV 3x150mm2 indoor</v>
          </cell>
          <cell r="D510" t="str">
            <v>cái</v>
          </cell>
          <cell r="E510" t="str">
            <v>da</v>
          </cell>
          <cell r="F510">
            <v>50</v>
          </cell>
          <cell r="G510" t="str">
            <v>x</v>
          </cell>
          <cell r="J510" t="str">
            <v>daucap150in</v>
          </cell>
        </row>
        <row r="511">
          <cell r="A511" t="str">
            <v>daucap185in</v>
          </cell>
          <cell r="C511" t="str">
            <v>Đầu cáp ngầm 24kV 3x185mm2 indoor</v>
          </cell>
          <cell r="D511" t="str">
            <v>cái</v>
          </cell>
          <cell r="E511" t="str">
            <v>da</v>
          </cell>
          <cell r="F511">
            <v>50</v>
          </cell>
          <cell r="G511" t="str">
            <v>x</v>
          </cell>
          <cell r="J511" t="str">
            <v>daucap185in</v>
          </cell>
        </row>
        <row r="512">
          <cell r="A512" t="str">
            <v>daucap240in</v>
          </cell>
          <cell r="C512" t="str">
            <v>Đầu cáp ngầm 24kV 3x240mm2 indoor</v>
          </cell>
          <cell r="D512" t="str">
            <v>cái</v>
          </cell>
          <cell r="E512" t="str">
            <v>da</v>
          </cell>
          <cell r="F512">
            <v>50</v>
          </cell>
          <cell r="G512" t="str">
            <v>x</v>
          </cell>
          <cell r="J512" t="str">
            <v>daucap240in</v>
          </cell>
        </row>
        <row r="513">
          <cell r="A513" t="str">
            <v>DCAPHT3185</v>
          </cell>
          <cell r="C513" t="str">
            <v>Đầu cáp ngầm hạ thế 3x185+120mm2</v>
          </cell>
          <cell r="D513" t="str">
            <v>cái</v>
          </cell>
          <cell r="E513" t="str">
            <v>DC</v>
          </cell>
          <cell r="F513">
            <v>50</v>
          </cell>
          <cell r="G513" t="str">
            <v>x</v>
          </cell>
          <cell r="J513" t="str">
            <v>DCAPHT3185</v>
          </cell>
        </row>
        <row r="514">
          <cell r="A514" t="str">
            <v>DCAPHT3120</v>
          </cell>
          <cell r="C514" t="str">
            <v>Đầu cáp ngầm hạ thế 3x120+70mm2</v>
          </cell>
          <cell r="D514" t="str">
            <v>cái</v>
          </cell>
          <cell r="E514" t="str">
            <v>DC</v>
          </cell>
          <cell r="F514">
            <v>50</v>
          </cell>
          <cell r="G514" t="str">
            <v>x</v>
          </cell>
          <cell r="J514" t="str">
            <v>DCAPHT3120</v>
          </cell>
        </row>
        <row r="515">
          <cell r="A515" t="str">
            <v>DCAPHT395</v>
          </cell>
          <cell r="C515" t="str">
            <v>Đầu cáp ngầm hạ thế 3x95+50mm2</v>
          </cell>
          <cell r="D515" t="str">
            <v>cái</v>
          </cell>
          <cell r="E515" t="str">
            <v>DC</v>
          </cell>
          <cell r="F515">
            <v>50</v>
          </cell>
          <cell r="G515" t="str">
            <v>x</v>
          </cell>
          <cell r="J515" t="str">
            <v>DCAPHT395</v>
          </cell>
        </row>
        <row r="516">
          <cell r="A516" t="str">
            <v>DCAPHT370</v>
          </cell>
          <cell r="C516" t="str">
            <v>Đầu cáp ngầm hạ thế 3x70+50mm2</v>
          </cell>
          <cell r="D516" t="str">
            <v>cái</v>
          </cell>
          <cell r="E516" t="str">
            <v>DC</v>
          </cell>
          <cell r="F516">
            <v>50</v>
          </cell>
          <cell r="G516" t="str">
            <v>x</v>
          </cell>
          <cell r="J516" t="str">
            <v>DCAPHT370</v>
          </cell>
        </row>
        <row r="517">
          <cell r="A517" t="str">
            <v>DCAPHT350+35</v>
          </cell>
          <cell r="C517" t="str">
            <v>Đầu cáp ngầm hạ thế 3x50+35mm2</v>
          </cell>
          <cell r="D517" t="str">
            <v>cái</v>
          </cell>
          <cell r="E517" t="str">
            <v>DC</v>
          </cell>
          <cell r="F517">
            <v>50</v>
          </cell>
          <cell r="G517" t="str">
            <v>x</v>
          </cell>
          <cell r="J517" t="str">
            <v>DCAPHT350+35</v>
          </cell>
        </row>
        <row r="518">
          <cell r="A518" t="str">
            <v>DCAPHT350</v>
          </cell>
          <cell r="C518" t="str">
            <v>Đầu cáp ngầm hạ thế 3x50</v>
          </cell>
          <cell r="D518" t="str">
            <v>cái</v>
          </cell>
          <cell r="E518" t="str">
            <v>DC</v>
          </cell>
          <cell r="F518">
            <v>50</v>
          </cell>
          <cell r="G518" t="str">
            <v>x</v>
          </cell>
          <cell r="J518" t="str">
            <v>DCAPHT350</v>
          </cell>
        </row>
        <row r="519">
          <cell r="A519" t="str">
            <v>stk42</v>
          </cell>
          <cell r="C519" t="str">
            <v>ÔÁng sắt tráng kẽm D42</v>
          </cell>
          <cell r="D519" t="str">
            <v>mét</v>
          </cell>
          <cell r="E519" t="str">
            <v>st</v>
          </cell>
          <cell r="F519">
            <v>50</v>
          </cell>
          <cell r="G519" t="str">
            <v>x</v>
          </cell>
          <cell r="J519" t="str">
            <v>stk42</v>
          </cell>
        </row>
        <row r="520">
          <cell r="A520" t="str">
            <v>stk60</v>
          </cell>
          <cell r="C520" t="str">
            <v>ÔÁng sắt tráng kẽm D60</v>
          </cell>
          <cell r="D520" t="str">
            <v>mét</v>
          </cell>
          <cell r="E520" t="str">
            <v>st</v>
          </cell>
          <cell r="F520">
            <v>50</v>
          </cell>
          <cell r="G520" t="str">
            <v>x</v>
          </cell>
          <cell r="J520" t="str">
            <v>stk60</v>
          </cell>
        </row>
        <row r="521">
          <cell r="A521" t="str">
            <v>stk90</v>
          </cell>
          <cell r="B521" t="str">
            <v>07.2204</v>
          </cell>
          <cell r="C521" t="str">
            <v>ÔÁng sắt tráng kẽm D90</v>
          </cell>
          <cell r="D521" t="str">
            <v>mét</v>
          </cell>
          <cell r="E521" t="str">
            <v>st</v>
          </cell>
          <cell r="F521">
            <v>50</v>
          </cell>
          <cell r="G521" t="str">
            <v>x</v>
          </cell>
          <cell r="J521" t="str">
            <v>stk90</v>
          </cell>
        </row>
        <row r="522">
          <cell r="A522" t="str">
            <v>stk114</v>
          </cell>
          <cell r="B522" t="str">
            <v>07.2204</v>
          </cell>
          <cell r="C522" t="str">
            <v>ÔÁng sắt tráng kẽm D114</v>
          </cell>
          <cell r="D522" t="str">
            <v>mét</v>
          </cell>
          <cell r="E522" t="str">
            <v>st</v>
          </cell>
          <cell r="F522">
            <v>50</v>
          </cell>
          <cell r="G522" t="str">
            <v>x</v>
          </cell>
          <cell r="J522" t="str">
            <v>stk114</v>
          </cell>
        </row>
        <row r="523">
          <cell r="A523" t="str">
            <v>stk140</v>
          </cell>
          <cell r="B523" t="str">
            <v>07.2204</v>
          </cell>
          <cell r="C523" t="str">
            <v>ÔÁng sắt tráng kẽm D140</v>
          </cell>
          <cell r="D523" t="str">
            <v>mét</v>
          </cell>
          <cell r="E523" t="str">
            <v>st</v>
          </cell>
          <cell r="F523">
            <v>50</v>
          </cell>
          <cell r="G523" t="str">
            <v>x</v>
          </cell>
          <cell r="J523" t="str">
            <v>stk140</v>
          </cell>
        </row>
        <row r="524">
          <cell r="A524" t="str">
            <v>stk160</v>
          </cell>
          <cell r="B524" t="str">
            <v>07.2204</v>
          </cell>
          <cell r="C524" t="str">
            <v>ÔÁng sắt tráng kẽm D160</v>
          </cell>
          <cell r="D524" t="str">
            <v>mét</v>
          </cell>
          <cell r="E524" t="str">
            <v>st</v>
          </cell>
          <cell r="F524">
            <v>50</v>
          </cell>
          <cell r="G524" t="str">
            <v>x</v>
          </cell>
          <cell r="J524" t="str">
            <v>stk160</v>
          </cell>
        </row>
        <row r="525">
          <cell r="A525" t="str">
            <v>stk168</v>
          </cell>
          <cell r="B525" t="str">
            <v>07.2204</v>
          </cell>
          <cell r="C525" t="str">
            <v>ÔÁng sắt tráng kẽm D168</v>
          </cell>
          <cell r="D525" t="str">
            <v>mét</v>
          </cell>
          <cell r="E525" t="str">
            <v>st</v>
          </cell>
          <cell r="F525">
            <v>50</v>
          </cell>
          <cell r="G525" t="str">
            <v>x</v>
          </cell>
          <cell r="J525" t="str">
            <v>stk168</v>
          </cell>
        </row>
        <row r="526">
          <cell r="A526" t="str">
            <v>costk114</v>
          </cell>
          <cell r="C526" t="str">
            <v>Măng sông STK 114</v>
          </cell>
          <cell r="D526" t="str">
            <v>cái</v>
          </cell>
          <cell r="E526" t="str">
            <v>co</v>
          </cell>
          <cell r="F526">
            <v>50</v>
          </cell>
          <cell r="G526" t="str">
            <v>x</v>
          </cell>
          <cell r="J526" t="str">
            <v>costk114</v>
          </cell>
        </row>
        <row r="527">
          <cell r="A527" t="str">
            <v>costk90</v>
          </cell>
          <cell r="C527" t="str">
            <v>Măng sông STK 90</v>
          </cell>
          <cell r="D527" t="str">
            <v>cái</v>
          </cell>
          <cell r="E527" t="str">
            <v>co</v>
          </cell>
          <cell r="F527">
            <v>50</v>
          </cell>
          <cell r="G527" t="str">
            <v>x</v>
          </cell>
          <cell r="J527" t="str">
            <v>costk90</v>
          </cell>
        </row>
        <row r="528">
          <cell r="A528" t="str">
            <v>YC</v>
          </cell>
          <cell r="C528" t="str">
            <v>Yếm cáp dày 2mm</v>
          </cell>
          <cell r="D528" t="str">
            <v>cái</v>
          </cell>
          <cell r="E528" t="str">
            <v>YC</v>
          </cell>
          <cell r="F528">
            <v>50</v>
          </cell>
          <cell r="G528" t="str">
            <v>x</v>
          </cell>
          <cell r="J528" t="str">
            <v>YC</v>
          </cell>
        </row>
        <row r="529">
          <cell r="E529" t="str">
            <v/>
          </cell>
          <cell r="F529">
            <v>50</v>
          </cell>
          <cell r="J529">
            <v>0</v>
          </cell>
        </row>
        <row r="530">
          <cell r="E530" t="str">
            <v/>
          </cell>
          <cell r="F530">
            <v>50</v>
          </cell>
          <cell r="J530">
            <v>0</v>
          </cell>
        </row>
        <row r="531">
          <cell r="A531" t="str">
            <v>Bảng kê đơn Giá nhân công  ( 67/1999/QĐ-BCN )</v>
          </cell>
          <cell r="E531" t="str">
            <v>Bả</v>
          </cell>
          <cell r="F531">
            <v>50</v>
          </cell>
          <cell r="J531" t="str">
            <v>Bảng kê đơn Giá nhân công  ( 67/1999/QĐ-BCN )</v>
          </cell>
        </row>
        <row r="532">
          <cell r="E532" t="str">
            <v/>
          </cell>
          <cell r="F532">
            <v>50</v>
          </cell>
          <cell r="J532">
            <v>0</v>
          </cell>
        </row>
        <row r="533">
          <cell r="A533" t="str">
            <v>Mã</v>
          </cell>
          <cell r="B533" t="str">
            <v>MHĐG</v>
          </cell>
          <cell r="C533" t="str">
            <v>Công việc</v>
          </cell>
          <cell r="D533" t="str">
            <v>Đơn vị</v>
          </cell>
          <cell r="E533" t="str">
            <v>Mã</v>
          </cell>
          <cell r="F533">
            <v>50</v>
          </cell>
          <cell r="J533" t="str">
            <v>Mã</v>
          </cell>
        </row>
        <row r="534">
          <cell r="A534">
            <v>1</v>
          </cell>
          <cell r="B534">
            <v>2</v>
          </cell>
          <cell r="C534">
            <v>3</v>
          </cell>
          <cell r="D534">
            <v>4</v>
          </cell>
          <cell r="E534" t="str">
            <v>1</v>
          </cell>
          <cell r="F534">
            <v>50</v>
          </cell>
          <cell r="J534">
            <v>1</v>
          </cell>
        </row>
        <row r="535">
          <cell r="A535" t="str">
            <v>MDDA1</v>
          </cell>
          <cell r="B535" t="str">
            <v>03.8133</v>
          </cell>
          <cell r="C535" t="str">
            <v>Phá đá chân hố móng, đá cấp I</v>
          </cell>
          <cell r="D535" t="str">
            <v>m3</v>
          </cell>
          <cell r="E535" t="str">
            <v>MD</v>
          </cell>
          <cell r="F535">
            <v>2000</v>
          </cell>
          <cell r="J535" t="str">
            <v>MDDA1</v>
          </cell>
        </row>
        <row r="536">
          <cell r="A536" t="str">
            <v>MDDA2</v>
          </cell>
          <cell r="B536" t="str">
            <v>03.8133</v>
          </cell>
          <cell r="C536" t="str">
            <v>Phá đá chân hố móng, đá cấp II</v>
          </cell>
          <cell r="D536" t="str">
            <v>m3</v>
          </cell>
          <cell r="E536" t="str">
            <v>MD</v>
          </cell>
          <cell r="F536">
            <v>2000</v>
          </cell>
          <cell r="J536" t="str">
            <v>MDDA2</v>
          </cell>
        </row>
        <row r="537">
          <cell r="A537" t="str">
            <v>MDD11</v>
          </cell>
          <cell r="B537" t="str">
            <v>03.1101</v>
          </cell>
          <cell r="C537" t="str">
            <v>Đào hố móng đất cấp 1 sâu &lt;=1m</v>
          </cell>
          <cell r="D537" t="str">
            <v>m3</v>
          </cell>
          <cell r="E537" t="str">
            <v>MD</v>
          </cell>
          <cell r="F537">
            <v>2000</v>
          </cell>
          <cell r="J537" t="str">
            <v>MDD11</v>
          </cell>
        </row>
        <row r="538">
          <cell r="A538" t="str">
            <v>MDD21</v>
          </cell>
          <cell r="B538" t="str">
            <v>03.1102</v>
          </cell>
          <cell r="C538" t="str">
            <v>Đào hố móng đất cấp 2 sâu &lt;=1m</v>
          </cell>
          <cell r="D538" t="str">
            <v>m3</v>
          </cell>
          <cell r="E538" t="str">
            <v>MD</v>
          </cell>
          <cell r="F538">
            <v>2000</v>
          </cell>
          <cell r="J538" t="str">
            <v>MDD21</v>
          </cell>
        </row>
        <row r="539">
          <cell r="A539" t="str">
            <v>MDD31</v>
          </cell>
          <cell r="B539" t="str">
            <v>03.1103</v>
          </cell>
          <cell r="C539" t="str">
            <v>Đào hố móng đất cấp 3 sâu &lt;=1m</v>
          </cell>
          <cell r="D539" t="str">
            <v>m3</v>
          </cell>
          <cell r="E539" t="str">
            <v>MD</v>
          </cell>
          <cell r="F539">
            <v>2000</v>
          </cell>
          <cell r="J539" t="str">
            <v>MDD31</v>
          </cell>
        </row>
        <row r="540">
          <cell r="A540" t="str">
            <v>MDD41</v>
          </cell>
          <cell r="B540" t="str">
            <v>03.1104</v>
          </cell>
          <cell r="C540" t="str">
            <v>Đào hố móng đất cấp 4 sâu &lt;=1m</v>
          </cell>
          <cell r="D540" t="str">
            <v>m3</v>
          </cell>
          <cell r="E540" t="str">
            <v>MD</v>
          </cell>
          <cell r="F540">
            <v>2000</v>
          </cell>
          <cell r="J540" t="str">
            <v>MDD41</v>
          </cell>
        </row>
        <row r="541">
          <cell r="A541" t="str">
            <v>MDD2</v>
          </cell>
          <cell r="B541" t="str">
            <v>03.1112</v>
          </cell>
          <cell r="C541" t="str">
            <v>Đào hố móng đất cấp 2 sâu &gt;1m</v>
          </cell>
          <cell r="D541" t="str">
            <v>m3</v>
          </cell>
          <cell r="E541" t="str">
            <v>MD</v>
          </cell>
          <cell r="F541">
            <v>2000</v>
          </cell>
          <cell r="J541" t="str">
            <v>MDD2</v>
          </cell>
        </row>
        <row r="542">
          <cell r="A542" t="str">
            <v>MDD3</v>
          </cell>
          <cell r="B542" t="str">
            <v>03.1013</v>
          </cell>
          <cell r="C542" t="str">
            <v>Đào hố móng đất cấp 3 sâu &gt;1m</v>
          </cell>
          <cell r="D542" t="str">
            <v>m3</v>
          </cell>
          <cell r="E542" t="str">
            <v>MD</v>
          </cell>
          <cell r="F542">
            <v>3000</v>
          </cell>
          <cell r="J542" t="str">
            <v>MDD3</v>
          </cell>
        </row>
        <row r="543">
          <cell r="A543" t="str">
            <v>AH2120</v>
          </cell>
          <cell r="B543" t="str">
            <v>03.1113</v>
          </cell>
          <cell r="C543" t="str">
            <v>Khoan cắt BT bằng máy khoan cằm tay</v>
          </cell>
          <cell r="D543" t="str">
            <v>m3</v>
          </cell>
          <cell r="E543" t="str">
            <v>AH</v>
          </cell>
          <cell r="F543">
            <v>2000</v>
          </cell>
          <cell r="J543" t="str">
            <v>AH2120</v>
          </cell>
        </row>
        <row r="544">
          <cell r="A544" t="str">
            <v>MDD4</v>
          </cell>
          <cell r="B544" t="str">
            <v>03.1114</v>
          </cell>
          <cell r="C544" t="str">
            <v>Đào hố móng đất cấp 4 sâu &gt;1m</v>
          </cell>
          <cell r="D544" t="str">
            <v>m3</v>
          </cell>
          <cell r="E544" t="str">
            <v>MD</v>
          </cell>
          <cell r="F544">
            <v>2000</v>
          </cell>
          <cell r="J544" t="str">
            <v>MDD4</v>
          </cell>
        </row>
        <row r="545">
          <cell r="A545" t="str">
            <v>MDAP1</v>
          </cell>
          <cell r="B545" t="str">
            <v>03.2201</v>
          </cell>
          <cell r="C545" t="str">
            <v>Đắp đất hố móng, đất cấp 1</v>
          </cell>
          <cell r="D545" t="str">
            <v>m3</v>
          </cell>
          <cell r="E545" t="str">
            <v>MD</v>
          </cell>
          <cell r="F545">
            <v>2000</v>
          </cell>
          <cell r="J545" t="str">
            <v>MDAP1</v>
          </cell>
        </row>
        <row r="546">
          <cell r="A546" t="str">
            <v>MDAP2</v>
          </cell>
          <cell r="B546" t="str">
            <v>03.2202</v>
          </cell>
          <cell r="C546" t="str">
            <v>Đắp đất hố móng, đất cấp 2</v>
          </cell>
          <cell r="D546" t="str">
            <v>m3</v>
          </cell>
          <cell r="E546" t="str">
            <v>MD</v>
          </cell>
          <cell r="F546">
            <v>2000</v>
          </cell>
          <cell r="J546" t="str">
            <v>MDAP2</v>
          </cell>
        </row>
        <row r="547">
          <cell r="A547" t="str">
            <v>MDAP3</v>
          </cell>
          <cell r="B547" t="str">
            <v>03.4113</v>
          </cell>
          <cell r="C547" t="str">
            <v>Đắp đất hố móng, độ chặt k=0,95</v>
          </cell>
          <cell r="D547" t="str">
            <v>m3</v>
          </cell>
          <cell r="E547" t="str">
            <v>MD</v>
          </cell>
          <cell r="F547">
            <v>2000</v>
          </cell>
          <cell r="J547" t="str">
            <v>MDAP3</v>
          </cell>
        </row>
        <row r="548">
          <cell r="A548" t="str">
            <v>MDAP4</v>
          </cell>
          <cell r="B548" t="str">
            <v>03.2203</v>
          </cell>
          <cell r="C548" t="str">
            <v>Đắp đất hố móng, đất cấp 4</v>
          </cell>
          <cell r="D548" t="str">
            <v>m3</v>
          </cell>
          <cell r="E548" t="str">
            <v>MD</v>
          </cell>
          <cell r="F548">
            <v>2000</v>
          </cell>
          <cell r="J548" t="str">
            <v>MDAP4</v>
          </cell>
        </row>
        <row r="549">
          <cell r="A549" t="str">
            <v>DMC2</v>
          </cell>
          <cell r="B549" t="str">
            <v>03.3102</v>
          </cell>
          <cell r="C549" t="str">
            <v>Đào mương cáp ngầm đất cấp 2</v>
          </cell>
          <cell r="D549" t="str">
            <v>m3</v>
          </cell>
          <cell r="E549" t="str">
            <v>DM</v>
          </cell>
          <cell r="F549">
            <v>2000</v>
          </cell>
          <cell r="J549" t="str">
            <v>DMC2</v>
          </cell>
        </row>
        <row r="550">
          <cell r="A550" t="str">
            <v>DMC3</v>
          </cell>
          <cell r="B550" t="str">
            <v>03.3103</v>
          </cell>
          <cell r="C550" t="str">
            <v>Đào mương cáp ngầm đất cấp 3</v>
          </cell>
          <cell r="D550" t="str">
            <v>m3</v>
          </cell>
          <cell r="E550" t="str">
            <v>DM</v>
          </cell>
          <cell r="F550">
            <v>2000</v>
          </cell>
          <cell r="J550" t="str">
            <v>DMC3</v>
          </cell>
        </row>
        <row r="551">
          <cell r="A551" t="str">
            <v>DMC4</v>
          </cell>
          <cell r="B551" t="str">
            <v>03.3104</v>
          </cell>
          <cell r="C551" t="str">
            <v>Đào mương cáp ngầm đất cấp 4</v>
          </cell>
          <cell r="D551" t="str">
            <v>m3</v>
          </cell>
          <cell r="E551" t="str">
            <v>DM</v>
          </cell>
          <cell r="F551">
            <v>2000</v>
          </cell>
          <cell r="J551" t="str">
            <v>DMC4</v>
          </cell>
        </row>
        <row r="552">
          <cell r="A552" t="str">
            <v>DDMC2</v>
          </cell>
          <cell r="B552" t="str">
            <v>03.3202</v>
          </cell>
          <cell r="C552" t="str">
            <v>Đắp đất mương cáp ngầm, đất cấp 2</v>
          </cell>
          <cell r="D552" t="str">
            <v>m3</v>
          </cell>
          <cell r="E552" t="str">
            <v>DD</v>
          </cell>
          <cell r="F552">
            <v>2000</v>
          </cell>
          <cell r="J552" t="str">
            <v>DDMC2</v>
          </cell>
        </row>
        <row r="553">
          <cell r="A553" t="str">
            <v>DDMC3</v>
          </cell>
          <cell r="B553" t="str">
            <v>03.3203</v>
          </cell>
          <cell r="C553" t="str">
            <v>Đắp đất mương cáp ngầm, đất cấp 3</v>
          </cell>
          <cell r="D553" t="str">
            <v>m3</v>
          </cell>
          <cell r="E553" t="str">
            <v>DD</v>
          </cell>
          <cell r="F553">
            <v>2000</v>
          </cell>
          <cell r="J553" t="str">
            <v>DDMC3</v>
          </cell>
        </row>
        <row r="554">
          <cell r="A554" t="str">
            <v>DDMC4</v>
          </cell>
          <cell r="B554" t="str">
            <v>03.3203</v>
          </cell>
          <cell r="C554" t="str">
            <v>Đắp đất mương cáp ngầm, đất cấp 4</v>
          </cell>
          <cell r="D554" t="str">
            <v>m3</v>
          </cell>
          <cell r="E554" t="str">
            <v>DD</v>
          </cell>
          <cell r="F554">
            <v>2000</v>
          </cell>
          <cell r="J554" t="str">
            <v>DDMC4</v>
          </cell>
        </row>
        <row r="555">
          <cell r="A555" t="str">
            <v>DCAT</v>
          </cell>
          <cell r="B555" t="str">
            <v>03.7000</v>
          </cell>
          <cell r="C555" t="str">
            <v xml:space="preserve">Đắp cát </v>
          </cell>
          <cell r="D555" t="str">
            <v>m3</v>
          </cell>
          <cell r="E555" t="str">
            <v>DC</v>
          </cell>
          <cell r="F555">
            <v>2000</v>
          </cell>
          <cell r="J555" t="str">
            <v>DCAT</v>
          </cell>
        </row>
        <row r="556">
          <cell r="A556" t="str">
            <v>DD1x2</v>
          </cell>
          <cell r="B556" t="str">
            <v>03.7000</v>
          </cell>
          <cell r="C556" t="str">
            <v>Đắp đá 1x2</v>
          </cell>
          <cell r="D556" t="str">
            <v>m3</v>
          </cell>
          <cell r="E556" t="str">
            <v>DD</v>
          </cell>
          <cell r="F556">
            <v>2000</v>
          </cell>
          <cell r="J556" t="str">
            <v>DD1x2</v>
          </cell>
        </row>
        <row r="557">
          <cell r="A557" t="str">
            <v>DD2x4</v>
          </cell>
          <cell r="B557" t="str">
            <v>03.7000</v>
          </cell>
          <cell r="C557" t="str">
            <v>Đắp đá 2x4</v>
          </cell>
          <cell r="D557" t="str">
            <v>m3</v>
          </cell>
          <cell r="E557" t="str">
            <v>DD</v>
          </cell>
          <cell r="F557">
            <v>2000</v>
          </cell>
          <cell r="J557" t="str">
            <v>DD2x4</v>
          </cell>
        </row>
        <row r="558">
          <cell r="A558" t="str">
            <v>DTD2</v>
          </cell>
          <cell r="B558" t="str">
            <v>03.3102</v>
          </cell>
          <cell r="C558" t="str">
            <v>Đào rãnh tiếp địa đất cấp 2</v>
          </cell>
          <cell r="D558" t="str">
            <v>m3</v>
          </cell>
          <cell r="E558" t="str">
            <v>DT</v>
          </cell>
          <cell r="F558">
            <v>2000</v>
          </cell>
          <cell r="J558" t="str">
            <v>DTD2</v>
          </cell>
        </row>
        <row r="559">
          <cell r="A559" t="str">
            <v>DTD3</v>
          </cell>
          <cell r="B559" t="str">
            <v>03.3123</v>
          </cell>
          <cell r="C559" t="str">
            <v>Đào rãnh tiếp địa đất cấp 3</v>
          </cell>
          <cell r="D559" t="str">
            <v>m3</v>
          </cell>
          <cell r="E559" t="str">
            <v>DT</v>
          </cell>
          <cell r="F559">
            <v>2000</v>
          </cell>
          <cell r="J559" t="str">
            <v>DTD3</v>
          </cell>
        </row>
        <row r="560">
          <cell r="A560" t="str">
            <v>DTD4</v>
          </cell>
          <cell r="B560" t="str">
            <v>03.3103</v>
          </cell>
          <cell r="C560" t="str">
            <v>Đào rãnh tiếp địa đất cấp 4</v>
          </cell>
          <cell r="D560" t="str">
            <v>m3</v>
          </cell>
          <cell r="E560" t="str">
            <v>DT</v>
          </cell>
          <cell r="F560">
            <v>2000</v>
          </cell>
          <cell r="J560" t="str">
            <v>DTD4</v>
          </cell>
        </row>
        <row r="561">
          <cell r="A561" t="str">
            <v>DATD2</v>
          </cell>
          <cell r="B561" t="str">
            <v>03.3202</v>
          </cell>
          <cell r="C561" t="str">
            <v>Đắp đất rãnh tiếp địa cấp 2</v>
          </cell>
          <cell r="D561" t="str">
            <v>m3</v>
          </cell>
          <cell r="E561" t="str">
            <v>DA</v>
          </cell>
          <cell r="F561">
            <v>2000</v>
          </cell>
          <cell r="J561" t="str">
            <v>DATD2</v>
          </cell>
        </row>
        <row r="562">
          <cell r="A562" t="str">
            <v>DATD3</v>
          </cell>
          <cell r="B562" t="str">
            <v>03.4123</v>
          </cell>
          <cell r="C562" t="str">
            <v>Đắp đất rãnh tiếp độ chặt k=0,85</v>
          </cell>
          <cell r="D562" t="str">
            <v>m3</v>
          </cell>
          <cell r="E562" t="str">
            <v>DA</v>
          </cell>
          <cell r="F562">
            <v>2000</v>
          </cell>
          <cell r="J562" t="str">
            <v>DATD3</v>
          </cell>
        </row>
        <row r="563">
          <cell r="A563" t="str">
            <v>DATD4</v>
          </cell>
          <cell r="B563" t="str">
            <v>03.3203</v>
          </cell>
          <cell r="C563" t="str">
            <v>Đắp đất rãnh tiếp địa cấp 4</v>
          </cell>
          <cell r="D563" t="str">
            <v>m3</v>
          </cell>
          <cell r="E563" t="str">
            <v>DA</v>
          </cell>
          <cell r="F563">
            <v>2000</v>
          </cell>
          <cell r="J563" t="str">
            <v>DATD4</v>
          </cell>
        </row>
        <row r="564">
          <cell r="A564" t="str">
            <v>LGIA</v>
          </cell>
          <cell r="B564" t="str">
            <v>05.6101</v>
          </cell>
          <cell r="C564" t="str">
            <v>Lắp Giá đỡ cáp</v>
          </cell>
          <cell r="D564" t="str">
            <v>bộ</v>
          </cell>
          <cell r="E564" t="str">
            <v>LG</v>
          </cell>
          <cell r="F564">
            <v>2000</v>
          </cell>
          <cell r="J564" t="str">
            <v>LGIA</v>
          </cell>
        </row>
        <row r="565">
          <cell r="A565" t="str">
            <v>lapkep</v>
          </cell>
          <cell r="B565" t="str">
            <v>04.3107</v>
          </cell>
          <cell r="C565" t="str">
            <v>Lắp kẹp các loại</v>
          </cell>
          <cell r="D565" t="str">
            <v>bộ</v>
          </cell>
          <cell r="E565" t="str">
            <v>la</v>
          </cell>
          <cell r="F565">
            <v>2000</v>
          </cell>
          <cell r="J565" t="str">
            <v>lapkep</v>
          </cell>
        </row>
        <row r="566">
          <cell r="A566" t="str">
            <v>LGACH</v>
          </cell>
          <cell r="B566" t="str">
            <v>07.2104</v>
          </cell>
          <cell r="C566" t="str">
            <v>Lắp gạch làm dấu</v>
          </cell>
          <cell r="D566" t="str">
            <v>viên</v>
          </cell>
          <cell r="E566" t="str">
            <v>LG</v>
          </cell>
          <cell r="F566">
            <v>2000</v>
          </cell>
          <cell r="J566" t="str">
            <v>LGACH</v>
          </cell>
        </row>
        <row r="567">
          <cell r="A567" t="str">
            <v>LNLON</v>
          </cell>
          <cell r="C567" t="str">
            <v>Lắp Nylon làm dấu</v>
          </cell>
          <cell r="D567" t="str">
            <v>m3</v>
          </cell>
          <cell r="E567" t="str">
            <v>LN</v>
          </cell>
          <cell r="F567">
            <v>2000</v>
          </cell>
          <cell r="J567" t="str">
            <v>LNLON</v>
          </cell>
        </row>
        <row r="568">
          <cell r="A568" t="str">
            <v>M15</v>
          </cell>
          <cell r="B568" t="str">
            <v>04.3801</v>
          </cell>
          <cell r="C568" t="str">
            <v>Đặt đà cản 1,5m</v>
          </cell>
          <cell r="D568" t="str">
            <v>cái</v>
          </cell>
          <cell r="E568" t="str">
            <v>M1</v>
          </cell>
          <cell r="F568">
            <v>2000</v>
          </cell>
          <cell r="J568" t="str">
            <v>M15</v>
          </cell>
        </row>
        <row r="569">
          <cell r="A569" t="str">
            <v>MD25</v>
          </cell>
          <cell r="B569" t="str">
            <v>04.3802</v>
          </cell>
          <cell r="C569" t="str">
            <v xml:space="preserve">Đặt đà cản 2,5m </v>
          </cell>
          <cell r="D569" t="str">
            <v>cái</v>
          </cell>
          <cell r="E569" t="str">
            <v>MD</v>
          </cell>
          <cell r="F569">
            <v>2000</v>
          </cell>
          <cell r="J569" t="str">
            <v>MD25</v>
          </cell>
        </row>
        <row r="570">
          <cell r="A570" t="str">
            <v>DCT25</v>
          </cell>
          <cell r="B570" t="str">
            <v>04.5142</v>
          </cell>
          <cell r="C570" t="str">
            <v>Đóng cừ tràm 2,5 m</v>
          </cell>
          <cell r="D570" t="str">
            <v>cây</v>
          </cell>
          <cell r="E570" t="str">
            <v>DC</v>
          </cell>
          <cell r="F570">
            <v>2000</v>
          </cell>
          <cell r="J570" t="str">
            <v>DCT25</v>
          </cell>
        </row>
        <row r="571">
          <cell r="A571" t="str">
            <v>DCT30</v>
          </cell>
          <cell r="B571" t="str">
            <v>04.5142</v>
          </cell>
          <cell r="C571" t="str">
            <v>Đóng cừ tràm 3 m</v>
          </cell>
          <cell r="D571" t="str">
            <v>cây</v>
          </cell>
          <cell r="E571" t="str">
            <v>DC</v>
          </cell>
          <cell r="F571">
            <v>2000</v>
          </cell>
          <cell r="J571" t="str">
            <v>DCT30</v>
          </cell>
        </row>
        <row r="572">
          <cell r="A572" t="str">
            <v>DCT50</v>
          </cell>
          <cell r="B572" t="str">
            <v>04.5142</v>
          </cell>
          <cell r="C572" t="str">
            <v>Đóng cừ tràm 5 m</v>
          </cell>
          <cell r="D572" t="str">
            <v>cây</v>
          </cell>
          <cell r="E572" t="str">
            <v>DC</v>
          </cell>
          <cell r="F572">
            <v>2000</v>
          </cell>
          <cell r="J572" t="str">
            <v>DCT50</v>
          </cell>
        </row>
        <row r="573">
          <cell r="A573" t="str">
            <v>QBT</v>
          </cell>
          <cell r="B573" t="str">
            <v>04.9001</v>
          </cell>
          <cell r="C573" t="str">
            <v>Quét nhựa bi tum nóng (0,2kg/m2)</v>
          </cell>
          <cell r="D573" t="str">
            <v>m2</v>
          </cell>
          <cell r="E573" t="str">
            <v>QB</v>
          </cell>
          <cell r="F573">
            <v>2000</v>
          </cell>
          <cell r="J573" t="str">
            <v>QBT</v>
          </cell>
        </row>
        <row r="574">
          <cell r="A574" t="str">
            <v>VCDA1</v>
          </cell>
          <cell r="B574" t="str">
            <v>02.1451</v>
          </cell>
          <cell r="C574" t="str">
            <v>V/c đà cản vào vị trí (cự ly &lt;=100m)</v>
          </cell>
          <cell r="D574" t="str">
            <v>tấn</v>
          </cell>
          <cell r="E574" t="str">
            <v>VC</v>
          </cell>
          <cell r="F574">
            <v>2000</v>
          </cell>
          <cell r="J574" t="str">
            <v>VCDA1</v>
          </cell>
        </row>
        <row r="575">
          <cell r="A575" t="str">
            <v>VCDA2</v>
          </cell>
          <cell r="B575" t="str">
            <v>02.1452</v>
          </cell>
          <cell r="C575" t="str">
            <v>V/c đà cản vào vị trí (cự ly &lt;=300m)</v>
          </cell>
          <cell r="D575" t="str">
            <v>tấn</v>
          </cell>
          <cell r="E575" t="str">
            <v>VC</v>
          </cell>
          <cell r="F575">
            <v>2000</v>
          </cell>
          <cell r="J575" t="str">
            <v>VCDA2</v>
          </cell>
        </row>
        <row r="576">
          <cell r="A576" t="str">
            <v>VCDA3</v>
          </cell>
          <cell r="B576" t="str">
            <v>02.1453</v>
          </cell>
          <cell r="C576" t="str">
            <v>V/c đà cản vào vị trí (cự ly &lt;=500m)</v>
          </cell>
          <cell r="D576" t="str">
            <v>tấn</v>
          </cell>
          <cell r="E576" t="str">
            <v>VC</v>
          </cell>
          <cell r="F576">
            <v>2000</v>
          </cell>
          <cell r="J576" t="str">
            <v>VCDA3</v>
          </cell>
        </row>
        <row r="577">
          <cell r="A577" t="str">
            <v>VCDA4</v>
          </cell>
          <cell r="B577" t="str">
            <v>02.1454</v>
          </cell>
          <cell r="C577" t="str">
            <v>V/c đà cản vào vị trí (cự ly&gt;500m)</v>
          </cell>
          <cell r="D577" t="str">
            <v>tấn</v>
          </cell>
          <cell r="E577" t="str">
            <v>VC</v>
          </cell>
          <cell r="F577">
            <v>2000</v>
          </cell>
          <cell r="J577" t="str">
            <v>VCDA4</v>
          </cell>
        </row>
        <row r="578">
          <cell r="A578" t="str">
            <v>VCDN1</v>
          </cell>
          <cell r="B578" t="str">
            <v>02.1451</v>
          </cell>
          <cell r="C578" t="str">
            <v>V/c đế néo vào vị trí (cự ly &lt;=100m)</v>
          </cell>
          <cell r="D578" t="str">
            <v>tấn</v>
          </cell>
          <cell r="E578" t="str">
            <v>VC</v>
          </cell>
          <cell r="F578">
            <v>2000</v>
          </cell>
          <cell r="J578" t="str">
            <v>VCDN1</v>
          </cell>
        </row>
        <row r="579">
          <cell r="A579" t="str">
            <v>VCDN2</v>
          </cell>
          <cell r="B579" t="str">
            <v>02.1452</v>
          </cell>
          <cell r="C579" t="str">
            <v>V/c đế néo vào vị trí (cự ly &lt;=300m)</v>
          </cell>
          <cell r="D579" t="str">
            <v>tấn</v>
          </cell>
          <cell r="E579" t="str">
            <v>VC</v>
          </cell>
          <cell r="F579">
            <v>2000</v>
          </cell>
          <cell r="J579" t="str">
            <v>VCDN2</v>
          </cell>
        </row>
        <row r="580">
          <cell r="A580" t="str">
            <v>VCDN3</v>
          </cell>
          <cell r="B580" t="str">
            <v>02.1453</v>
          </cell>
          <cell r="C580" t="str">
            <v>V/c đế néo vào vị trí (cự ly &lt;=500m)</v>
          </cell>
          <cell r="D580" t="str">
            <v>tấn</v>
          </cell>
          <cell r="E580" t="str">
            <v>VC</v>
          </cell>
          <cell r="F580">
            <v>2000</v>
          </cell>
          <cell r="J580" t="str">
            <v>VCDN3</v>
          </cell>
        </row>
        <row r="581">
          <cell r="A581" t="str">
            <v>VCDN4</v>
          </cell>
          <cell r="B581" t="str">
            <v>02.1454</v>
          </cell>
          <cell r="C581" t="str">
            <v>V/c đế néo vào vị trí (cự ly&gt;500m)</v>
          </cell>
          <cell r="D581" t="str">
            <v>tấn</v>
          </cell>
          <cell r="E581" t="str">
            <v>VC</v>
          </cell>
          <cell r="F581">
            <v>2000</v>
          </cell>
          <cell r="J581" t="str">
            <v>VCDN4</v>
          </cell>
        </row>
        <row r="582">
          <cell r="A582" t="str">
            <v>VCNX1</v>
          </cell>
          <cell r="B582" t="str">
            <v>02.1421</v>
          </cell>
          <cell r="C582" t="str">
            <v>V/c neo xòe vào vị trí (cự ly &lt;=100m)</v>
          </cell>
          <cell r="D582" t="str">
            <v>tấn</v>
          </cell>
          <cell r="E582" t="str">
            <v>VC</v>
          </cell>
          <cell r="F582">
            <v>2000</v>
          </cell>
          <cell r="J582" t="str">
            <v>VCNX1</v>
          </cell>
        </row>
        <row r="583">
          <cell r="A583" t="str">
            <v>VCNX2</v>
          </cell>
          <cell r="B583" t="str">
            <v>02.1422</v>
          </cell>
          <cell r="C583" t="str">
            <v>V/c neo xòe vào vị trí (cự ly &lt;=300m)</v>
          </cell>
          <cell r="D583" t="str">
            <v>tấn</v>
          </cell>
          <cell r="E583" t="str">
            <v>VC</v>
          </cell>
          <cell r="F583">
            <v>2000</v>
          </cell>
          <cell r="J583" t="str">
            <v>VCNX2</v>
          </cell>
        </row>
        <row r="584">
          <cell r="A584" t="str">
            <v>VCNX3</v>
          </cell>
          <cell r="B584" t="str">
            <v>02.1423</v>
          </cell>
          <cell r="C584" t="str">
            <v>V/c neo xòe vào vị trí (cự ly &lt;=500m)</v>
          </cell>
          <cell r="D584" t="str">
            <v>tấn</v>
          </cell>
          <cell r="E584" t="str">
            <v>VC</v>
          </cell>
          <cell r="F584">
            <v>2000</v>
          </cell>
          <cell r="J584" t="str">
            <v>VCNX3</v>
          </cell>
        </row>
        <row r="585">
          <cell r="A585" t="str">
            <v>VCNX4</v>
          </cell>
          <cell r="B585" t="str">
            <v>02.1424</v>
          </cell>
          <cell r="C585" t="str">
            <v>V/c neo xòe vào vị trí (cự ly&gt;500m)</v>
          </cell>
          <cell r="D585" t="str">
            <v>tấn</v>
          </cell>
          <cell r="E585" t="str">
            <v>VC</v>
          </cell>
          <cell r="F585">
            <v>2000</v>
          </cell>
          <cell r="J585" t="str">
            <v>VCNX4</v>
          </cell>
        </row>
        <row r="586">
          <cell r="A586" t="str">
            <v>VCC1</v>
          </cell>
          <cell r="B586" t="str">
            <v>02.1461</v>
          </cell>
          <cell r="C586" t="str">
            <v>V/c cột vào vị trí (cự ly &lt;=100m)</v>
          </cell>
          <cell r="D586" t="str">
            <v>tấn</v>
          </cell>
          <cell r="E586" t="str">
            <v>VC</v>
          </cell>
          <cell r="F586">
            <v>2000</v>
          </cell>
          <cell r="J586" t="str">
            <v>VCC1</v>
          </cell>
        </row>
        <row r="587">
          <cell r="A587" t="str">
            <v>VCC2</v>
          </cell>
          <cell r="B587" t="str">
            <v>02.1462</v>
          </cell>
          <cell r="C587" t="str">
            <v>V/c cột vào vị trí (cự ly &lt;=300m)</v>
          </cell>
          <cell r="D587" t="str">
            <v>tấn</v>
          </cell>
          <cell r="E587" t="str">
            <v>VC</v>
          </cell>
          <cell r="F587">
            <v>2000</v>
          </cell>
          <cell r="J587" t="str">
            <v>VCC2</v>
          </cell>
        </row>
        <row r="588">
          <cell r="A588" t="str">
            <v>VCC3</v>
          </cell>
          <cell r="B588" t="str">
            <v>02.1463</v>
          </cell>
          <cell r="C588" t="str">
            <v>V/c cột vào vị trí (cự ly &lt;=500m)</v>
          </cell>
          <cell r="D588" t="str">
            <v>tấn</v>
          </cell>
          <cell r="E588" t="str">
            <v>VC</v>
          </cell>
          <cell r="F588">
            <v>2000</v>
          </cell>
          <cell r="J588" t="str">
            <v>VCC3</v>
          </cell>
        </row>
        <row r="589">
          <cell r="A589" t="str">
            <v>VCC4</v>
          </cell>
          <cell r="B589" t="str">
            <v>02.1464</v>
          </cell>
          <cell r="C589" t="str">
            <v>V/c cột vào vị trí (cự ly &gt;500m)</v>
          </cell>
          <cell r="D589" t="str">
            <v>tấn</v>
          </cell>
          <cell r="E589" t="str">
            <v>VC</v>
          </cell>
          <cell r="F589">
            <v>2000</v>
          </cell>
          <cell r="J589" t="str">
            <v>VCC4</v>
          </cell>
        </row>
        <row r="590">
          <cell r="A590" t="str">
            <v>VCPK1</v>
          </cell>
          <cell r="B590" t="str">
            <v>02.1421</v>
          </cell>
          <cell r="C590" t="str">
            <v>V/c phụ kiện vào vị trí ( cự ly &lt;=100m)</v>
          </cell>
          <cell r="D590" t="str">
            <v>tấn</v>
          </cell>
          <cell r="E590" t="str">
            <v>VC</v>
          </cell>
          <cell r="F590">
            <v>2000</v>
          </cell>
          <cell r="J590" t="str">
            <v>VCPK1</v>
          </cell>
        </row>
        <row r="591">
          <cell r="A591" t="str">
            <v>VCPK2</v>
          </cell>
          <cell r="B591" t="str">
            <v>02.1422</v>
          </cell>
          <cell r="C591" t="str">
            <v>V/c phụ kiện vào vị trí ( cự ly &lt;=300m)</v>
          </cell>
          <cell r="D591" t="str">
            <v>tấn</v>
          </cell>
          <cell r="E591" t="str">
            <v>VC</v>
          </cell>
          <cell r="F591">
            <v>2000</v>
          </cell>
          <cell r="J591" t="str">
            <v>VCPK2</v>
          </cell>
        </row>
        <row r="592">
          <cell r="A592" t="str">
            <v>VCPK3</v>
          </cell>
          <cell r="B592" t="str">
            <v>02.1423</v>
          </cell>
          <cell r="C592" t="str">
            <v>V/c phụ kiện vào vị trí ( cự ly &lt;=500m)</v>
          </cell>
          <cell r="D592" t="str">
            <v>tấn</v>
          </cell>
          <cell r="E592" t="str">
            <v>VC</v>
          </cell>
          <cell r="F592">
            <v>2000</v>
          </cell>
          <cell r="J592" t="str">
            <v>VCPK3</v>
          </cell>
        </row>
        <row r="593">
          <cell r="A593" t="str">
            <v>VCPK4</v>
          </cell>
          <cell r="B593" t="str">
            <v>02.1424</v>
          </cell>
          <cell r="C593" t="str">
            <v>V/c phụ kiện vào vị trí ( cự ly &gt;500m)</v>
          </cell>
          <cell r="D593" t="str">
            <v>tấn</v>
          </cell>
          <cell r="E593" t="str">
            <v>VC</v>
          </cell>
          <cell r="F593">
            <v>2000</v>
          </cell>
          <cell r="J593" t="str">
            <v>VCPK4</v>
          </cell>
        </row>
        <row r="594">
          <cell r="A594" t="str">
            <v>VCTD1</v>
          </cell>
          <cell r="B594" t="str">
            <v>02.1351</v>
          </cell>
          <cell r="C594" t="str">
            <v>V/c tiếp địa vào vị trí ( cự ly &lt;=100m)</v>
          </cell>
          <cell r="D594" t="str">
            <v>tấn</v>
          </cell>
          <cell r="E594" t="str">
            <v>VC</v>
          </cell>
          <cell r="F594">
            <v>2000</v>
          </cell>
          <cell r="J594" t="str">
            <v>VCTD1</v>
          </cell>
        </row>
        <row r="595">
          <cell r="A595" t="str">
            <v>VCTD2</v>
          </cell>
          <cell r="B595" t="str">
            <v>02.1352</v>
          </cell>
          <cell r="C595" t="str">
            <v>V/c tiếp địa vào vị trí ( cự ly &lt;=300m)</v>
          </cell>
          <cell r="D595" t="str">
            <v>tấn</v>
          </cell>
          <cell r="E595" t="str">
            <v>VC</v>
          </cell>
          <cell r="F595">
            <v>2000</v>
          </cell>
          <cell r="J595" t="str">
            <v>VCTD2</v>
          </cell>
        </row>
        <row r="596">
          <cell r="A596" t="str">
            <v>VCTD3</v>
          </cell>
          <cell r="B596" t="str">
            <v>02.1353</v>
          </cell>
          <cell r="C596" t="str">
            <v>V/c tiếp địa vào vị trí ( cự ly &lt;=500m)</v>
          </cell>
          <cell r="D596" t="str">
            <v>tấn</v>
          </cell>
          <cell r="E596" t="str">
            <v>VC</v>
          </cell>
          <cell r="F596">
            <v>2000</v>
          </cell>
          <cell r="J596" t="str">
            <v>VCTD3</v>
          </cell>
        </row>
        <row r="597">
          <cell r="A597" t="str">
            <v>VCTD4</v>
          </cell>
          <cell r="B597" t="str">
            <v>02.1354</v>
          </cell>
          <cell r="C597" t="str">
            <v>V/c tiếp địa vào vị trí ( cự ly &gt;500m)</v>
          </cell>
          <cell r="D597" t="str">
            <v>tấn</v>
          </cell>
          <cell r="E597" t="str">
            <v>VC</v>
          </cell>
          <cell r="F597">
            <v>2000</v>
          </cell>
          <cell r="J597" t="str">
            <v>VCTD4</v>
          </cell>
        </row>
        <row r="598">
          <cell r="A598" t="str">
            <v>VCD1</v>
          </cell>
          <cell r="B598" t="str">
            <v>02.1441</v>
          </cell>
          <cell r="C598" t="str">
            <v>V/c dây vào vị trí (cự ly &lt;=100m)</v>
          </cell>
          <cell r="D598" t="str">
            <v>tấn</v>
          </cell>
          <cell r="E598" t="str">
            <v>VC</v>
          </cell>
          <cell r="F598">
            <v>2000</v>
          </cell>
          <cell r="J598" t="str">
            <v>VCD1</v>
          </cell>
        </row>
        <row r="599">
          <cell r="A599" t="str">
            <v>VCD2</v>
          </cell>
          <cell r="B599" t="str">
            <v>02.1442</v>
          </cell>
          <cell r="C599" t="str">
            <v>V/c dây vào vị trí (cự ly &lt;=300m)</v>
          </cell>
          <cell r="D599" t="str">
            <v>tấn</v>
          </cell>
          <cell r="E599" t="str">
            <v>VC</v>
          </cell>
          <cell r="F599">
            <v>2000</v>
          </cell>
          <cell r="J599" t="str">
            <v>VCD2</v>
          </cell>
        </row>
        <row r="600">
          <cell r="A600" t="str">
            <v>VCD3</v>
          </cell>
          <cell r="B600" t="str">
            <v>02.1443</v>
          </cell>
          <cell r="C600" t="str">
            <v>V/c dây vào vị trí (cự ly &lt;=500m)</v>
          </cell>
          <cell r="D600" t="str">
            <v>tấn</v>
          </cell>
          <cell r="E600" t="str">
            <v>VC</v>
          </cell>
          <cell r="F600">
            <v>2000</v>
          </cell>
          <cell r="J600" t="str">
            <v>VCD3</v>
          </cell>
        </row>
        <row r="601">
          <cell r="A601" t="str">
            <v>VCD4</v>
          </cell>
          <cell r="B601" t="str">
            <v>02.1444</v>
          </cell>
          <cell r="C601" t="str">
            <v>V/c dây vào vị trí (cự ly &gt; 500m)</v>
          </cell>
          <cell r="D601" t="str">
            <v>tấn</v>
          </cell>
          <cell r="E601" t="str">
            <v>VC</v>
          </cell>
          <cell r="F601">
            <v>2000</v>
          </cell>
          <cell r="J601" t="str">
            <v>VCD4</v>
          </cell>
        </row>
        <row r="602">
          <cell r="A602" t="str">
            <v>VCS1</v>
          </cell>
          <cell r="B602" t="str">
            <v>02.1431</v>
          </cell>
          <cell r="C602" t="str">
            <v>V/c sứ và phụ kiện vào vị trí (cự ly &lt;=100m)</v>
          </cell>
          <cell r="D602" t="str">
            <v>tấn</v>
          </cell>
          <cell r="E602" t="str">
            <v>VC</v>
          </cell>
          <cell r="F602">
            <v>2000</v>
          </cell>
          <cell r="J602" t="str">
            <v>VCS1</v>
          </cell>
        </row>
        <row r="603">
          <cell r="A603" t="str">
            <v>VCS2</v>
          </cell>
          <cell r="B603" t="str">
            <v>02.1432</v>
          </cell>
          <cell r="C603" t="str">
            <v>V/c sứ và phụ kiện vào vị trí (cự ly &lt;=300m)</v>
          </cell>
          <cell r="D603" t="str">
            <v>tấn</v>
          </cell>
          <cell r="E603" t="str">
            <v>VC</v>
          </cell>
          <cell r="F603">
            <v>2000</v>
          </cell>
          <cell r="J603" t="str">
            <v>VCS2</v>
          </cell>
        </row>
        <row r="604">
          <cell r="A604" t="str">
            <v>VCS3</v>
          </cell>
          <cell r="B604" t="str">
            <v>02.1433</v>
          </cell>
          <cell r="C604" t="str">
            <v>V/c sứ và phụ kiện vào vị trí (cự ly &lt;=500m)</v>
          </cell>
          <cell r="D604" t="str">
            <v>tấn</v>
          </cell>
          <cell r="E604" t="str">
            <v>VC</v>
          </cell>
          <cell r="F604">
            <v>2000</v>
          </cell>
          <cell r="J604" t="str">
            <v>VCS3</v>
          </cell>
        </row>
        <row r="605">
          <cell r="A605" t="str">
            <v>VCS4</v>
          </cell>
          <cell r="B605" t="str">
            <v>02.1434</v>
          </cell>
          <cell r="C605" t="str">
            <v>V/c sứ và phụ kiện vào vị trí (cự ly &gt; 500m)</v>
          </cell>
          <cell r="D605" t="str">
            <v>tấn</v>
          </cell>
          <cell r="E605" t="str">
            <v>VC</v>
          </cell>
          <cell r="F605">
            <v>2000</v>
          </cell>
          <cell r="J605" t="str">
            <v>VCS4</v>
          </cell>
        </row>
        <row r="606">
          <cell r="A606" t="str">
            <v>VCX1</v>
          </cell>
          <cell r="B606" t="str">
            <v>02.1361</v>
          </cell>
          <cell r="C606" t="str">
            <v>V/c xà vào vị trí (cư ly &lt;=100m)</v>
          </cell>
          <cell r="D606" t="str">
            <v>tấn</v>
          </cell>
          <cell r="E606" t="str">
            <v>VC</v>
          </cell>
          <cell r="F606">
            <v>2000</v>
          </cell>
          <cell r="J606" t="str">
            <v>VCX1</v>
          </cell>
        </row>
        <row r="607">
          <cell r="A607" t="str">
            <v>VCX2</v>
          </cell>
          <cell r="B607" t="str">
            <v>02.1362</v>
          </cell>
          <cell r="C607" t="str">
            <v>V/c xà vào vị trí (cư ly &lt;=300m)</v>
          </cell>
          <cell r="D607" t="str">
            <v>tấn</v>
          </cell>
          <cell r="E607" t="str">
            <v>VC</v>
          </cell>
          <cell r="F607">
            <v>2000</v>
          </cell>
          <cell r="J607" t="str">
            <v>VCX2</v>
          </cell>
        </row>
        <row r="608">
          <cell r="A608" t="str">
            <v>VCX3</v>
          </cell>
          <cell r="B608" t="str">
            <v>02.1363</v>
          </cell>
          <cell r="C608" t="str">
            <v>V/c xà vào vị trí (cư ly &lt;=500m)</v>
          </cell>
          <cell r="D608" t="str">
            <v>tấn</v>
          </cell>
          <cell r="E608" t="str">
            <v>VC</v>
          </cell>
          <cell r="F608">
            <v>2000</v>
          </cell>
          <cell r="J608" t="str">
            <v>VCX3</v>
          </cell>
        </row>
        <row r="609">
          <cell r="A609" t="str">
            <v>VCX4</v>
          </cell>
          <cell r="B609" t="str">
            <v>02.1364</v>
          </cell>
          <cell r="C609" t="str">
            <v>V/c xà vào vị trí (cư ly &gt;500m)</v>
          </cell>
          <cell r="D609" t="str">
            <v>tấn</v>
          </cell>
          <cell r="E609" t="str">
            <v>VC</v>
          </cell>
          <cell r="F609">
            <v>2000</v>
          </cell>
          <cell r="J609" t="str">
            <v>VCX4</v>
          </cell>
        </row>
        <row r="610">
          <cell r="A610" t="str">
            <v>VCDC1</v>
          </cell>
          <cell r="B610" t="str">
            <v>02.1482</v>
          </cell>
          <cell r="C610" t="str">
            <v>V/c dụng cụ thi công ( cự ly &lt;=100m)</v>
          </cell>
          <cell r="D610" t="str">
            <v>tấn</v>
          </cell>
          <cell r="E610" t="str">
            <v>VC</v>
          </cell>
          <cell r="F610">
            <v>2000</v>
          </cell>
          <cell r="J610" t="str">
            <v>VCDC1</v>
          </cell>
        </row>
        <row r="611">
          <cell r="A611" t="str">
            <v>VCDC2</v>
          </cell>
          <cell r="B611" t="str">
            <v>02.1483</v>
          </cell>
          <cell r="C611" t="str">
            <v>V/c dụng cụ thi công ( cự ly &lt;=300m)</v>
          </cell>
          <cell r="D611" t="str">
            <v>tấn</v>
          </cell>
          <cell r="E611" t="str">
            <v>VC</v>
          </cell>
          <cell r="F611">
            <v>2000</v>
          </cell>
          <cell r="J611" t="str">
            <v>VCDC2</v>
          </cell>
        </row>
        <row r="612">
          <cell r="A612" t="str">
            <v>VCDC3</v>
          </cell>
          <cell r="B612" t="str">
            <v>02.1484</v>
          </cell>
          <cell r="C612" t="str">
            <v>V/c dụng cụ thi công ( cự ly &lt;=500m)</v>
          </cell>
          <cell r="D612" t="str">
            <v>tấn</v>
          </cell>
          <cell r="E612" t="str">
            <v>VC</v>
          </cell>
          <cell r="F612">
            <v>2000</v>
          </cell>
          <cell r="J612" t="str">
            <v>VCDC3</v>
          </cell>
        </row>
        <row r="613">
          <cell r="A613" t="str">
            <v>VCDC4</v>
          </cell>
          <cell r="B613" t="str">
            <v>02.1485</v>
          </cell>
          <cell r="C613" t="str">
            <v>V/c dụng cụ thi công ( cự ly &gt; 500m)</v>
          </cell>
          <cell r="D613" t="str">
            <v>tấn</v>
          </cell>
          <cell r="E613" t="str">
            <v>VC</v>
          </cell>
          <cell r="F613">
            <v>2000</v>
          </cell>
          <cell r="J613" t="str">
            <v>VCDC4</v>
          </cell>
        </row>
        <row r="614">
          <cell r="A614" t="str">
            <v>VCCT1</v>
          </cell>
          <cell r="B614" t="str">
            <v>02.1391</v>
          </cell>
          <cell r="C614" t="str">
            <v>V/c cừ tràm 2,5 -3m( cự ly &lt;=100m)</v>
          </cell>
          <cell r="D614" t="str">
            <v>cây</v>
          </cell>
          <cell r="E614" t="str">
            <v>VC</v>
          </cell>
          <cell r="F614">
            <v>2000</v>
          </cell>
          <cell r="J614" t="str">
            <v>VCCT1</v>
          </cell>
        </row>
        <row r="615">
          <cell r="A615" t="str">
            <v>VCCT2</v>
          </cell>
          <cell r="B615" t="str">
            <v>02.1392</v>
          </cell>
          <cell r="C615" t="str">
            <v>V/c cừ tràm 2,5-3m ( cự ly &lt;=300m)</v>
          </cell>
          <cell r="D615" t="str">
            <v>cây</v>
          </cell>
          <cell r="E615" t="str">
            <v>VC</v>
          </cell>
          <cell r="F615">
            <v>2000</v>
          </cell>
          <cell r="J615" t="str">
            <v>VCCT2</v>
          </cell>
        </row>
        <row r="616">
          <cell r="A616" t="str">
            <v>VCCT3</v>
          </cell>
          <cell r="B616" t="str">
            <v>02.1393</v>
          </cell>
          <cell r="C616" t="str">
            <v>V/c cừ tràm 2,5-3m ( cự ly &lt;=500m)</v>
          </cell>
          <cell r="D616" t="str">
            <v>cây</v>
          </cell>
          <cell r="E616" t="str">
            <v>VC</v>
          </cell>
          <cell r="F616">
            <v>2000</v>
          </cell>
          <cell r="J616" t="str">
            <v>VCCT3</v>
          </cell>
        </row>
        <row r="617">
          <cell r="A617" t="str">
            <v>VCCT4</v>
          </cell>
          <cell r="B617" t="str">
            <v>02.1394</v>
          </cell>
          <cell r="C617" t="str">
            <v>V/c cừ tràm 2,5-3m ( cự ly &gt; 500m)</v>
          </cell>
          <cell r="D617" t="str">
            <v>cây</v>
          </cell>
          <cell r="E617" t="str">
            <v>VC</v>
          </cell>
          <cell r="F617">
            <v>2000</v>
          </cell>
          <cell r="J617" t="str">
            <v>VCCT4</v>
          </cell>
        </row>
        <row r="618">
          <cell r="A618" t="str">
            <v>VCCT5</v>
          </cell>
          <cell r="B618" t="str">
            <v>02.1411</v>
          </cell>
          <cell r="C618" t="str">
            <v>V/c cừ tràm 5m ( cự ly &lt;=100m)</v>
          </cell>
          <cell r="D618" t="str">
            <v>cây</v>
          </cell>
          <cell r="E618" t="str">
            <v>VC</v>
          </cell>
          <cell r="F618">
            <v>2000</v>
          </cell>
          <cell r="J618" t="str">
            <v>VCCT5</v>
          </cell>
        </row>
        <row r="619">
          <cell r="A619" t="str">
            <v>VCCT6</v>
          </cell>
          <cell r="B619" t="str">
            <v>02.1412</v>
          </cell>
          <cell r="C619" t="str">
            <v>V/c cừ tràm 5m ( cự ly &lt;=300m)</v>
          </cell>
          <cell r="D619" t="str">
            <v>cây</v>
          </cell>
          <cell r="E619" t="str">
            <v>VC</v>
          </cell>
          <cell r="F619">
            <v>2000</v>
          </cell>
          <cell r="J619" t="str">
            <v>VCCT6</v>
          </cell>
        </row>
        <row r="620">
          <cell r="A620" t="str">
            <v>VCCT7</v>
          </cell>
          <cell r="B620" t="str">
            <v>02.1413</v>
          </cell>
          <cell r="C620" t="str">
            <v>V/c cừ tràm 5m ( cự ly &lt;=500m)</v>
          </cell>
          <cell r="D620" t="str">
            <v>cây</v>
          </cell>
          <cell r="E620" t="str">
            <v>VC</v>
          </cell>
          <cell r="F620">
            <v>2000</v>
          </cell>
          <cell r="J620" t="str">
            <v>VCCT7</v>
          </cell>
        </row>
        <row r="621">
          <cell r="A621" t="str">
            <v>VCCT8</v>
          </cell>
          <cell r="B621" t="str">
            <v>02.1414</v>
          </cell>
          <cell r="C621" t="str">
            <v>V/c cừ tràm 5m ( cự ly &gt; 500m)</v>
          </cell>
          <cell r="D621" t="str">
            <v>cây</v>
          </cell>
          <cell r="E621" t="str">
            <v>VC</v>
          </cell>
          <cell r="F621">
            <v>2000</v>
          </cell>
          <cell r="J621" t="str">
            <v>VCCT8</v>
          </cell>
        </row>
        <row r="622">
          <cell r="A622" t="str">
            <v>VCXM1</v>
          </cell>
          <cell r="B622" t="str">
            <v>02.1211</v>
          </cell>
          <cell r="C622" t="str">
            <v>V/c xi măng ( cự ly &lt;=100m)</v>
          </cell>
          <cell r="D622" t="str">
            <v>tấn</v>
          </cell>
          <cell r="E622" t="str">
            <v>VC</v>
          </cell>
          <cell r="F622">
            <v>2000</v>
          </cell>
          <cell r="J622" t="str">
            <v>VCXM1</v>
          </cell>
        </row>
        <row r="623">
          <cell r="A623" t="str">
            <v>VCXM2</v>
          </cell>
          <cell r="B623" t="str">
            <v>02.1212</v>
          </cell>
          <cell r="C623" t="str">
            <v>V/c xi măng ( cự ly &lt;=300m)</v>
          </cell>
          <cell r="D623" t="str">
            <v>tấn</v>
          </cell>
          <cell r="E623" t="str">
            <v>VC</v>
          </cell>
          <cell r="F623">
            <v>2000</v>
          </cell>
          <cell r="J623" t="str">
            <v>VCXM2</v>
          </cell>
        </row>
        <row r="624">
          <cell r="A624" t="str">
            <v>VCXM3</v>
          </cell>
          <cell r="B624" t="str">
            <v>02.1213</v>
          </cell>
          <cell r="C624" t="str">
            <v>V/c xi măng ( cự ly &lt;=500m)</v>
          </cell>
          <cell r="D624" t="str">
            <v>tấn</v>
          </cell>
          <cell r="E624" t="str">
            <v>VC</v>
          </cell>
          <cell r="F624">
            <v>2000</v>
          </cell>
          <cell r="J624" t="str">
            <v>VCXM3</v>
          </cell>
        </row>
        <row r="625">
          <cell r="A625" t="str">
            <v>VCXM4</v>
          </cell>
          <cell r="B625" t="str">
            <v>02.1214</v>
          </cell>
          <cell r="C625" t="str">
            <v>V/c xi măng ( cự ly &gt;500m)</v>
          </cell>
          <cell r="D625" t="str">
            <v>tấn</v>
          </cell>
          <cell r="E625" t="str">
            <v>VC</v>
          </cell>
          <cell r="F625">
            <v>2000</v>
          </cell>
          <cell r="J625" t="str">
            <v>VCXM4</v>
          </cell>
        </row>
        <row r="626">
          <cell r="A626" t="str">
            <v>VCLD1</v>
          </cell>
          <cell r="B626" t="str">
            <v>02.1241</v>
          </cell>
          <cell r="C626" t="str">
            <v>V/c đá dăm ( cự ly &lt;=100m)</v>
          </cell>
          <cell r="D626" t="str">
            <v>m3</v>
          </cell>
          <cell r="E626" t="str">
            <v>VC</v>
          </cell>
          <cell r="F626">
            <v>2000</v>
          </cell>
          <cell r="J626" t="str">
            <v>VCLD1</v>
          </cell>
        </row>
        <row r="627">
          <cell r="A627" t="str">
            <v>VCLD2</v>
          </cell>
          <cell r="B627" t="str">
            <v>02.1242</v>
          </cell>
          <cell r="C627" t="str">
            <v>V/c đá dăm ( cự ly &lt;=300m)</v>
          </cell>
          <cell r="D627" t="str">
            <v>m3</v>
          </cell>
          <cell r="E627" t="str">
            <v>VC</v>
          </cell>
          <cell r="F627">
            <v>2000</v>
          </cell>
          <cell r="J627" t="str">
            <v>VCLD2</v>
          </cell>
        </row>
        <row r="628">
          <cell r="A628" t="str">
            <v>VCLD3</v>
          </cell>
          <cell r="B628" t="str">
            <v>02.1243</v>
          </cell>
          <cell r="C628" t="str">
            <v>V/c đá dăm ( cự ly &lt;=500m)</v>
          </cell>
          <cell r="D628" t="str">
            <v>m3</v>
          </cell>
          <cell r="E628" t="str">
            <v>VC</v>
          </cell>
          <cell r="F628">
            <v>2000</v>
          </cell>
          <cell r="J628" t="str">
            <v>VCLD3</v>
          </cell>
        </row>
        <row r="629">
          <cell r="A629" t="str">
            <v>VCLD4</v>
          </cell>
          <cell r="B629" t="str">
            <v>02.1244</v>
          </cell>
          <cell r="C629" t="str">
            <v>V/c đá dăm ( cự ly &gt;500m)</v>
          </cell>
          <cell r="D629" t="str">
            <v>m3</v>
          </cell>
          <cell r="E629" t="str">
            <v>VC</v>
          </cell>
          <cell r="F629">
            <v>2000</v>
          </cell>
          <cell r="J629" t="str">
            <v>VCLD4</v>
          </cell>
        </row>
        <row r="630">
          <cell r="A630" t="str">
            <v>VCDAT1</v>
          </cell>
          <cell r="B630" t="str">
            <v>02.1264</v>
          </cell>
          <cell r="C630" t="str">
            <v>V/c đất đi đổ ( cự ly &gt;500m) Cấp I</v>
          </cell>
          <cell r="D630" t="str">
            <v>m3</v>
          </cell>
          <cell r="E630" t="str">
            <v>VC</v>
          </cell>
          <cell r="F630">
            <v>2000</v>
          </cell>
          <cell r="J630" t="str">
            <v>VCDAT1</v>
          </cell>
        </row>
        <row r="631">
          <cell r="A631" t="str">
            <v>VCDAT2</v>
          </cell>
          <cell r="B631" t="str">
            <v>02.1274</v>
          </cell>
          <cell r="C631" t="str">
            <v>V/c đất đi đổ ( cự ly &gt;500m) Cấp II</v>
          </cell>
          <cell r="D631" t="str">
            <v>m3</v>
          </cell>
          <cell r="E631" t="str">
            <v>VC</v>
          </cell>
          <cell r="F631">
            <v>2000</v>
          </cell>
          <cell r="J631" t="str">
            <v>VCDAT2</v>
          </cell>
        </row>
        <row r="632">
          <cell r="A632" t="str">
            <v>VCDAT3</v>
          </cell>
          <cell r="B632" t="str">
            <v>02.1284</v>
          </cell>
          <cell r="C632" t="str">
            <v>V/c đất đi đổ ( cự ly &gt;500m) Cấp III</v>
          </cell>
          <cell r="D632" t="str">
            <v>m3</v>
          </cell>
          <cell r="E632" t="str">
            <v>VC</v>
          </cell>
          <cell r="F632">
            <v>2000</v>
          </cell>
          <cell r="J632" t="str">
            <v>VCDAT3</v>
          </cell>
        </row>
        <row r="633">
          <cell r="A633" t="str">
            <v>VCDAT4</v>
          </cell>
          <cell r="B633" t="str">
            <v>02.1294</v>
          </cell>
          <cell r="C633" t="str">
            <v>V/c đất đi đổ ( cự ly &gt;500m) Cấp IV</v>
          </cell>
          <cell r="D633" t="str">
            <v>m3</v>
          </cell>
          <cell r="E633" t="str">
            <v>VC</v>
          </cell>
          <cell r="F633">
            <v>2000</v>
          </cell>
          <cell r="J633" t="str">
            <v>VCDAT4</v>
          </cell>
        </row>
        <row r="634">
          <cell r="A634" t="str">
            <v>VCCAT1D</v>
          </cell>
          <cell r="B634" t="str">
            <v>021221</v>
          </cell>
          <cell r="C634" t="str">
            <v>V/c cát đen cự ly &lt;=100m</v>
          </cell>
          <cell r="D634" t="str">
            <v>m3</v>
          </cell>
          <cell r="E634" t="str">
            <v>VC</v>
          </cell>
          <cell r="F634">
            <v>2000</v>
          </cell>
          <cell r="J634" t="str">
            <v>VCCAT1D</v>
          </cell>
        </row>
        <row r="635">
          <cell r="A635" t="str">
            <v>VCCAT2d</v>
          </cell>
          <cell r="B635" t="str">
            <v>021222</v>
          </cell>
          <cell r="C635" t="str">
            <v>V/c cát đen cự ly &lt;=300m</v>
          </cell>
          <cell r="D635" t="str">
            <v>m3</v>
          </cell>
          <cell r="E635" t="str">
            <v>VC</v>
          </cell>
          <cell r="F635">
            <v>2000</v>
          </cell>
          <cell r="J635" t="str">
            <v>VCCAT2d</v>
          </cell>
        </row>
        <row r="636">
          <cell r="A636" t="str">
            <v>VCCAT3d</v>
          </cell>
          <cell r="B636" t="str">
            <v>021223</v>
          </cell>
          <cell r="C636" t="str">
            <v>V/c cát đen cự ly &lt;=500m</v>
          </cell>
          <cell r="D636" t="str">
            <v>m3</v>
          </cell>
          <cell r="E636" t="str">
            <v>VC</v>
          </cell>
          <cell r="F636">
            <v>2000</v>
          </cell>
          <cell r="J636" t="str">
            <v>VCCAT3d</v>
          </cell>
        </row>
        <row r="637">
          <cell r="A637" t="str">
            <v>VCCAT4d</v>
          </cell>
          <cell r="B637" t="str">
            <v>021224</v>
          </cell>
          <cell r="C637" t="str">
            <v>V/c cát đen cự ly &gt;500m</v>
          </cell>
          <cell r="D637" t="str">
            <v>m3</v>
          </cell>
          <cell r="E637" t="str">
            <v>VC</v>
          </cell>
          <cell r="F637">
            <v>2000</v>
          </cell>
          <cell r="J637" t="str">
            <v>VCCAT4d</v>
          </cell>
        </row>
        <row r="638">
          <cell r="A638" t="str">
            <v>VCCAT1</v>
          </cell>
          <cell r="B638" t="str">
            <v>02.1231</v>
          </cell>
          <cell r="C638" t="str">
            <v>V/c cát vàng cự ly &lt;=100m</v>
          </cell>
          <cell r="D638" t="str">
            <v>m3</v>
          </cell>
          <cell r="E638" t="str">
            <v>VC</v>
          </cell>
          <cell r="F638">
            <v>2000</v>
          </cell>
          <cell r="J638" t="str">
            <v>VCCAT1</v>
          </cell>
        </row>
        <row r="639">
          <cell r="A639" t="str">
            <v>VCCAT2</v>
          </cell>
          <cell r="B639" t="str">
            <v>02.1232</v>
          </cell>
          <cell r="C639" t="str">
            <v>V/c cát vàng cự ly &lt;=300m</v>
          </cell>
          <cell r="D639" t="str">
            <v>m3</v>
          </cell>
          <cell r="E639" t="str">
            <v>VC</v>
          </cell>
          <cell r="F639">
            <v>2000</v>
          </cell>
          <cell r="J639" t="str">
            <v>VCCAT2</v>
          </cell>
        </row>
        <row r="640">
          <cell r="A640" t="str">
            <v>VCCAT3</v>
          </cell>
          <cell r="B640" t="str">
            <v>02.1233</v>
          </cell>
          <cell r="C640" t="str">
            <v>V/c cát vàng cự ly &lt;=500m</v>
          </cell>
          <cell r="D640" t="str">
            <v>m3</v>
          </cell>
          <cell r="E640" t="str">
            <v>VC</v>
          </cell>
          <cell r="F640">
            <v>2000</v>
          </cell>
          <cell r="J640" t="str">
            <v>VCCAT3</v>
          </cell>
        </row>
        <row r="641">
          <cell r="A641" t="str">
            <v>VCCAT4</v>
          </cell>
          <cell r="B641" t="str">
            <v>02.1234</v>
          </cell>
          <cell r="C641" t="str">
            <v>V/c cát cự vàng ly &gt;500m</v>
          </cell>
          <cell r="D641" t="str">
            <v>m3</v>
          </cell>
          <cell r="E641" t="str">
            <v>VC</v>
          </cell>
          <cell r="F641">
            <v>2000</v>
          </cell>
          <cell r="J641" t="str">
            <v>VCCAT4</v>
          </cell>
        </row>
        <row r="642">
          <cell r="A642" t="str">
            <v>VCFE1</v>
          </cell>
          <cell r="B642" t="str">
            <v>02.1351</v>
          </cell>
          <cell r="C642" t="str">
            <v>V/c cốt thép ( cự ly &lt;=100m)</v>
          </cell>
          <cell r="D642" t="str">
            <v>tấn</v>
          </cell>
          <cell r="E642" t="str">
            <v>VC</v>
          </cell>
          <cell r="F642">
            <v>2000</v>
          </cell>
          <cell r="J642" t="str">
            <v>VCFE1</v>
          </cell>
        </row>
        <row r="643">
          <cell r="A643" t="str">
            <v>VCFE2</v>
          </cell>
          <cell r="B643" t="str">
            <v>02.1352</v>
          </cell>
          <cell r="C643" t="str">
            <v>V/c cốt thép ( cự ly &lt;=300m)</v>
          </cell>
          <cell r="D643" t="str">
            <v>tấn</v>
          </cell>
          <cell r="E643" t="str">
            <v>VC</v>
          </cell>
          <cell r="F643">
            <v>2000</v>
          </cell>
          <cell r="J643" t="str">
            <v>VCFE2</v>
          </cell>
        </row>
        <row r="644">
          <cell r="A644" t="str">
            <v>VCFE3</v>
          </cell>
          <cell r="B644" t="str">
            <v>02.1353</v>
          </cell>
          <cell r="C644" t="str">
            <v>V/c cốt thép ( cự ly &lt;=500m)</v>
          </cell>
          <cell r="D644" t="str">
            <v>tấn</v>
          </cell>
          <cell r="E644" t="str">
            <v>VC</v>
          </cell>
          <cell r="F644">
            <v>2000</v>
          </cell>
          <cell r="J644" t="str">
            <v>VCFE3</v>
          </cell>
        </row>
        <row r="645">
          <cell r="A645" t="str">
            <v>VCFE4</v>
          </cell>
          <cell r="B645" t="str">
            <v>02.1354</v>
          </cell>
          <cell r="C645" t="str">
            <v>V/c cốt thép ( cự ly &gt;500m)</v>
          </cell>
          <cell r="D645" t="str">
            <v>tấn</v>
          </cell>
          <cell r="E645" t="str">
            <v>VC</v>
          </cell>
          <cell r="F645">
            <v>2000</v>
          </cell>
          <cell r="J645" t="str">
            <v>VCFE4</v>
          </cell>
        </row>
        <row r="646">
          <cell r="A646" t="str">
            <v>BOCDC</v>
          </cell>
          <cell r="B646" t="str">
            <v>02.1123</v>
          </cell>
          <cell r="C646" t="str">
            <v>Bốc dỡ đà cản, đế néo</v>
          </cell>
          <cell r="D646" t="str">
            <v>tấn</v>
          </cell>
          <cell r="E646" t="str">
            <v>BO</v>
          </cell>
          <cell r="F646">
            <v>2000</v>
          </cell>
          <cell r="J646" t="str">
            <v>BOCDC</v>
          </cell>
        </row>
        <row r="647">
          <cell r="A647" t="str">
            <v>BOCNX</v>
          </cell>
          <cell r="B647" t="str">
            <v>02.3111</v>
          </cell>
          <cell r="C647" t="str">
            <v>Bốc dỡ neo xèo</v>
          </cell>
          <cell r="D647" t="str">
            <v>tấn</v>
          </cell>
          <cell r="E647" t="str">
            <v>BO</v>
          </cell>
          <cell r="F647">
            <v>2000</v>
          </cell>
          <cell r="J647" t="str">
            <v>BOCNX</v>
          </cell>
        </row>
        <row r="648">
          <cell r="A648" t="str">
            <v>BOCTR</v>
          </cell>
          <cell r="B648" t="str">
            <v>02.1124</v>
          </cell>
          <cell r="C648" t="str">
            <v xml:space="preserve">Bốc dỡ trụ </v>
          </cell>
          <cell r="D648" t="str">
            <v>tấn</v>
          </cell>
          <cell r="E648" t="str">
            <v>BO</v>
          </cell>
          <cell r="F648">
            <v>2000</v>
          </cell>
          <cell r="J648" t="str">
            <v>BOCTR</v>
          </cell>
        </row>
        <row r="649">
          <cell r="A649" t="str">
            <v>BOCX</v>
          </cell>
          <cell r="B649" t="str">
            <v>02.1115</v>
          </cell>
          <cell r="C649" t="str">
            <v>Bốc dỡ xà, thép thanh</v>
          </cell>
          <cell r="D649" t="str">
            <v>tấn</v>
          </cell>
          <cell r="E649" t="str">
            <v>BO</v>
          </cell>
          <cell r="F649">
            <v>2000</v>
          </cell>
          <cell r="J649" t="str">
            <v>BOCX</v>
          </cell>
        </row>
        <row r="650">
          <cell r="A650" t="str">
            <v>BOCD</v>
          </cell>
          <cell r="B650" t="str">
            <v>02.1122</v>
          </cell>
          <cell r="C650" t="str">
            <v>Bốc dỡ dây</v>
          </cell>
          <cell r="D650" t="str">
            <v>tấn</v>
          </cell>
          <cell r="E650" t="str">
            <v>BO</v>
          </cell>
          <cell r="F650">
            <v>2000</v>
          </cell>
          <cell r="J650" t="str">
            <v>BOCD</v>
          </cell>
        </row>
        <row r="651">
          <cell r="A651" t="str">
            <v>BOCPK</v>
          </cell>
          <cell r="B651" t="str">
            <v>02.1120</v>
          </cell>
          <cell r="C651" t="str">
            <v>Bốc dỡ phụ kiện</v>
          </cell>
          <cell r="D651" t="str">
            <v>tấn</v>
          </cell>
          <cell r="E651" t="str">
            <v>BO</v>
          </cell>
          <cell r="F651">
            <v>2000</v>
          </cell>
          <cell r="J651" t="str">
            <v>BOCPK</v>
          </cell>
        </row>
        <row r="652">
          <cell r="A652" t="str">
            <v>BOCS</v>
          </cell>
          <cell r="B652" t="str">
            <v>02.1121</v>
          </cell>
          <cell r="C652" t="str">
            <v>Bốc dỡ sứ</v>
          </cell>
          <cell r="D652" t="str">
            <v>tấn</v>
          </cell>
          <cell r="E652" t="str">
            <v>BO</v>
          </cell>
          <cell r="F652">
            <v>2000</v>
          </cell>
          <cell r="J652" t="str">
            <v>BOCS</v>
          </cell>
        </row>
        <row r="653">
          <cell r="A653" t="str">
            <v>BOCTH</v>
          </cell>
          <cell r="B653" t="str">
            <v>02.1114</v>
          </cell>
          <cell r="C653" t="str">
            <v>Bốc dỡ cốt thép</v>
          </cell>
          <cell r="D653" t="str">
            <v>tấn</v>
          </cell>
          <cell r="E653" t="str">
            <v>BO</v>
          </cell>
          <cell r="F653">
            <v>2000</v>
          </cell>
          <cell r="J653" t="str">
            <v>BOCTH</v>
          </cell>
        </row>
        <row r="654">
          <cell r="A654" t="str">
            <v>BOCXI</v>
          </cell>
          <cell r="B654" t="str">
            <v>02.1101</v>
          </cell>
          <cell r="C654" t="str">
            <v>Bốc dỡ xi măng</v>
          </cell>
          <cell r="D654" t="str">
            <v>tấn</v>
          </cell>
          <cell r="E654" t="str">
            <v>BO</v>
          </cell>
          <cell r="F654">
            <v>2000</v>
          </cell>
          <cell r="J654" t="str">
            <v>BOCXI</v>
          </cell>
        </row>
        <row r="655">
          <cell r="A655" t="str">
            <v>BOCCAT</v>
          </cell>
          <cell r="B655" t="str">
            <v>02.1103</v>
          </cell>
          <cell r="C655" t="str">
            <v>Bốc dỡ cát</v>
          </cell>
          <cell r="D655" t="str">
            <v>m3</v>
          </cell>
          <cell r="E655" t="str">
            <v>BO</v>
          </cell>
          <cell r="F655">
            <v>2000</v>
          </cell>
          <cell r="J655" t="str">
            <v>BOCCAT</v>
          </cell>
        </row>
        <row r="656">
          <cell r="A656" t="str">
            <v>BOCDA</v>
          </cell>
          <cell r="B656" t="str">
            <v>02.1104</v>
          </cell>
          <cell r="C656" t="str">
            <v>Bốc dỡ đá dăm</v>
          </cell>
          <cell r="D656" t="str">
            <v>m3</v>
          </cell>
          <cell r="E656" t="str">
            <v>BO</v>
          </cell>
          <cell r="F656">
            <v>2000</v>
          </cell>
          <cell r="J656" t="str">
            <v>BOCDA</v>
          </cell>
        </row>
        <row r="657">
          <cell r="A657" t="str">
            <v>BOBT</v>
          </cell>
          <cell r="B657" t="str">
            <v>02.1110</v>
          </cell>
          <cell r="C657" t="str">
            <v>Bốc dỡ bê tông</v>
          </cell>
          <cell r="D657" t="str">
            <v>m3</v>
          </cell>
          <cell r="E657" t="str">
            <v>BO</v>
          </cell>
          <cell r="F657">
            <v>2000</v>
          </cell>
          <cell r="J657" t="str">
            <v>BOBT</v>
          </cell>
        </row>
        <row r="658">
          <cell r="A658" t="str">
            <v>BOCCT5</v>
          </cell>
          <cell r="B658" t="str">
            <v>02.1119</v>
          </cell>
          <cell r="C658" t="str">
            <v>Bốc dỡ cừ tràm 5m</v>
          </cell>
          <cell r="D658" t="str">
            <v>cây</v>
          </cell>
          <cell r="E658" t="str">
            <v>BO</v>
          </cell>
          <cell r="F658">
            <v>2000</v>
          </cell>
          <cell r="J658" t="str">
            <v>BOCCT5</v>
          </cell>
        </row>
        <row r="659">
          <cell r="A659" t="str">
            <v>KTD</v>
          </cell>
          <cell r="B659" t="str">
            <v>05.7001</v>
          </cell>
          <cell r="C659" t="str">
            <v xml:space="preserve">Kéo dây tiếp địa </v>
          </cell>
          <cell r="D659" t="str">
            <v>mét</v>
          </cell>
          <cell r="E659" t="str">
            <v>KT</v>
          </cell>
          <cell r="F659">
            <v>2000</v>
          </cell>
          <cell r="J659" t="str">
            <v>KTD</v>
          </cell>
        </row>
        <row r="660">
          <cell r="A660" t="str">
            <v>KTDTBA</v>
          </cell>
          <cell r="B660" t="str">
            <v>04.7002</v>
          </cell>
          <cell r="C660" t="str">
            <v>Kéo dây tiếp địa trong TBA</v>
          </cell>
          <cell r="D660" t="str">
            <v>mét</v>
          </cell>
          <cell r="E660" t="str">
            <v>KT</v>
          </cell>
          <cell r="F660">
            <v>2000</v>
          </cell>
          <cell r="J660" t="str">
            <v>KTDTBA</v>
          </cell>
        </row>
        <row r="661">
          <cell r="A661" t="str">
            <v>DCTD3</v>
          </cell>
          <cell r="B661" t="str">
            <v>05.8103</v>
          </cell>
          <cell r="C661" t="str">
            <v>Đóng cọc tiếp địa đất cấp 3</v>
          </cell>
          <cell r="D661" t="str">
            <v>cọc</v>
          </cell>
          <cell r="E661" t="str">
            <v>DC</v>
          </cell>
          <cell r="F661">
            <v>2000</v>
          </cell>
          <cell r="J661" t="str">
            <v>DCTD3</v>
          </cell>
        </row>
        <row r="662">
          <cell r="A662" t="str">
            <v>DCTD4</v>
          </cell>
          <cell r="B662" t="str">
            <v>05.8003</v>
          </cell>
          <cell r="C662" t="str">
            <v>Đóng cọc tiếp địa đất cấp 4</v>
          </cell>
          <cell r="D662" t="str">
            <v>cọc</v>
          </cell>
          <cell r="E662" t="str">
            <v>DC</v>
          </cell>
          <cell r="F662">
            <v>2000</v>
          </cell>
          <cell r="J662" t="str">
            <v>DCTD4</v>
          </cell>
        </row>
        <row r="663">
          <cell r="A663" t="str">
            <v>DCTDTBA</v>
          </cell>
          <cell r="B663" t="str">
            <v>04.7001</v>
          </cell>
          <cell r="C663" t="str">
            <v>Đóng cọc tiếp địa trong TBA</v>
          </cell>
          <cell r="D663" t="str">
            <v>cọc</v>
          </cell>
          <cell r="E663" t="str">
            <v>DC</v>
          </cell>
          <cell r="F663">
            <v>2000</v>
          </cell>
          <cell r="J663" t="str">
            <v>DCTDTBA</v>
          </cell>
        </row>
        <row r="664">
          <cell r="A664" t="str">
            <v>C8</v>
          </cell>
          <cell r="B664" t="str">
            <v>05.5211</v>
          </cell>
          <cell r="C664" t="str">
            <v>Dựng trụ BTLT &lt;8m bằng thủ công</v>
          </cell>
          <cell r="D664" t="str">
            <v>trụ</v>
          </cell>
          <cell r="E664" t="str">
            <v>C8</v>
          </cell>
          <cell r="F664">
            <v>2000</v>
          </cell>
          <cell r="J664" t="str">
            <v>C8</v>
          </cell>
        </row>
        <row r="665">
          <cell r="A665" t="str">
            <v>C10</v>
          </cell>
          <cell r="B665" t="str">
            <v>05.5212</v>
          </cell>
          <cell r="C665" t="str">
            <v>Dựng trụ BTLT &lt;=10m bằng thủ công</v>
          </cell>
          <cell r="D665" t="str">
            <v>trụ</v>
          </cell>
          <cell r="E665" t="str">
            <v>C1</v>
          </cell>
          <cell r="F665">
            <v>2000</v>
          </cell>
          <cell r="J665" t="str">
            <v>C10</v>
          </cell>
        </row>
        <row r="666">
          <cell r="A666" t="str">
            <v>C105</v>
          </cell>
          <cell r="B666" t="str">
            <v>05.5213</v>
          </cell>
          <cell r="C666" t="str">
            <v>Dựng trụ BTLT 10,5m bằng thủ công</v>
          </cell>
          <cell r="D666" t="str">
            <v>trụ</v>
          </cell>
          <cell r="E666" t="str">
            <v>C1</v>
          </cell>
          <cell r="F666">
            <v>2000</v>
          </cell>
          <cell r="J666" t="str">
            <v>C105</v>
          </cell>
        </row>
        <row r="667">
          <cell r="A667" t="str">
            <v>C12</v>
          </cell>
          <cell r="B667" t="str">
            <v>05.5213</v>
          </cell>
          <cell r="C667" t="str">
            <v>Dựng trụ BTLT 12m bằng thủ công</v>
          </cell>
          <cell r="D667" t="str">
            <v>trụ</v>
          </cell>
          <cell r="E667" t="str">
            <v>C1</v>
          </cell>
          <cell r="F667">
            <v>2000</v>
          </cell>
          <cell r="J667" t="str">
            <v>C12</v>
          </cell>
        </row>
        <row r="668">
          <cell r="A668" t="str">
            <v>C14</v>
          </cell>
          <cell r="B668" t="str">
            <v>05.5214</v>
          </cell>
          <cell r="C668" t="str">
            <v>Dựng trụ BTLT 14m bằng thủ công</v>
          </cell>
          <cell r="D668" t="str">
            <v>trụ</v>
          </cell>
          <cell r="E668" t="str">
            <v>C1</v>
          </cell>
          <cell r="F668">
            <v>2000</v>
          </cell>
          <cell r="J668" t="str">
            <v>C14</v>
          </cell>
        </row>
        <row r="669">
          <cell r="A669" t="str">
            <v>C20</v>
          </cell>
          <cell r="B669" t="str">
            <v>05.5217</v>
          </cell>
          <cell r="C669" t="str">
            <v>Dựng trụ BTLT 20m bằng thủ công</v>
          </cell>
          <cell r="D669" t="str">
            <v>trụ</v>
          </cell>
          <cell r="E669" t="str">
            <v>C2</v>
          </cell>
          <cell r="F669">
            <v>2000</v>
          </cell>
          <cell r="J669" t="str">
            <v>C20</v>
          </cell>
        </row>
        <row r="670">
          <cell r="A670" t="str">
            <v>C8m</v>
          </cell>
          <cell r="B670" t="str">
            <v>05.5202</v>
          </cell>
          <cell r="C670" t="str">
            <v>Dựng trụ BTLT &lt;8m thủ công +cơ giới</v>
          </cell>
          <cell r="D670" t="str">
            <v>trụ</v>
          </cell>
          <cell r="E670" t="str">
            <v>C8</v>
          </cell>
          <cell r="F670">
            <v>2000</v>
          </cell>
          <cell r="J670" t="str">
            <v>C8m</v>
          </cell>
        </row>
        <row r="671">
          <cell r="A671" t="str">
            <v>C10m</v>
          </cell>
          <cell r="B671" t="str">
            <v>05.5302</v>
          </cell>
          <cell r="C671" t="str">
            <v>Dựng trụ BTLT &lt;10m thủ công +cơ giới</v>
          </cell>
          <cell r="D671" t="str">
            <v>trụ</v>
          </cell>
          <cell r="E671" t="str">
            <v>C1</v>
          </cell>
          <cell r="F671">
            <v>2000</v>
          </cell>
          <cell r="J671" t="str">
            <v>C10m</v>
          </cell>
        </row>
        <row r="672">
          <cell r="A672" t="str">
            <v>C105m</v>
          </cell>
          <cell r="B672" t="str">
            <v>05.5402</v>
          </cell>
          <cell r="C672" t="str">
            <v>Dựng trụ BTLT 10,5m thủ công + cơ giới</v>
          </cell>
          <cell r="D672" t="str">
            <v>trụ</v>
          </cell>
          <cell r="E672" t="str">
            <v>C1</v>
          </cell>
          <cell r="F672">
            <v>2000</v>
          </cell>
          <cell r="J672" t="str">
            <v>C105m</v>
          </cell>
        </row>
        <row r="673">
          <cell r="A673" t="str">
            <v>C12m</v>
          </cell>
          <cell r="B673" t="str">
            <v>05.5402</v>
          </cell>
          <cell r="C673" t="str">
            <v>Dựng trụ BTLT 12m thủ công + cơ giới</v>
          </cell>
          <cell r="D673" t="str">
            <v>trụ</v>
          </cell>
          <cell r="E673" t="str">
            <v>C1</v>
          </cell>
          <cell r="F673">
            <v>2000</v>
          </cell>
          <cell r="J673" t="str">
            <v>C12m</v>
          </cell>
        </row>
        <row r="674">
          <cell r="A674" t="str">
            <v>C14m</v>
          </cell>
          <cell r="B674" t="str">
            <v>05.5224</v>
          </cell>
          <cell r="C674" t="str">
            <v>Dựng trụ BTLT 14m thủ công + cơ giới</v>
          </cell>
          <cell r="D674" t="str">
            <v>trụ</v>
          </cell>
          <cell r="E674" t="str">
            <v>C1</v>
          </cell>
          <cell r="F674">
            <v>2000</v>
          </cell>
          <cell r="J674" t="str">
            <v>C14m</v>
          </cell>
        </row>
        <row r="675">
          <cell r="A675" t="str">
            <v>C20m</v>
          </cell>
          <cell r="B675" t="str">
            <v>05.5227</v>
          </cell>
          <cell r="C675" t="str">
            <v>Dựng trụ BTLT 20m thủ công + cơ giới</v>
          </cell>
          <cell r="D675" t="str">
            <v>trụ</v>
          </cell>
          <cell r="E675" t="str">
            <v>C2</v>
          </cell>
          <cell r="F675">
            <v>2000</v>
          </cell>
          <cell r="J675" t="str">
            <v>C20m</v>
          </cell>
        </row>
        <row r="676">
          <cell r="A676" t="str">
            <v>C12m-TBA</v>
          </cell>
          <cell r="B676" t="str">
            <v>04.9203</v>
          </cell>
          <cell r="C676" t="str">
            <v>Dựng trụ BTLT 12m trong TBA bằng thủ công + cơ giới</v>
          </cell>
          <cell r="D676" t="str">
            <v>trụ</v>
          </cell>
          <cell r="E676" t="str">
            <v>C1</v>
          </cell>
          <cell r="F676">
            <v>2000</v>
          </cell>
          <cell r="J676" t="str">
            <v>C12m-TBA</v>
          </cell>
        </row>
        <row r="677">
          <cell r="A677" t="str">
            <v>C10m-TBA</v>
          </cell>
          <cell r="B677" t="str">
            <v>04.9203</v>
          </cell>
          <cell r="C677" t="str">
            <v>Dựng trụ BTLT 10,5m trong TBA bằng thủ công + cơ giới</v>
          </cell>
          <cell r="D677" t="str">
            <v>trụ</v>
          </cell>
          <cell r="E677" t="str">
            <v>C1</v>
          </cell>
          <cell r="F677">
            <v>2000</v>
          </cell>
          <cell r="J677" t="str">
            <v>C10m-TBA</v>
          </cell>
        </row>
        <row r="678">
          <cell r="A678" t="str">
            <v>LXIT</v>
          </cell>
          <cell r="B678" t="str">
            <v>05.6401</v>
          </cell>
          <cell r="C678" t="str">
            <v>Lắp xà đỡ ≤ 25kg</v>
          </cell>
          <cell r="D678" t="str">
            <v>bộ</v>
          </cell>
          <cell r="E678" t="str">
            <v>LX</v>
          </cell>
          <cell r="F678">
            <v>2000</v>
          </cell>
          <cell r="J678" t="str">
            <v>LXIT</v>
          </cell>
        </row>
        <row r="679">
          <cell r="A679" t="str">
            <v>LXITL</v>
          </cell>
          <cell r="B679" t="str">
            <v>05.6102</v>
          </cell>
          <cell r="C679" t="str">
            <v>Lắp xà đỡ ≤ 50kg</v>
          </cell>
          <cell r="D679" t="str">
            <v>bộ</v>
          </cell>
          <cell r="E679" t="str">
            <v>LX</v>
          </cell>
          <cell r="F679">
            <v>2000</v>
          </cell>
          <cell r="J679" t="str">
            <v>LXITL</v>
          </cell>
        </row>
        <row r="680">
          <cell r="A680" t="str">
            <v>LXINN</v>
          </cell>
          <cell r="B680" t="str">
            <v>05.6201</v>
          </cell>
          <cell r="C680" t="str">
            <v>Lắp xà néo ≤ 25kg</v>
          </cell>
          <cell r="D680" t="str">
            <v>bộ</v>
          </cell>
          <cell r="E680" t="str">
            <v>LX</v>
          </cell>
          <cell r="F680">
            <v>2000</v>
          </cell>
          <cell r="J680" t="str">
            <v>LXINN</v>
          </cell>
        </row>
        <row r="681">
          <cell r="A681" t="str">
            <v>LXIN</v>
          </cell>
          <cell r="B681" t="str">
            <v>05.6202</v>
          </cell>
          <cell r="C681" t="str">
            <v>Lắp xà néo ≤ 50kg</v>
          </cell>
          <cell r="D681" t="str">
            <v>bộ</v>
          </cell>
          <cell r="E681" t="str">
            <v>LX</v>
          </cell>
          <cell r="F681">
            <v>2000</v>
          </cell>
          <cell r="J681" t="str">
            <v>LXIN</v>
          </cell>
        </row>
        <row r="682">
          <cell r="A682" t="str">
            <v>LXINL</v>
          </cell>
          <cell r="B682" t="str">
            <v>05.6203</v>
          </cell>
          <cell r="C682" t="str">
            <v>Lắp xà néo ≤ 100kg</v>
          </cell>
          <cell r="D682" t="str">
            <v>bộ</v>
          </cell>
          <cell r="E682" t="str">
            <v>LX</v>
          </cell>
          <cell r="F682">
            <v>2000</v>
          </cell>
          <cell r="J682" t="str">
            <v>LXINL</v>
          </cell>
        </row>
        <row r="683">
          <cell r="A683" t="str">
            <v>LXID</v>
          </cell>
          <cell r="B683" t="str">
            <v>05.6301</v>
          </cell>
          <cell r="C683" t="str">
            <v>Lắp xà trụ ghép ≤ 140kg</v>
          </cell>
          <cell r="D683" t="str">
            <v>bộ</v>
          </cell>
          <cell r="E683" t="str">
            <v>LX</v>
          </cell>
          <cell r="F683">
            <v>2000</v>
          </cell>
          <cell r="J683" t="str">
            <v>LXID</v>
          </cell>
        </row>
        <row r="684">
          <cell r="A684" t="str">
            <v>LXIDL</v>
          </cell>
          <cell r="B684" t="str">
            <v>05.6302</v>
          </cell>
          <cell r="C684" t="str">
            <v>Lắp xà trụ ghép ≤ 230kg</v>
          </cell>
          <cell r="D684" t="str">
            <v>bộ</v>
          </cell>
          <cell r="E684" t="str">
            <v>LX</v>
          </cell>
          <cell r="F684">
            <v>2000</v>
          </cell>
          <cell r="J684" t="str">
            <v>LXIDL</v>
          </cell>
        </row>
        <row r="685">
          <cell r="A685" t="str">
            <v>LXHN1</v>
          </cell>
          <cell r="B685" t="str">
            <v>05.6044</v>
          </cell>
          <cell r="C685" t="str">
            <v>Lắp xà cột Pi loại ≤140kg/xà</v>
          </cell>
          <cell r="D685" t="str">
            <v>bộ</v>
          </cell>
          <cell r="E685" t="str">
            <v>LX</v>
          </cell>
          <cell r="F685">
            <v>2000</v>
          </cell>
          <cell r="J685" t="str">
            <v>LXHN1</v>
          </cell>
        </row>
        <row r="686">
          <cell r="A686" t="str">
            <v>LXHN2</v>
          </cell>
          <cell r="B686" t="str">
            <v>05.6402</v>
          </cell>
          <cell r="C686" t="str">
            <v>Lắp xà cột Pi loại ≤ 230kg/xà</v>
          </cell>
          <cell r="D686" t="str">
            <v>bộ</v>
          </cell>
          <cell r="E686" t="str">
            <v>LX</v>
          </cell>
          <cell r="F686">
            <v>2000</v>
          </cell>
          <cell r="J686" t="str">
            <v>LXHN2</v>
          </cell>
        </row>
        <row r="687">
          <cell r="A687" t="str">
            <v>LXHN3</v>
          </cell>
          <cell r="B687" t="str">
            <v>05.6403</v>
          </cell>
          <cell r="C687" t="str">
            <v>Lắp xà cột Pi loại ≤ 320kg/xà</v>
          </cell>
          <cell r="D687" t="str">
            <v>bộ</v>
          </cell>
          <cell r="E687" t="str">
            <v>LX</v>
          </cell>
          <cell r="F687">
            <v>2000</v>
          </cell>
          <cell r="J687" t="str">
            <v>LXHN3</v>
          </cell>
        </row>
        <row r="688">
          <cell r="A688" t="str">
            <v>LDAUCAP70</v>
          </cell>
          <cell r="B688" t="str">
            <v>07.4312</v>
          </cell>
          <cell r="C688" t="str">
            <v>Lắp đầu cáp trung thế 3x50mm2, 70mm2</v>
          </cell>
          <cell r="D688" t="str">
            <v>cái</v>
          </cell>
          <cell r="E688" t="str">
            <v>LD</v>
          </cell>
          <cell r="F688">
            <v>2000</v>
          </cell>
          <cell r="J688" t="str">
            <v>LDAUCAP70</v>
          </cell>
        </row>
        <row r="689">
          <cell r="A689" t="str">
            <v>LDAUCAP120</v>
          </cell>
          <cell r="B689" t="str">
            <v>07.4313</v>
          </cell>
          <cell r="C689" t="str">
            <v>Lắp đầu cáp trung thế 3x120mm2, 95mm2</v>
          </cell>
          <cell r="D689" t="str">
            <v>cái</v>
          </cell>
          <cell r="E689" t="str">
            <v>LD</v>
          </cell>
          <cell r="F689">
            <v>2000</v>
          </cell>
          <cell r="J689" t="str">
            <v>LDAUCAP120</v>
          </cell>
        </row>
        <row r="690">
          <cell r="A690" t="str">
            <v>LDAUCAP185</v>
          </cell>
          <cell r="B690" t="str">
            <v>07.4314</v>
          </cell>
          <cell r="C690" t="str">
            <v>Lắp đầu cáp trung thế 3x150mm2, 185mm2</v>
          </cell>
          <cell r="D690" t="str">
            <v>cái</v>
          </cell>
          <cell r="E690" t="str">
            <v>LD</v>
          </cell>
          <cell r="F690">
            <v>2000</v>
          </cell>
          <cell r="J690" t="str">
            <v>LDAUCAP185</v>
          </cell>
        </row>
        <row r="691">
          <cell r="A691" t="str">
            <v>LDAUCAP70HT</v>
          </cell>
          <cell r="B691" t="str">
            <v>07.4102</v>
          </cell>
          <cell r="C691" t="str">
            <v>Lắp đầu cáp hạ thế 3x50mm2, 70mm2</v>
          </cell>
          <cell r="D691" t="str">
            <v>cái</v>
          </cell>
          <cell r="E691" t="str">
            <v>LD</v>
          </cell>
          <cell r="F691">
            <v>2000</v>
          </cell>
          <cell r="J691" t="str">
            <v>LDAUCAP70HT</v>
          </cell>
        </row>
        <row r="692">
          <cell r="A692" t="str">
            <v>LDAUCAP120HT</v>
          </cell>
          <cell r="B692" t="str">
            <v>07.4103</v>
          </cell>
          <cell r="C692" t="str">
            <v>Lắp đầu cáp hạ thế 3x120mm2, 95mm2</v>
          </cell>
          <cell r="D692" t="str">
            <v>cái</v>
          </cell>
          <cell r="E692" t="str">
            <v>LD</v>
          </cell>
          <cell r="F692">
            <v>2000</v>
          </cell>
          <cell r="J692" t="str">
            <v>LDAUCAP120HT</v>
          </cell>
        </row>
        <row r="693">
          <cell r="A693" t="str">
            <v>LDAUCAP185HT</v>
          </cell>
          <cell r="B693" t="str">
            <v>07.4104</v>
          </cell>
          <cell r="C693" t="str">
            <v>Lắp đầu cáp hạ thế 3x150mm2, 185mm2</v>
          </cell>
          <cell r="D693" t="str">
            <v>cái</v>
          </cell>
          <cell r="E693" t="str">
            <v>LD</v>
          </cell>
          <cell r="F693">
            <v>2000</v>
          </cell>
          <cell r="J693" t="str">
            <v>LDAUCAP185HT</v>
          </cell>
        </row>
        <row r="694">
          <cell r="A694" t="str">
            <v>XLCD</v>
          </cell>
          <cell r="B694" t="str">
            <v>06.2110</v>
          </cell>
          <cell r="C694" t="str">
            <v>Lắp cổ dề</v>
          </cell>
          <cell r="D694" t="str">
            <v>cái</v>
          </cell>
          <cell r="E694" t="str">
            <v>XL</v>
          </cell>
          <cell r="F694">
            <v>2000</v>
          </cell>
          <cell r="J694" t="str">
            <v>XLCD</v>
          </cell>
        </row>
        <row r="695">
          <cell r="A695" t="str">
            <v>LBAKE</v>
          </cell>
          <cell r="C695" t="str">
            <v>Lắp tấm bakelit</v>
          </cell>
          <cell r="E695" t="str">
            <v>LB</v>
          </cell>
          <cell r="F695">
            <v>2000</v>
          </cell>
          <cell r="J695" t="str">
            <v>LBAKE</v>
          </cell>
        </row>
        <row r="696">
          <cell r="A696" t="str">
            <v>LCHI</v>
          </cell>
          <cell r="C696" t="str">
            <v>Lắp cầu chì 5A</v>
          </cell>
          <cell r="E696" t="str">
            <v>LC</v>
          </cell>
          <cell r="F696">
            <v>2000</v>
          </cell>
          <cell r="J696" t="str">
            <v>LCHI</v>
          </cell>
        </row>
        <row r="697">
          <cell r="A697" t="str">
            <v>LCSD</v>
          </cell>
          <cell r="B697" t="str">
            <v>06.3231</v>
          </cell>
          <cell r="C697" t="str">
            <v>Lắp chân sứ đỉnh</v>
          </cell>
          <cell r="D697" t="str">
            <v>cái</v>
          </cell>
          <cell r="E697" t="str">
            <v>LC</v>
          </cell>
          <cell r="F697">
            <v>2000</v>
          </cell>
          <cell r="J697" t="str">
            <v>LCSD</v>
          </cell>
        </row>
        <row r="698">
          <cell r="A698" t="str">
            <v>LCL</v>
          </cell>
          <cell r="B698" t="str">
            <v>05.6011</v>
          </cell>
          <cell r="C698" t="str">
            <v>Lắp bộ chống lệch</v>
          </cell>
          <cell r="D698" t="str">
            <v>bộ</v>
          </cell>
          <cell r="E698" t="str">
            <v>LC</v>
          </cell>
          <cell r="F698">
            <v>2000</v>
          </cell>
          <cell r="J698" t="str">
            <v>LCL</v>
          </cell>
        </row>
        <row r="699">
          <cell r="A699" t="str">
            <v>LDN</v>
          </cell>
          <cell r="B699" t="str">
            <v>06.3241</v>
          </cell>
          <cell r="C699" t="str">
            <v>Lắp bộ dây néo</v>
          </cell>
          <cell r="D699" t="str">
            <v>bộ</v>
          </cell>
          <cell r="E699" t="str">
            <v>LD</v>
          </cell>
          <cell r="F699">
            <v>2000</v>
          </cell>
          <cell r="J699" t="str">
            <v>LDN</v>
          </cell>
        </row>
        <row r="700">
          <cell r="A700" t="str">
            <v>NXOE</v>
          </cell>
          <cell r="B700" t="str">
            <v>04.3801</v>
          </cell>
          <cell r="C700" t="str">
            <v>Đặt neo xòe 8 hướng (dày 3,2mm)</v>
          </cell>
          <cell r="D700" t="str">
            <v>cái</v>
          </cell>
          <cell r="E700" t="str">
            <v>NX</v>
          </cell>
          <cell r="F700">
            <v>2000</v>
          </cell>
          <cell r="J700" t="str">
            <v>NXOE</v>
          </cell>
        </row>
        <row r="701">
          <cell r="A701" t="str">
            <v>LDN0212</v>
          </cell>
          <cell r="B701" t="str">
            <v>04.3801</v>
          </cell>
          <cell r="C701" t="str">
            <v>Đặt đế néo BTCT 200x1200</v>
          </cell>
          <cell r="D701" t="str">
            <v>cái</v>
          </cell>
          <cell r="E701" t="str">
            <v>LD</v>
          </cell>
          <cell r="F701">
            <v>2000</v>
          </cell>
          <cell r="J701" t="str">
            <v>LDN0212</v>
          </cell>
        </row>
        <row r="702">
          <cell r="A702" t="str">
            <v>LDN0412</v>
          </cell>
          <cell r="B702" t="str">
            <v>04.3801</v>
          </cell>
          <cell r="C702" t="str">
            <v>Đặt đế néo BTCT 400x1200</v>
          </cell>
          <cell r="D702" t="str">
            <v>cái</v>
          </cell>
          <cell r="E702" t="str">
            <v>LD</v>
          </cell>
          <cell r="F702">
            <v>2000</v>
          </cell>
          <cell r="J702" t="str">
            <v>LDN0412</v>
          </cell>
        </row>
        <row r="703">
          <cell r="A703" t="str">
            <v>LDN0415</v>
          </cell>
          <cell r="B703" t="str">
            <v>04.3802</v>
          </cell>
          <cell r="C703" t="str">
            <v>Đặt đế néo BTCT 400x1500</v>
          </cell>
          <cell r="D703" t="str">
            <v>cái</v>
          </cell>
          <cell r="E703" t="str">
            <v>LD</v>
          </cell>
          <cell r="F703">
            <v>2000</v>
          </cell>
          <cell r="J703" t="str">
            <v>LDN0415</v>
          </cell>
        </row>
        <row r="704">
          <cell r="A704" t="str">
            <v>LDN0615</v>
          </cell>
          <cell r="B704" t="str">
            <v>04.3802</v>
          </cell>
          <cell r="C704" t="str">
            <v>Đặt đế néo BTCT 600x1500</v>
          </cell>
          <cell r="D704" t="str">
            <v>cái</v>
          </cell>
          <cell r="E704" t="str">
            <v>LD</v>
          </cell>
          <cell r="F704">
            <v>2000</v>
          </cell>
          <cell r="J704" t="str">
            <v>LDN0615</v>
          </cell>
        </row>
        <row r="705">
          <cell r="A705" t="str">
            <v>LDN4</v>
          </cell>
          <cell r="B705" t="str">
            <v>04.3801</v>
          </cell>
          <cell r="C705" t="str">
            <v>Đặt đế néo BTCT 500x1200</v>
          </cell>
          <cell r="D705" t="str">
            <v>cái</v>
          </cell>
          <cell r="E705" t="str">
            <v>LD</v>
          </cell>
          <cell r="F705">
            <v>2000</v>
          </cell>
          <cell r="J705" t="str">
            <v>LDN4</v>
          </cell>
        </row>
        <row r="706">
          <cell r="A706" t="str">
            <v>LDN6</v>
          </cell>
          <cell r="B706" t="str">
            <v>04.3802</v>
          </cell>
          <cell r="C706" t="str">
            <v>Đặt đế néo BTCT 500x1500</v>
          </cell>
          <cell r="D706" t="str">
            <v>cái</v>
          </cell>
          <cell r="E706" t="str">
            <v>LD</v>
          </cell>
          <cell r="F706">
            <v>2000</v>
          </cell>
          <cell r="J706" t="str">
            <v>LDN6</v>
          </cell>
        </row>
        <row r="707">
          <cell r="A707" t="str">
            <v>DBT10046</v>
          </cell>
          <cell r="B707" t="str">
            <v>04.3112</v>
          </cell>
          <cell r="C707" t="str">
            <v>Đổ bê tông mác M100 đá 4x6</v>
          </cell>
          <cell r="D707" t="str">
            <v>m3</v>
          </cell>
          <cell r="E707" t="str">
            <v>DB</v>
          </cell>
          <cell r="F707">
            <v>2000</v>
          </cell>
          <cell r="J707" t="str">
            <v>DBT10046</v>
          </cell>
        </row>
        <row r="708">
          <cell r="A708" t="str">
            <v>DBT15012</v>
          </cell>
          <cell r="B708" t="str">
            <v>04.1203b</v>
          </cell>
          <cell r="C708" t="str">
            <v>Đổ bê tông mác M150 đá 1x2</v>
          </cell>
          <cell r="D708" t="str">
            <v>m3</v>
          </cell>
          <cell r="E708" t="str">
            <v>DB</v>
          </cell>
          <cell r="F708">
            <v>2000</v>
          </cell>
          <cell r="J708" t="str">
            <v>DBT15012</v>
          </cell>
        </row>
        <row r="709">
          <cell r="A709" t="str">
            <v>DBT20012</v>
          </cell>
          <cell r="B709" t="str">
            <v>04.1203c</v>
          </cell>
          <cell r="C709" t="str">
            <v>Đổ bê tông móng trụ &lt;=250cm-M200 đá 1x2</v>
          </cell>
          <cell r="D709" t="str">
            <v>m3</v>
          </cell>
          <cell r="E709" t="str">
            <v>DB</v>
          </cell>
          <cell r="F709">
            <v>2000</v>
          </cell>
          <cell r="J709" t="str">
            <v>DBT20012</v>
          </cell>
        </row>
        <row r="710">
          <cell r="A710" t="str">
            <v>LCT10</v>
          </cell>
          <cell r="B710" t="str">
            <v>04.5101</v>
          </cell>
          <cell r="C710" t="str">
            <v>Gia công và lắp dựng cốt thép D&lt;=10</v>
          </cell>
          <cell r="D710" t="str">
            <v>kg</v>
          </cell>
          <cell r="E710" t="str">
            <v>LC</v>
          </cell>
          <cell r="F710">
            <v>2000</v>
          </cell>
          <cell r="J710" t="str">
            <v>LCT10</v>
          </cell>
        </row>
        <row r="711">
          <cell r="A711" t="str">
            <v>LCT18</v>
          </cell>
          <cell r="B711" t="str">
            <v>04.1102</v>
          </cell>
          <cell r="C711" t="str">
            <v>Gia công và lắp dựng cốt thép D&lt;=18</v>
          </cell>
          <cell r="D711" t="str">
            <v>kg</v>
          </cell>
          <cell r="E711" t="str">
            <v>LC</v>
          </cell>
          <cell r="F711">
            <v>2000</v>
          </cell>
          <cell r="J711" t="str">
            <v>LCT18</v>
          </cell>
        </row>
        <row r="712">
          <cell r="A712" t="str">
            <v>LCT&gt;18</v>
          </cell>
          <cell r="B712" t="str">
            <v>04.1103</v>
          </cell>
          <cell r="C712" t="str">
            <v>Gia công và lắp dựng cốt thép D&gt;18</v>
          </cell>
          <cell r="D712" t="str">
            <v>kg</v>
          </cell>
          <cell r="E712" t="str">
            <v>LC</v>
          </cell>
          <cell r="F712">
            <v>2000</v>
          </cell>
          <cell r="J712" t="str">
            <v>LCT&gt;18</v>
          </cell>
        </row>
        <row r="713">
          <cell r="A713" t="str">
            <v>LDVANK</v>
          </cell>
          <cell r="B713" t="str">
            <v>04.2001</v>
          </cell>
          <cell r="C713" t="str">
            <v>Gia công và lắp dựng ván khuôn</v>
          </cell>
          <cell r="D713" t="str">
            <v>m2</v>
          </cell>
          <cell r="E713" t="str">
            <v>LD</v>
          </cell>
          <cell r="F713">
            <v>2000</v>
          </cell>
          <cell r="J713" t="str">
            <v>LDVANK</v>
          </cell>
        </row>
        <row r="714">
          <cell r="A714" t="str">
            <v>KDA35</v>
          </cell>
          <cell r="B714" t="str">
            <v>06.6123</v>
          </cell>
          <cell r="C714" t="str">
            <v>Kéo dây nhôm cỡ dây 35mm2</v>
          </cell>
          <cell r="D714" t="str">
            <v>km</v>
          </cell>
          <cell r="E714" t="str">
            <v>KD</v>
          </cell>
          <cell r="F714">
            <v>2000</v>
          </cell>
          <cell r="J714" t="str">
            <v>KDA35</v>
          </cell>
        </row>
        <row r="715">
          <cell r="A715" t="str">
            <v>KDA50</v>
          </cell>
          <cell r="B715" t="str">
            <v>06.6124</v>
          </cell>
          <cell r="C715" t="str">
            <v>Kéo dây nhôm cỡ dây 50mm2</v>
          </cell>
          <cell r="D715" t="str">
            <v>km</v>
          </cell>
          <cell r="E715" t="str">
            <v>KD</v>
          </cell>
          <cell r="F715">
            <v>2000</v>
          </cell>
          <cell r="J715" t="str">
            <v>KDA50</v>
          </cell>
        </row>
        <row r="716">
          <cell r="A716" t="str">
            <v>KDA70</v>
          </cell>
          <cell r="B716" t="str">
            <v>06.6125</v>
          </cell>
          <cell r="C716" t="str">
            <v>Kéo dây nhôm cỡ dây 70mm2</v>
          </cell>
          <cell r="D716" t="str">
            <v>km</v>
          </cell>
          <cell r="E716" t="str">
            <v>KD</v>
          </cell>
          <cell r="F716">
            <v>2000</v>
          </cell>
          <cell r="J716" t="str">
            <v>KDA70</v>
          </cell>
        </row>
        <row r="717">
          <cell r="A717" t="str">
            <v>KDA95</v>
          </cell>
          <cell r="B717" t="str">
            <v>06.6126</v>
          </cell>
          <cell r="C717" t="str">
            <v>Kéo dây nhôm cỡ dây 95mm2</v>
          </cell>
          <cell r="D717" t="str">
            <v>km</v>
          </cell>
          <cell r="E717" t="str">
            <v>KD</v>
          </cell>
          <cell r="F717">
            <v>2000</v>
          </cell>
          <cell r="J717" t="str">
            <v>KDA95</v>
          </cell>
        </row>
        <row r="718">
          <cell r="A718" t="str">
            <v>KDA35B</v>
          </cell>
          <cell r="B718" t="str">
            <v>06.6103</v>
          </cell>
          <cell r="C718" t="str">
            <v>Kéo dây nhôm bọc 35mm2</v>
          </cell>
          <cell r="D718" t="str">
            <v>km</v>
          </cell>
          <cell r="E718" t="str">
            <v>KD</v>
          </cell>
          <cell r="F718">
            <v>2000</v>
          </cell>
          <cell r="J718" t="str">
            <v>KDA35B</v>
          </cell>
        </row>
        <row r="719">
          <cell r="A719" t="str">
            <v>KDA50B</v>
          </cell>
          <cell r="B719" t="str">
            <v>06.6124</v>
          </cell>
          <cell r="C719" t="str">
            <v>Kéo dây nhôm bọc 50mm2</v>
          </cell>
          <cell r="D719" t="str">
            <v>km</v>
          </cell>
          <cell r="E719" t="str">
            <v>KD</v>
          </cell>
          <cell r="F719">
            <v>2000</v>
          </cell>
          <cell r="J719" t="str">
            <v>KDA50B</v>
          </cell>
        </row>
        <row r="720">
          <cell r="A720" t="str">
            <v>KDA70B</v>
          </cell>
          <cell r="B720" t="str">
            <v>06.6105</v>
          </cell>
          <cell r="C720" t="str">
            <v>Kéo dây nhôm bọc 70mm2</v>
          </cell>
          <cell r="D720" t="str">
            <v>km</v>
          </cell>
          <cell r="E720" t="str">
            <v>KD</v>
          </cell>
          <cell r="F720">
            <v>2000</v>
          </cell>
          <cell r="J720" t="str">
            <v>KDA70B</v>
          </cell>
        </row>
        <row r="721">
          <cell r="A721" t="str">
            <v>KDA95B</v>
          </cell>
          <cell r="B721" t="str">
            <v>06.6106</v>
          </cell>
          <cell r="C721" t="str">
            <v>Kéo dây nhôm bọc 95mm2</v>
          </cell>
          <cell r="D721" t="str">
            <v>km</v>
          </cell>
          <cell r="E721" t="str">
            <v>KD</v>
          </cell>
          <cell r="F721">
            <v>2000</v>
          </cell>
          <cell r="J721" t="str">
            <v>KDA95B</v>
          </cell>
        </row>
        <row r="722">
          <cell r="A722" t="str">
            <v>KDA120B</v>
          </cell>
          <cell r="B722" t="str">
            <v>06.6107</v>
          </cell>
          <cell r="C722" t="str">
            <v>Kéo dây nhôm bọc 120mm2</v>
          </cell>
          <cell r="D722" t="str">
            <v>km</v>
          </cell>
          <cell r="E722" t="str">
            <v>KD</v>
          </cell>
          <cell r="F722">
            <v>2000</v>
          </cell>
          <cell r="J722" t="str">
            <v>KDA120B</v>
          </cell>
        </row>
        <row r="723">
          <cell r="A723" t="str">
            <v>KDA150B</v>
          </cell>
          <cell r="B723" t="str">
            <v>06.6108</v>
          </cell>
          <cell r="C723" t="str">
            <v>Kéo dây nhôm bọc 150mm2</v>
          </cell>
          <cell r="D723" t="str">
            <v>km</v>
          </cell>
          <cell r="E723" t="str">
            <v>KD</v>
          </cell>
          <cell r="F723">
            <v>2000</v>
          </cell>
          <cell r="J723" t="str">
            <v>KDA150B</v>
          </cell>
        </row>
        <row r="724">
          <cell r="A724" t="str">
            <v>KDA185B</v>
          </cell>
          <cell r="B724" t="str">
            <v>06.6109</v>
          </cell>
          <cell r="C724" t="str">
            <v>Kéo dây nhôm bọc 185mm2</v>
          </cell>
          <cell r="D724" t="str">
            <v>km</v>
          </cell>
          <cell r="E724" t="str">
            <v>KD</v>
          </cell>
          <cell r="F724">
            <v>2000</v>
          </cell>
          <cell r="J724" t="str">
            <v>KDA185B</v>
          </cell>
        </row>
        <row r="725">
          <cell r="A725" t="str">
            <v>KDA240B</v>
          </cell>
          <cell r="B725" t="str">
            <v>06.6110</v>
          </cell>
          <cell r="C725" t="str">
            <v>Kéo dây nhôm bọc 240mm2</v>
          </cell>
          <cell r="D725" t="str">
            <v>km</v>
          </cell>
          <cell r="E725" t="str">
            <v>KD</v>
          </cell>
          <cell r="F725">
            <v>2000</v>
          </cell>
          <cell r="J725" t="str">
            <v>KDA240B</v>
          </cell>
        </row>
        <row r="726">
          <cell r="A726" t="str">
            <v>KDAABC150</v>
          </cell>
          <cell r="B726" t="str">
            <v>06.7007</v>
          </cell>
          <cell r="C726" t="str">
            <v>Kéo dây ABC 4x150mm2</v>
          </cell>
          <cell r="D726" t="str">
            <v>km</v>
          </cell>
          <cell r="E726" t="str">
            <v>KD</v>
          </cell>
          <cell r="F726">
            <v>2000</v>
          </cell>
          <cell r="J726" t="str">
            <v>KDAABC150</v>
          </cell>
        </row>
        <row r="727">
          <cell r="A727" t="str">
            <v>KDAABC120</v>
          </cell>
          <cell r="B727" t="str">
            <v>06.7007</v>
          </cell>
          <cell r="C727" t="str">
            <v>Kéo dây ABC 4x120mm2</v>
          </cell>
          <cell r="D727" t="str">
            <v>km</v>
          </cell>
          <cell r="E727" t="str">
            <v>KD</v>
          </cell>
          <cell r="F727">
            <v>2000</v>
          </cell>
          <cell r="J727" t="str">
            <v>KDAABC120</v>
          </cell>
        </row>
        <row r="728">
          <cell r="A728" t="str">
            <v>KDAABC95</v>
          </cell>
          <cell r="B728" t="str">
            <v>06.7006</v>
          </cell>
          <cell r="C728" t="str">
            <v>Kéo dây ABC 3x95mm2</v>
          </cell>
          <cell r="D728" t="str">
            <v>km</v>
          </cell>
          <cell r="E728" t="str">
            <v>KD</v>
          </cell>
          <cell r="F728">
            <v>2000</v>
          </cell>
          <cell r="J728" t="str">
            <v>KDAABC95</v>
          </cell>
        </row>
        <row r="729">
          <cell r="A729" t="str">
            <v>KDAABC70</v>
          </cell>
          <cell r="B729" t="str">
            <v>06.6505</v>
          </cell>
          <cell r="C729" t="str">
            <v>Kéo dây ABC 4x70mm2</v>
          </cell>
          <cell r="D729" t="str">
            <v>km</v>
          </cell>
          <cell r="E729" t="str">
            <v>KD</v>
          </cell>
          <cell r="F729">
            <v>2000</v>
          </cell>
          <cell r="J729" t="str">
            <v>KDAABC70</v>
          </cell>
        </row>
        <row r="730">
          <cell r="A730" t="str">
            <v>KDAABC50</v>
          </cell>
          <cell r="B730" t="str">
            <v>06.6504</v>
          </cell>
          <cell r="C730" t="str">
            <v>Kéo dây ABC 4x50mm2</v>
          </cell>
          <cell r="D730" t="str">
            <v>km</v>
          </cell>
          <cell r="E730" t="str">
            <v>KD</v>
          </cell>
          <cell r="F730">
            <v>2000</v>
          </cell>
          <cell r="J730" t="str">
            <v>KDAABC50</v>
          </cell>
        </row>
        <row r="731">
          <cell r="A731" t="str">
            <v>KDAC35</v>
          </cell>
          <cell r="B731" t="str">
            <v>06.6103</v>
          </cell>
          <cell r="C731" t="str">
            <v>Kéo dây nhôm lõi thép cỡ dây 35mm2</v>
          </cell>
          <cell r="D731" t="str">
            <v>km</v>
          </cell>
          <cell r="E731" t="str">
            <v>KD</v>
          </cell>
          <cell r="F731">
            <v>2000</v>
          </cell>
          <cell r="J731" t="str">
            <v>KDAC35</v>
          </cell>
        </row>
        <row r="732">
          <cell r="A732" t="str">
            <v>KDAC50</v>
          </cell>
          <cell r="B732" t="str">
            <v>06.6114</v>
          </cell>
          <cell r="C732" t="str">
            <v>Kéo dây nhôm lõi thép cỡ dây 50mm2</v>
          </cell>
          <cell r="D732" t="str">
            <v>km</v>
          </cell>
          <cell r="E732" t="str">
            <v>KD</v>
          </cell>
          <cell r="F732">
            <v>2000</v>
          </cell>
          <cell r="J732" t="str">
            <v>KDAC50</v>
          </cell>
        </row>
        <row r="733">
          <cell r="A733" t="str">
            <v>KDAC70</v>
          </cell>
          <cell r="B733" t="str">
            <v>06.6105</v>
          </cell>
          <cell r="C733" t="str">
            <v>Kéo dây nhôm lõi thép cỡ dây 70mm2</v>
          </cell>
          <cell r="D733" t="str">
            <v>km</v>
          </cell>
          <cell r="E733" t="str">
            <v>KD</v>
          </cell>
          <cell r="F733">
            <v>2000</v>
          </cell>
          <cell r="J733" t="str">
            <v>KDAC70</v>
          </cell>
        </row>
        <row r="734">
          <cell r="A734" t="str">
            <v>KDAC95</v>
          </cell>
          <cell r="B734" t="str">
            <v>06.6106</v>
          </cell>
          <cell r="C734" t="str">
            <v>Kéo dây nhôm lõi thép cỡ dây 95mm2</v>
          </cell>
          <cell r="D734" t="str">
            <v>km</v>
          </cell>
          <cell r="E734" t="str">
            <v>KD</v>
          </cell>
          <cell r="F734">
            <v>2000</v>
          </cell>
          <cell r="J734" t="str">
            <v>KDAC95</v>
          </cell>
        </row>
        <row r="735">
          <cell r="A735" t="str">
            <v>KDAC120</v>
          </cell>
          <cell r="B735" t="str">
            <v>06.6107</v>
          </cell>
          <cell r="C735" t="str">
            <v>Kéo dây nhôm lõi thép cỡ dây 120mm2</v>
          </cell>
          <cell r="D735" t="str">
            <v>km</v>
          </cell>
          <cell r="E735" t="str">
            <v>KD</v>
          </cell>
          <cell r="F735">
            <v>2000</v>
          </cell>
          <cell r="J735" t="str">
            <v>KDAC120</v>
          </cell>
        </row>
        <row r="736">
          <cell r="A736" t="str">
            <v>KDAC150</v>
          </cell>
          <cell r="B736" t="str">
            <v>06.6108</v>
          </cell>
          <cell r="C736" t="str">
            <v>Kéo dây nhôm lõi thép cỡ dây 150mm2</v>
          </cell>
          <cell r="D736" t="str">
            <v>km</v>
          </cell>
          <cell r="E736" t="str">
            <v>KD</v>
          </cell>
          <cell r="F736">
            <v>2000</v>
          </cell>
          <cell r="J736" t="str">
            <v>KDAC150</v>
          </cell>
        </row>
        <row r="737">
          <cell r="A737" t="str">
            <v>KDACXV50</v>
          </cell>
          <cell r="B737" t="str">
            <v>06.6114</v>
          </cell>
          <cell r="C737" t="str">
            <v>Kéo dây nhôm bọc cỡ dây 50mm2</v>
          </cell>
          <cell r="D737" t="str">
            <v>km</v>
          </cell>
          <cell r="E737" t="str">
            <v>KD</v>
          </cell>
          <cell r="F737">
            <v>2000</v>
          </cell>
          <cell r="J737" t="str">
            <v>KDACXV50</v>
          </cell>
        </row>
        <row r="738">
          <cell r="A738" t="str">
            <v>KDACXV150</v>
          </cell>
          <cell r="B738" t="str">
            <v>06.6108</v>
          </cell>
          <cell r="C738" t="str">
            <v>Kéo dây nhôm lõi thép bọc XLPE cỡ dây 150mm2</v>
          </cell>
          <cell r="D738" t="str">
            <v>km</v>
          </cell>
          <cell r="E738" t="str">
            <v>KD</v>
          </cell>
          <cell r="F738">
            <v>2000</v>
          </cell>
          <cell r="J738" t="str">
            <v>KDACXV150</v>
          </cell>
        </row>
        <row r="739">
          <cell r="A739" t="str">
            <v>KDAC185</v>
          </cell>
          <cell r="B739" t="str">
            <v>06.6109</v>
          </cell>
          <cell r="C739" t="str">
            <v>Kéo dây nhôm lõi thép cỡ dây 185mm2</v>
          </cell>
          <cell r="D739" t="str">
            <v>km</v>
          </cell>
          <cell r="E739" t="str">
            <v>KD</v>
          </cell>
          <cell r="F739">
            <v>2000</v>
          </cell>
          <cell r="J739" t="str">
            <v>KDAC185</v>
          </cell>
        </row>
        <row r="740">
          <cell r="A740" t="str">
            <v>KDAC240</v>
          </cell>
          <cell r="B740" t="str">
            <v>06.6110</v>
          </cell>
          <cell r="C740" t="str">
            <v>Kéo dây nhôm lõi thép cỡ dây 240mm2</v>
          </cell>
          <cell r="D740" t="str">
            <v>km</v>
          </cell>
          <cell r="E740" t="str">
            <v>KD</v>
          </cell>
          <cell r="F740">
            <v>2000</v>
          </cell>
          <cell r="J740" t="str">
            <v>KDAC240</v>
          </cell>
        </row>
        <row r="741">
          <cell r="A741" t="str">
            <v>KDM22</v>
          </cell>
          <cell r="B741" t="str">
            <v>06.6142</v>
          </cell>
          <cell r="C741" t="str">
            <v>Kéo dây đồng trần 22mm2</v>
          </cell>
          <cell r="D741" t="str">
            <v>km</v>
          </cell>
          <cell r="E741" t="str">
            <v>KD</v>
          </cell>
          <cell r="F741">
            <v>2000</v>
          </cell>
          <cell r="J741" t="str">
            <v>KDM22</v>
          </cell>
        </row>
        <row r="742">
          <cell r="A742" t="str">
            <v>KDM25</v>
          </cell>
          <cell r="B742" t="str">
            <v>06.6142</v>
          </cell>
          <cell r="C742" t="str">
            <v>Kéo dây đồng trần 25mm2</v>
          </cell>
          <cell r="D742" t="str">
            <v>km</v>
          </cell>
          <cell r="E742" t="str">
            <v>KD</v>
          </cell>
          <cell r="F742">
            <v>2000</v>
          </cell>
          <cell r="J742" t="str">
            <v>KDM25</v>
          </cell>
        </row>
        <row r="743">
          <cell r="A743" t="str">
            <v>KDM35</v>
          </cell>
          <cell r="B743" t="str">
            <v>06.6143</v>
          </cell>
          <cell r="C743" t="str">
            <v>Kéo dây đồng trần 35mm2</v>
          </cell>
          <cell r="D743" t="str">
            <v>km</v>
          </cell>
          <cell r="E743" t="str">
            <v>KD</v>
          </cell>
          <cell r="F743">
            <v>2000</v>
          </cell>
          <cell r="J743" t="str">
            <v>KDM35</v>
          </cell>
        </row>
        <row r="744">
          <cell r="A744" t="str">
            <v>KDM48</v>
          </cell>
          <cell r="B744" t="str">
            <v>06.6144</v>
          </cell>
          <cell r="C744" t="str">
            <v>Kéo dây đồng trần 48mm2</v>
          </cell>
          <cell r="D744" t="str">
            <v>km</v>
          </cell>
          <cell r="E744" t="str">
            <v>KD</v>
          </cell>
          <cell r="F744">
            <v>2000</v>
          </cell>
          <cell r="J744" t="str">
            <v>KDM48</v>
          </cell>
        </row>
        <row r="745">
          <cell r="A745" t="str">
            <v>KDM50</v>
          </cell>
          <cell r="B745" t="str">
            <v>06.6144</v>
          </cell>
          <cell r="C745" t="str">
            <v>Kéo dây đồng trần 50mm2</v>
          </cell>
          <cell r="D745" t="str">
            <v>km</v>
          </cell>
          <cell r="E745" t="str">
            <v>KD</v>
          </cell>
          <cell r="F745">
            <v>2000</v>
          </cell>
          <cell r="J745" t="str">
            <v>KDM50</v>
          </cell>
        </row>
        <row r="746">
          <cell r="A746" t="str">
            <v>KDM70</v>
          </cell>
          <cell r="B746" t="str">
            <v>06.6145</v>
          </cell>
          <cell r="C746" t="str">
            <v>Kéo dây đồng trần 70mm2</v>
          </cell>
          <cell r="D746" t="str">
            <v>km</v>
          </cell>
          <cell r="E746" t="str">
            <v>KD</v>
          </cell>
          <cell r="F746">
            <v>2000</v>
          </cell>
          <cell r="J746" t="str">
            <v>KDM70</v>
          </cell>
        </row>
        <row r="747">
          <cell r="A747" t="str">
            <v>KDM95</v>
          </cell>
          <cell r="B747" t="str">
            <v>06.6146</v>
          </cell>
          <cell r="C747" t="str">
            <v>Kéo dây đồng trần 95mm2</v>
          </cell>
          <cell r="D747" t="str">
            <v>km</v>
          </cell>
          <cell r="E747" t="str">
            <v>KD</v>
          </cell>
          <cell r="F747">
            <v>2000</v>
          </cell>
          <cell r="J747" t="str">
            <v>KDM95</v>
          </cell>
        </row>
        <row r="748">
          <cell r="A748" t="str">
            <v>KDM25B</v>
          </cell>
          <cell r="B748" t="str">
            <v>06.6142</v>
          </cell>
          <cell r="C748" t="str">
            <v>Kéo dây đồng bọc 25mm2</v>
          </cell>
          <cell r="D748" t="str">
            <v>km</v>
          </cell>
          <cell r="E748" t="str">
            <v>KD</v>
          </cell>
          <cell r="F748">
            <v>2000</v>
          </cell>
          <cell r="J748" t="str">
            <v>KDM25B</v>
          </cell>
        </row>
        <row r="749">
          <cell r="A749" t="str">
            <v>KDM50B</v>
          </cell>
          <cell r="B749" t="str">
            <v>06.6144</v>
          </cell>
          <cell r="C749" t="str">
            <v>Kéo dây đồng bọc 50mm3</v>
          </cell>
          <cell r="D749" t="str">
            <v>km</v>
          </cell>
          <cell r="E749" t="str">
            <v>KD</v>
          </cell>
          <cell r="F749">
            <v>2000</v>
          </cell>
          <cell r="J749" t="str">
            <v>KDM50B</v>
          </cell>
        </row>
        <row r="750">
          <cell r="A750" t="str">
            <v>KDM95B</v>
          </cell>
          <cell r="B750" t="str">
            <v>06.6146</v>
          </cell>
          <cell r="C750" t="str">
            <v>Kéo dây đồng bọc 95mm2</v>
          </cell>
          <cell r="D750" t="str">
            <v>km</v>
          </cell>
          <cell r="E750" t="str">
            <v>KD</v>
          </cell>
          <cell r="F750">
            <v>2000</v>
          </cell>
          <cell r="J750" t="str">
            <v>KDM95B</v>
          </cell>
        </row>
        <row r="751">
          <cell r="A751" t="str">
            <v>KDQG1</v>
          </cell>
          <cell r="B751" t="str">
            <v>06.5071</v>
          </cell>
          <cell r="C751" t="str">
            <v>Kéo dây qua vị trí bẻ góc dây &lt;=50mm2</v>
          </cell>
          <cell r="D751" t="str">
            <v>vị trí</v>
          </cell>
          <cell r="E751" t="str">
            <v>KD</v>
          </cell>
          <cell r="F751">
            <v>2000</v>
          </cell>
          <cell r="J751" t="str">
            <v>KDQG1</v>
          </cell>
        </row>
        <row r="752">
          <cell r="A752" t="str">
            <v>KDQG2</v>
          </cell>
          <cell r="B752" t="str">
            <v>06.5072</v>
          </cell>
          <cell r="C752" t="str">
            <v xml:space="preserve">Kéo dây qua vị trí bẻ góc dây </v>
          </cell>
          <cell r="D752" t="str">
            <v>vị trí</v>
          </cell>
          <cell r="E752" t="str">
            <v>KD</v>
          </cell>
          <cell r="F752">
            <v>2000</v>
          </cell>
          <cell r="J752" t="str">
            <v>KDQG2</v>
          </cell>
        </row>
        <row r="753">
          <cell r="A753" t="str">
            <v>KDQS</v>
          </cell>
          <cell r="B753" t="str">
            <v>06.5082</v>
          </cell>
          <cell r="C753" t="str">
            <v>Kéo dây qua sông ( S&lt;=300)</v>
          </cell>
          <cell r="D753" t="str">
            <v>vị trí</v>
          </cell>
          <cell r="E753" t="str">
            <v>KD</v>
          </cell>
          <cell r="F753">
            <v>2000</v>
          </cell>
          <cell r="J753" t="str">
            <v>KDQS</v>
          </cell>
        </row>
        <row r="754">
          <cell r="A754" t="str">
            <v>KDQMR</v>
          </cell>
          <cell r="B754" t="str">
            <v>06.5082</v>
          </cell>
          <cell r="C754" t="str">
            <v>Kéo dây qua mương rạch</v>
          </cell>
          <cell r="D754" t="str">
            <v>vị trí</v>
          </cell>
          <cell r="E754" t="str">
            <v>KD</v>
          </cell>
          <cell r="F754">
            <v>2000</v>
          </cell>
          <cell r="J754" t="str">
            <v>KDQMR</v>
          </cell>
        </row>
        <row r="755">
          <cell r="A755" t="str">
            <v>KDQD</v>
          </cell>
          <cell r="B755" t="str">
            <v>06.5051</v>
          </cell>
          <cell r="C755" t="str">
            <v>Kéo dây vượt đường ( dây &lt;=50mm2)</v>
          </cell>
          <cell r="D755" t="str">
            <v>vị trí</v>
          </cell>
          <cell r="E755" t="str">
            <v>KD</v>
          </cell>
          <cell r="F755">
            <v>2000</v>
          </cell>
          <cell r="J755" t="str">
            <v>KDQD</v>
          </cell>
        </row>
        <row r="756">
          <cell r="A756" t="str">
            <v>KDQD1</v>
          </cell>
          <cell r="B756" t="str">
            <v>06.5052</v>
          </cell>
          <cell r="C756" t="str">
            <v>Kéo dây vượt đường (dây &lt;=95mm2)</v>
          </cell>
          <cell r="D756" t="str">
            <v>vị trí</v>
          </cell>
          <cell r="E756" t="str">
            <v>KD</v>
          </cell>
          <cell r="F756">
            <v>2000</v>
          </cell>
          <cell r="J756" t="str">
            <v>KDQD1</v>
          </cell>
        </row>
        <row r="757">
          <cell r="A757" t="str">
            <v>LSTK100</v>
          </cell>
          <cell r="B757" t="str">
            <v>07.2204</v>
          </cell>
          <cell r="C757" t="str">
            <v>Lắp ống sắt bảo vệ cáp d&lt;100mm</v>
          </cell>
          <cell r="D757" t="str">
            <v>mét</v>
          </cell>
          <cell r="E757" t="str">
            <v>LS</v>
          </cell>
          <cell r="F757">
            <v>2000</v>
          </cell>
          <cell r="J757" t="str">
            <v>LSTK100</v>
          </cell>
        </row>
        <row r="758">
          <cell r="A758" t="str">
            <v>LSTK70</v>
          </cell>
          <cell r="B758" t="str">
            <v>07.2203</v>
          </cell>
          <cell r="C758" t="str">
            <v>Lắp ống sắt bảo vệ cáp d&lt;70mm</v>
          </cell>
          <cell r="D758" t="str">
            <v>mét</v>
          </cell>
          <cell r="E758" t="str">
            <v>LS</v>
          </cell>
          <cell r="F758">
            <v>2000</v>
          </cell>
          <cell r="J758" t="str">
            <v>LSTK70</v>
          </cell>
        </row>
        <row r="759">
          <cell r="A759" t="str">
            <v>LSTK50</v>
          </cell>
          <cell r="B759" t="str">
            <v>07.2202</v>
          </cell>
          <cell r="C759" t="str">
            <v>Lắp ống sắt bảo vệ cáp d&lt;50mm</v>
          </cell>
          <cell r="D759" t="str">
            <v>mét</v>
          </cell>
          <cell r="E759" t="str">
            <v>LS</v>
          </cell>
          <cell r="F759">
            <v>2000</v>
          </cell>
          <cell r="J759" t="str">
            <v>LSTK50</v>
          </cell>
        </row>
        <row r="760">
          <cell r="A760" t="str">
            <v>LSTK120d</v>
          </cell>
          <cell r="B760" t="str">
            <v>07.2301</v>
          </cell>
          <cell r="C760" t="str">
            <v>Lắp ống sắt bảo vệ cáp qua đường d&lt;120mm</v>
          </cell>
          <cell r="D760" t="str">
            <v>mét</v>
          </cell>
          <cell r="E760" t="str">
            <v>LS</v>
          </cell>
          <cell r="F760">
            <v>2000</v>
          </cell>
          <cell r="J760" t="str">
            <v>LSTK120d</v>
          </cell>
        </row>
        <row r="761">
          <cell r="A761" t="str">
            <v>LSTK220d</v>
          </cell>
          <cell r="B761" t="str">
            <v>07.2302</v>
          </cell>
          <cell r="C761" t="str">
            <v>Lắp ống sắt bảo vệ cáp qua đường d&lt;220mm</v>
          </cell>
          <cell r="D761" t="str">
            <v>mét</v>
          </cell>
          <cell r="E761" t="str">
            <v>LS</v>
          </cell>
          <cell r="F761">
            <v>2000</v>
          </cell>
          <cell r="J761" t="str">
            <v>LSTK220d</v>
          </cell>
        </row>
        <row r="762">
          <cell r="A762" t="str">
            <v>LPVC42CL</v>
          </cell>
          <cell r="B762" t="str">
            <v>07,2403</v>
          </cell>
          <cell r="C762" t="str">
            <v>Lắp ống nhựa PVC D42</v>
          </cell>
          <cell r="D762" t="str">
            <v>mét</v>
          </cell>
          <cell r="E762" t="str">
            <v>LP</v>
          </cell>
          <cell r="F762">
            <v>2000</v>
          </cell>
          <cell r="J762" t="str">
            <v>LPVC42CL</v>
          </cell>
        </row>
        <row r="763">
          <cell r="A763" t="str">
            <v>LPVC60CL</v>
          </cell>
          <cell r="B763" t="str">
            <v>07,2404</v>
          </cell>
          <cell r="C763" t="str">
            <v>Lắp ống nhựa PVC D60</v>
          </cell>
          <cell r="D763" t="str">
            <v>mét</v>
          </cell>
          <cell r="E763" t="str">
            <v>LP</v>
          </cell>
          <cell r="F763">
            <v>2000</v>
          </cell>
          <cell r="J763" t="str">
            <v>LPVC60CL</v>
          </cell>
        </row>
        <row r="764">
          <cell r="A764" t="str">
            <v>LPVC90CL</v>
          </cell>
          <cell r="B764" t="str">
            <v>07.2415</v>
          </cell>
          <cell r="C764" t="str">
            <v>Lắp ống nhựa PVC D90</v>
          </cell>
          <cell r="D764" t="str">
            <v>mét</v>
          </cell>
          <cell r="E764" t="str">
            <v>LP</v>
          </cell>
          <cell r="F764">
            <v>2000</v>
          </cell>
          <cell r="J764" t="str">
            <v>LPVC90CL</v>
          </cell>
        </row>
        <row r="765">
          <cell r="A765" t="str">
            <v>LPVC114CL</v>
          </cell>
          <cell r="B765" t="str">
            <v>07,2407</v>
          </cell>
          <cell r="C765" t="str">
            <v>Lắp ống nhựa PVC D114</v>
          </cell>
          <cell r="D765" t="str">
            <v>mét</v>
          </cell>
          <cell r="E765" t="str">
            <v>LP</v>
          </cell>
          <cell r="F765">
            <v>2000</v>
          </cell>
          <cell r="J765" t="str">
            <v>LPVC114CL</v>
          </cell>
        </row>
        <row r="766">
          <cell r="A766" t="str">
            <v>LPVC140CL</v>
          </cell>
          <cell r="B766" t="str">
            <v>07,2403</v>
          </cell>
          <cell r="C766" t="str">
            <v>Lắp ống nhựa PVC D140</v>
          </cell>
          <cell r="D766" t="str">
            <v>mét</v>
          </cell>
          <cell r="E766" t="str">
            <v>LP</v>
          </cell>
          <cell r="F766">
            <v>2000</v>
          </cell>
          <cell r="J766" t="str">
            <v>LPVC140CL</v>
          </cell>
        </row>
        <row r="767">
          <cell r="A767" t="str">
            <v>LPVC</v>
          </cell>
          <cell r="B767" t="str">
            <v>04.8103</v>
          </cell>
          <cell r="C767" t="str">
            <v xml:space="preserve">Lắp ống PVC </v>
          </cell>
          <cell r="D767" t="str">
            <v>mét</v>
          </cell>
          <cell r="E767" t="str">
            <v>LP</v>
          </cell>
          <cell r="F767">
            <v>2000</v>
          </cell>
          <cell r="J767" t="str">
            <v>LPVC</v>
          </cell>
        </row>
        <row r="768">
          <cell r="A768" t="str">
            <v>KCN1kg</v>
          </cell>
          <cell r="B768" t="str">
            <v>07.3401</v>
          </cell>
          <cell r="C768" t="str">
            <v>Lắp cáp trong ống bảo vệ loại &lt;=1kg</v>
          </cell>
          <cell r="D768" t="str">
            <v>mét</v>
          </cell>
          <cell r="E768" t="str">
            <v>KC</v>
          </cell>
          <cell r="F768">
            <v>2000</v>
          </cell>
          <cell r="J768" t="str">
            <v>KCN1kg</v>
          </cell>
        </row>
        <row r="769">
          <cell r="A769" t="str">
            <v>KCN2kg</v>
          </cell>
          <cell r="B769" t="str">
            <v>07.3402</v>
          </cell>
          <cell r="C769" t="str">
            <v>Lắp cáp trong ống bảo vệ loại &lt;=2kg</v>
          </cell>
          <cell r="D769" t="str">
            <v>mét</v>
          </cell>
          <cell r="E769" t="str">
            <v>KC</v>
          </cell>
          <cell r="F769">
            <v>2000</v>
          </cell>
          <cell r="J769" t="str">
            <v>KCN2kg</v>
          </cell>
        </row>
        <row r="770">
          <cell r="A770" t="str">
            <v>KCN3kg</v>
          </cell>
          <cell r="B770" t="str">
            <v>07.3403</v>
          </cell>
          <cell r="C770" t="str">
            <v>Lắp cáp trong ống bảo vệ loại &lt;=3kg</v>
          </cell>
          <cell r="D770" t="str">
            <v>mét</v>
          </cell>
          <cell r="E770" t="str">
            <v>KC</v>
          </cell>
          <cell r="F770">
            <v>2000</v>
          </cell>
          <cell r="J770" t="str">
            <v>KCN3kg</v>
          </cell>
        </row>
        <row r="771">
          <cell r="A771" t="str">
            <v>KCN4kg</v>
          </cell>
          <cell r="B771" t="str">
            <v>07.3404</v>
          </cell>
          <cell r="C771" t="str">
            <v>Lắp cáp trong ống bảo vệ loại &lt;=4.5kg</v>
          </cell>
          <cell r="D771" t="str">
            <v>mét</v>
          </cell>
          <cell r="E771" t="str">
            <v>KC</v>
          </cell>
          <cell r="F771">
            <v>2000</v>
          </cell>
          <cell r="J771" t="str">
            <v>KCN4kg</v>
          </cell>
        </row>
        <row r="772">
          <cell r="A772" t="str">
            <v>KCN6kg</v>
          </cell>
          <cell r="B772" t="str">
            <v>07.3405</v>
          </cell>
          <cell r="C772" t="str">
            <v>Lắp cáp trong ống bảo vệ loại &lt;=6kg</v>
          </cell>
          <cell r="D772" t="str">
            <v>mét</v>
          </cell>
          <cell r="E772" t="str">
            <v>KC</v>
          </cell>
          <cell r="F772">
            <v>2000</v>
          </cell>
          <cell r="J772" t="str">
            <v>KCN6kg</v>
          </cell>
        </row>
        <row r="773">
          <cell r="A773" t="str">
            <v>KCN7kg</v>
          </cell>
          <cell r="B773" t="str">
            <v>07.3406</v>
          </cell>
          <cell r="C773" t="str">
            <v>Lắp cáp trong ống bảo vệ loại &lt;=7.5kg</v>
          </cell>
          <cell r="D773" t="str">
            <v>mét</v>
          </cell>
          <cell r="E773" t="str">
            <v>KC</v>
          </cell>
          <cell r="F773">
            <v>2000</v>
          </cell>
          <cell r="J773" t="str">
            <v>KCN7kg</v>
          </cell>
        </row>
        <row r="774">
          <cell r="A774" t="str">
            <v>KCN9kg</v>
          </cell>
          <cell r="B774" t="str">
            <v>07.3407</v>
          </cell>
          <cell r="C774" t="str">
            <v>Lắp cáp trong ống bảo vệ loại &lt;=9kg</v>
          </cell>
          <cell r="D774" t="str">
            <v>mét</v>
          </cell>
          <cell r="E774" t="str">
            <v>KC</v>
          </cell>
          <cell r="F774">
            <v>2000</v>
          </cell>
          <cell r="J774" t="str">
            <v>KCN9kg</v>
          </cell>
        </row>
        <row r="775">
          <cell r="A775" t="str">
            <v>KCN10kg</v>
          </cell>
          <cell r="B775" t="str">
            <v>07.3408</v>
          </cell>
          <cell r="C775" t="str">
            <v>Lắp cáp trong ống bảo vệ loại &lt;=10.5kg</v>
          </cell>
          <cell r="D775" t="str">
            <v>mét</v>
          </cell>
          <cell r="E775" t="str">
            <v>KC</v>
          </cell>
          <cell r="F775">
            <v>2000</v>
          </cell>
          <cell r="J775" t="str">
            <v>KCN10kg</v>
          </cell>
        </row>
        <row r="776">
          <cell r="A776" t="str">
            <v>KCN12kg</v>
          </cell>
          <cell r="B776" t="str">
            <v>07.3409</v>
          </cell>
          <cell r="C776" t="str">
            <v>Lắp cáp trong ống bảo vệ loại &lt;=12kg</v>
          </cell>
          <cell r="D776" t="str">
            <v>mét</v>
          </cell>
          <cell r="E776" t="str">
            <v>KC</v>
          </cell>
          <cell r="F776">
            <v>2000</v>
          </cell>
          <cell r="J776" t="str">
            <v>KCN12kg</v>
          </cell>
        </row>
        <row r="777">
          <cell r="A777" t="str">
            <v>KCNT1kg</v>
          </cell>
          <cell r="B777" t="str">
            <v>03.1401</v>
          </cell>
          <cell r="C777" t="str">
            <v>Lắp cáp trong ống bảo vệ trong TBA loại &lt;=1kg</v>
          </cell>
          <cell r="D777" t="str">
            <v>mét</v>
          </cell>
          <cell r="E777" t="str">
            <v>KC</v>
          </cell>
          <cell r="F777">
            <v>2000</v>
          </cell>
          <cell r="J777" t="str">
            <v>KCNT1kg</v>
          </cell>
        </row>
        <row r="778">
          <cell r="A778" t="str">
            <v>KCNT2kg</v>
          </cell>
          <cell r="B778" t="str">
            <v>03.1402</v>
          </cell>
          <cell r="C778" t="str">
            <v>Lắp cáp trong ống bảo vệ trong TBA loại &lt;=2kg</v>
          </cell>
          <cell r="D778" t="str">
            <v>mét</v>
          </cell>
          <cell r="E778" t="str">
            <v>KC</v>
          </cell>
          <cell r="F778">
            <v>2000</v>
          </cell>
          <cell r="J778" t="str">
            <v>KCNT2kg</v>
          </cell>
        </row>
        <row r="779">
          <cell r="A779" t="str">
            <v>KCNT3kg</v>
          </cell>
          <cell r="B779" t="str">
            <v>03.1403</v>
          </cell>
          <cell r="C779" t="str">
            <v>Lắp cáp trong ống bảo vệ trong TBA loại &lt;=3kg</v>
          </cell>
          <cell r="D779" t="str">
            <v>mét</v>
          </cell>
          <cell r="E779" t="str">
            <v>KC</v>
          </cell>
          <cell r="F779">
            <v>2000</v>
          </cell>
          <cell r="J779" t="str">
            <v>KCNT3kg</v>
          </cell>
        </row>
        <row r="780">
          <cell r="A780" t="str">
            <v>KCNT4kg</v>
          </cell>
          <cell r="B780" t="str">
            <v>03.1404</v>
          </cell>
          <cell r="C780" t="str">
            <v>Lắp cáp trong ống bảo vệ trong TBA loại &lt;=4.5kg</v>
          </cell>
          <cell r="D780" t="str">
            <v>mét</v>
          </cell>
          <cell r="E780" t="str">
            <v>KC</v>
          </cell>
          <cell r="F780">
            <v>2000</v>
          </cell>
          <cell r="J780" t="str">
            <v>KCNT4kg</v>
          </cell>
        </row>
        <row r="781">
          <cell r="A781" t="str">
            <v>KCNT6kg</v>
          </cell>
          <cell r="B781" t="str">
            <v>03.1405</v>
          </cell>
          <cell r="C781" t="str">
            <v>Lắp cáp trong ống bảo vệ trong TBA loại &lt;=6kg</v>
          </cell>
          <cell r="D781" t="str">
            <v>mét</v>
          </cell>
          <cell r="E781" t="str">
            <v>KC</v>
          </cell>
          <cell r="F781">
            <v>2000</v>
          </cell>
          <cell r="J781" t="str">
            <v>KCNT6kg</v>
          </cell>
        </row>
        <row r="782">
          <cell r="A782" t="str">
            <v>KCNT7kg</v>
          </cell>
          <cell r="B782" t="str">
            <v>03.1406</v>
          </cell>
          <cell r="C782" t="str">
            <v>Lắp cáp trong ống bảo vệ trong TBA loại &lt;=7.5kg</v>
          </cell>
          <cell r="D782" t="str">
            <v>mét</v>
          </cell>
          <cell r="E782" t="str">
            <v>KC</v>
          </cell>
          <cell r="F782">
            <v>2000</v>
          </cell>
          <cell r="J782" t="str">
            <v>KCNT7kg</v>
          </cell>
        </row>
        <row r="783">
          <cell r="A783" t="str">
            <v>KCNT9kg</v>
          </cell>
          <cell r="B783" t="str">
            <v>03.1407</v>
          </cell>
          <cell r="C783" t="str">
            <v>Lắp cáp trong ống bảo vệ trong TBA loại &lt;=9kg</v>
          </cell>
          <cell r="D783" t="str">
            <v>mét</v>
          </cell>
          <cell r="E783" t="str">
            <v>KC</v>
          </cell>
          <cell r="F783">
            <v>2000</v>
          </cell>
          <cell r="J783" t="str">
            <v>KCNT9kg</v>
          </cell>
        </row>
        <row r="784">
          <cell r="A784" t="str">
            <v>LSD</v>
          </cell>
          <cell r="B784" t="str">
            <v>06.1115</v>
          </cell>
          <cell r="C784" t="str">
            <v>Lắp sứ đứng 24KV</v>
          </cell>
          <cell r="D784" t="str">
            <v>bộ</v>
          </cell>
          <cell r="E784" t="str">
            <v>LS</v>
          </cell>
          <cell r="F784">
            <v>2000</v>
          </cell>
          <cell r="J784" t="str">
            <v>LSD</v>
          </cell>
        </row>
        <row r="785">
          <cell r="A785" t="str">
            <v>LSD_T</v>
          </cell>
          <cell r="B785" t="str">
            <v>06.1115</v>
          </cell>
          <cell r="C785" t="str">
            <v>Tháo sứ đứng 24KV</v>
          </cell>
          <cell r="D785" t="str">
            <v>bộ</v>
          </cell>
          <cell r="E785" t="str">
            <v>LS</v>
          </cell>
          <cell r="F785">
            <v>2000</v>
          </cell>
          <cell r="J785" t="str">
            <v>LSD_T</v>
          </cell>
        </row>
        <row r="786">
          <cell r="A786" t="str">
            <v>lsd35</v>
          </cell>
          <cell r="B786" t="str">
            <v>06.1116</v>
          </cell>
          <cell r="C786" t="str">
            <v>Lắp sứ đứng 35KV</v>
          </cell>
          <cell r="D786" t="str">
            <v>bộ</v>
          </cell>
          <cell r="E786" t="str">
            <v>ls</v>
          </cell>
          <cell r="F786">
            <v>2000</v>
          </cell>
          <cell r="J786" t="str">
            <v>lsd35</v>
          </cell>
        </row>
        <row r="787">
          <cell r="A787" t="str">
            <v>LCHSD</v>
          </cell>
          <cell r="B787" t="str">
            <v>06.1410</v>
          </cell>
          <cell r="C787" t="str">
            <v>Lắp chuỗi sứ đỡ 2 bát/chuỗi</v>
          </cell>
          <cell r="D787" t="str">
            <v>chuỗi</v>
          </cell>
          <cell r="E787" t="str">
            <v>LC</v>
          </cell>
          <cell r="F787">
            <v>2000</v>
          </cell>
          <cell r="J787" t="str">
            <v>LCHSD</v>
          </cell>
        </row>
        <row r="788">
          <cell r="A788" t="str">
            <v>LCHSN</v>
          </cell>
          <cell r="B788" t="str">
            <v>06.1511</v>
          </cell>
          <cell r="C788" t="str">
            <v>Lắp chuỗi sứ néo 2 bát/chuỗi</v>
          </cell>
          <cell r="D788" t="str">
            <v>chuỗi</v>
          </cell>
          <cell r="E788" t="str">
            <v>LC</v>
          </cell>
          <cell r="F788">
            <v>2000</v>
          </cell>
          <cell r="J788" t="str">
            <v>LCHSN</v>
          </cell>
        </row>
        <row r="789">
          <cell r="A789" t="str">
            <v>LCHSNply</v>
          </cell>
          <cell r="B789" t="str">
            <v>06.2201</v>
          </cell>
          <cell r="C789" t="str">
            <v>Lắp chuỗi sứ néo Polymer</v>
          </cell>
          <cell r="D789" t="str">
            <v>chuỗi</v>
          </cell>
          <cell r="E789" t="str">
            <v>LC</v>
          </cell>
          <cell r="F789">
            <v>2000</v>
          </cell>
          <cell r="J789" t="str">
            <v>LCHSNply</v>
          </cell>
        </row>
        <row r="790">
          <cell r="A790" t="str">
            <v>LCHSN3</v>
          </cell>
          <cell r="B790" t="str">
            <v>06.1521</v>
          </cell>
          <cell r="C790" t="str">
            <v>Lắp chuỗi sứ néo 3 bát/chuỗi</v>
          </cell>
          <cell r="D790" t="str">
            <v>chuỗi</v>
          </cell>
          <cell r="E790" t="str">
            <v>LC</v>
          </cell>
          <cell r="F790">
            <v>2000</v>
          </cell>
          <cell r="J790" t="str">
            <v>LCHSN3</v>
          </cell>
        </row>
        <row r="791">
          <cell r="A791" t="str">
            <v>LSOC</v>
          </cell>
          <cell r="B791" t="str">
            <v>06.1211</v>
          </cell>
          <cell r="C791" t="str">
            <v>Lắp rack sứ + sứ ống chỉ</v>
          </cell>
          <cell r="D791" t="str">
            <v>bộ</v>
          </cell>
          <cell r="E791" t="str">
            <v>LS</v>
          </cell>
          <cell r="F791">
            <v>2000</v>
          </cell>
          <cell r="J791" t="str">
            <v>LSOC</v>
          </cell>
        </row>
        <row r="792">
          <cell r="A792" t="str">
            <v>LR2</v>
          </cell>
          <cell r="B792" t="str">
            <v>06.1213</v>
          </cell>
          <cell r="C792" t="str">
            <v>Lắp rack 2 sứ + sứ ống chỉ</v>
          </cell>
          <cell r="D792" t="str">
            <v>bộ</v>
          </cell>
          <cell r="E792" t="str">
            <v>LR</v>
          </cell>
          <cell r="F792">
            <v>2000</v>
          </cell>
          <cell r="J792" t="str">
            <v>LR2</v>
          </cell>
        </row>
        <row r="793">
          <cell r="A793" t="str">
            <v>LR3</v>
          </cell>
          <cell r="B793" t="str">
            <v>06.1214</v>
          </cell>
          <cell r="C793" t="str">
            <v>Lắp rack 3 sứ + sứ ống chỉ</v>
          </cell>
          <cell r="D793" t="str">
            <v>bộ</v>
          </cell>
          <cell r="E793" t="str">
            <v>LR</v>
          </cell>
          <cell r="F793">
            <v>2000</v>
          </cell>
          <cell r="J793" t="str">
            <v>LR3</v>
          </cell>
        </row>
        <row r="794">
          <cell r="A794" t="str">
            <v>LR4</v>
          </cell>
          <cell r="B794" t="str">
            <v>06.1215</v>
          </cell>
          <cell r="C794" t="str">
            <v>Lắp rack 4 sứ + sứ ống chỉ</v>
          </cell>
          <cell r="D794" t="str">
            <v>bộ</v>
          </cell>
          <cell r="E794" t="str">
            <v>LR</v>
          </cell>
          <cell r="F794">
            <v>2000</v>
          </cell>
          <cell r="J794" t="str">
            <v>LR4</v>
          </cell>
        </row>
        <row r="795">
          <cell r="A795" t="str">
            <v>LTRUHL-I</v>
          </cell>
          <cell r="B795" t="str">
            <v>HL16</v>
          </cell>
          <cell r="C795" t="str">
            <v xml:space="preserve">Dựng trụ đỡ đường dây 3 pha </v>
          </cell>
          <cell r="D795" t="str">
            <v>trụ</v>
          </cell>
          <cell r="E795" t="str">
            <v>LT</v>
          </cell>
          <cell r="F795">
            <v>2000</v>
          </cell>
          <cell r="J795" t="str">
            <v>LTRUHL-I</v>
          </cell>
        </row>
        <row r="796">
          <cell r="A796" t="str">
            <v>LSDHL-DX</v>
          </cell>
          <cell r="B796" t="str">
            <v>HL02</v>
          </cell>
          <cell r="C796" t="str">
            <v>Lắp sứ đứng đường dây 3 pha xà đối xứng</v>
          </cell>
          <cell r="D796" t="str">
            <v>bộ</v>
          </cell>
          <cell r="E796" t="str">
            <v>LS</v>
          </cell>
          <cell r="F796">
            <v>2000</v>
          </cell>
          <cell r="J796" t="str">
            <v>LSDHL-DX</v>
          </cell>
        </row>
        <row r="797">
          <cell r="A797" t="str">
            <v>LCHSNplyHL</v>
          </cell>
          <cell r="B797" t="str">
            <v>HL05</v>
          </cell>
          <cell r="C797" t="str">
            <v>Lắp chuỗi sứ néo Polymer đường dây 3 pha</v>
          </cell>
          <cell r="D797" t="str">
            <v>bộ</v>
          </cell>
          <cell r="E797" t="str">
            <v>LC</v>
          </cell>
          <cell r="F797">
            <v>2000</v>
          </cell>
          <cell r="J797" t="str">
            <v>LCHSNplyHL</v>
          </cell>
        </row>
        <row r="798">
          <cell r="A798" t="str">
            <v>DN CL</v>
          </cell>
          <cell r="B798" t="str">
            <v>HL07</v>
          </cell>
          <cell r="C798" t="str">
            <v>Đấu cò lèo đường dây 3 pha</v>
          </cell>
          <cell r="D798" t="str">
            <v>cò</v>
          </cell>
          <cell r="E798" t="str">
            <v>DN</v>
          </cell>
          <cell r="F798">
            <v>2000</v>
          </cell>
          <cell r="J798" t="str">
            <v>DN CL</v>
          </cell>
        </row>
        <row r="799">
          <cell r="A799" t="str">
            <v>LXHL</v>
          </cell>
          <cell r="B799" t="str">
            <v>HL13</v>
          </cell>
          <cell r="C799" t="str">
            <v>Lắp xà</v>
          </cell>
          <cell r="D799" t="str">
            <v>bộ</v>
          </cell>
          <cell r="E799" t="str">
            <v>LX</v>
          </cell>
          <cell r="F799">
            <v>2000</v>
          </cell>
          <cell r="J799" t="str">
            <v>LXHL</v>
          </cell>
        </row>
        <row r="800">
          <cell r="A800" t="str">
            <v>LSDHL-V</v>
          </cell>
          <cell r="B800" t="str">
            <v>HL03</v>
          </cell>
          <cell r="C800" t="str">
            <v>Lắp sứ đứng đường dây 3 pha xà vectical</v>
          </cell>
          <cell r="D800" t="str">
            <v>bộ</v>
          </cell>
          <cell r="E800" t="str">
            <v>LS</v>
          </cell>
          <cell r="F800">
            <v>2000</v>
          </cell>
          <cell r="J800" t="str">
            <v>LSDHL-V</v>
          </cell>
        </row>
        <row r="801">
          <cell r="A801" t="str">
            <v>LFCOHL</v>
          </cell>
          <cell r="B801" t="str">
            <v>HL09</v>
          </cell>
          <cell r="C801" t="str">
            <v>Lắp FCO, LBFCO đường dây 3 pha</v>
          </cell>
          <cell r="D801" t="str">
            <v>bộ</v>
          </cell>
          <cell r="E801" t="str">
            <v>LF</v>
          </cell>
          <cell r="F801">
            <v>2000</v>
          </cell>
          <cell r="J801" t="str">
            <v>LFCOHL</v>
          </cell>
        </row>
        <row r="802">
          <cell r="A802" t="str">
            <v>LLAHL</v>
          </cell>
          <cell r="B802" t="str">
            <v>HL09</v>
          </cell>
          <cell r="C802" t="str">
            <v>Lắp LA</v>
          </cell>
          <cell r="D802" t="str">
            <v>cái</v>
          </cell>
          <cell r="E802" t="str">
            <v>LL</v>
          </cell>
          <cell r="F802">
            <v>2000</v>
          </cell>
          <cell r="J802" t="str">
            <v>LLAHL</v>
          </cell>
        </row>
        <row r="803">
          <cell r="A803" t="str">
            <v>LBNH</v>
          </cell>
          <cell r="B803" t="str">
            <v>06.2070</v>
          </cell>
          <cell r="C803" t="str">
            <v>Sơn biển số- bảng nguy hiểm</v>
          </cell>
          <cell r="D803" t="str">
            <v>cái</v>
          </cell>
          <cell r="E803" t="str">
            <v>LB</v>
          </cell>
          <cell r="F803">
            <v>2000</v>
          </cell>
          <cell r="J803" t="str">
            <v>LBNH</v>
          </cell>
        </row>
        <row r="804">
          <cell r="A804" t="str">
            <v>LcapdongTB95</v>
          </cell>
          <cell r="B804" t="str">
            <v>04.4201</v>
          </cell>
          <cell r="C804" t="str">
            <v>Lắp cáp đồng xuống thiết bị D ≤ 95mm2</v>
          </cell>
          <cell r="D804" t="str">
            <v>m</v>
          </cell>
          <cell r="E804" t="str">
            <v>Lc</v>
          </cell>
          <cell r="F804">
            <v>2000</v>
          </cell>
          <cell r="J804" t="str">
            <v>LcapdongTB95</v>
          </cell>
        </row>
        <row r="805">
          <cell r="A805" t="str">
            <v>LcapdongTB150</v>
          </cell>
          <cell r="B805" t="str">
            <v>04.4202</v>
          </cell>
          <cell r="C805" t="str">
            <v>Lắp cáp đồng xuống thiết bị D ≤ 150mm2</v>
          </cell>
          <cell r="D805" t="str">
            <v>m</v>
          </cell>
          <cell r="E805" t="str">
            <v>Lc</v>
          </cell>
          <cell r="F805">
            <v>2000</v>
          </cell>
          <cell r="J805" t="str">
            <v>LcapdongTB150</v>
          </cell>
        </row>
        <row r="806">
          <cell r="A806" t="str">
            <v>LcapdongTB240</v>
          </cell>
          <cell r="B806" t="str">
            <v>04.4203</v>
          </cell>
          <cell r="C806" t="str">
            <v>Lắp cáp đồng xuống thiết bị D &gt; 150mm2</v>
          </cell>
          <cell r="D806" t="str">
            <v>m</v>
          </cell>
          <cell r="E806" t="str">
            <v>Lc</v>
          </cell>
          <cell r="F806">
            <v>2000</v>
          </cell>
          <cell r="J806" t="str">
            <v>LcapdongTB240</v>
          </cell>
        </row>
        <row r="807">
          <cell r="A807" t="str">
            <v>LFCO</v>
          </cell>
          <cell r="B807" t="str">
            <v>02.3505</v>
          </cell>
          <cell r="C807" t="str">
            <v>Lắp FCO 24KV</v>
          </cell>
          <cell r="D807" t="str">
            <v>cái</v>
          </cell>
          <cell r="E807" t="str">
            <v>LF</v>
          </cell>
          <cell r="F807">
            <v>2000</v>
          </cell>
          <cell r="J807" t="str">
            <v>LFCO</v>
          </cell>
        </row>
        <row r="808">
          <cell r="A808" t="str">
            <v>LLBFCO</v>
          </cell>
          <cell r="B808" t="str">
            <v>02.3505</v>
          </cell>
          <cell r="C808" t="str">
            <v>Lắp LBFCO 24KV</v>
          </cell>
          <cell r="D808" t="str">
            <v>cái</v>
          </cell>
          <cell r="E808" t="str">
            <v>LL</v>
          </cell>
          <cell r="F808">
            <v>2000</v>
          </cell>
          <cell r="J808" t="str">
            <v>LLBFCO</v>
          </cell>
        </row>
        <row r="809">
          <cell r="A809" t="str">
            <v>LGFCO</v>
          </cell>
          <cell r="B809" t="str">
            <v>06.2110</v>
          </cell>
          <cell r="C809" t="str">
            <v>Lắp giá đỡ FCO</v>
          </cell>
          <cell r="D809" t="str">
            <v>bộ</v>
          </cell>
          <cell r="E809" t="str">
            <v>LG</v>
          </cell>
          <cell r="F809">
            <v>2000</v>
          </cell>
          <cell r="J809" t="str">
            <v>LGFCO</v>
          </cell>
        </row>
        <row r="810">
          <cell r="A810" t="str">
            <v>PT</v>
          </cell>
          <cell r="B810" t="str">
            <v>01.1112</v>
          </cell>
          <cell r="C810" t="str">
            <v>Phát tuyến</v>
          </cell>
          <cell r="D810" t="str">
            <v>m2</v>
          </cell>
          <cell r="E810" t="str">
            <v>PT</v>
          </cell>
          <cell r="F810">
            <v>2000</v>
          </cell>
          <cell r="J810" t="str">
            <v>PT</v>
          </cell>
        </row>
        <row r="811">
          <cell r="A811" t="str">
            <v>PHABETONG</v>
          </cell>
          <cell r="B811" t="str">
            <v>07.1113</v>
          </cell>
          <cell r="C811" t="str">
            <v>Phá đường nhựa bằng thủ công</v>
          </cell>
          <cell r="D811" t="str">
            <v>m2</v>
          </cell>
          <cell r="E811" t="str">
            <v>PH</v>
          </cell>
          <cell r="F811">
            <v>2000</v>
          </cell>
          <cell r="J811" t="str">
            <v>PHABETONG</v>
          </cell>
        </row>
        <row r="812">
          <cell r="A812" t="str">
            <v>TR15</v>
          </cell>
          <cell r="B812" t="str">
            <v>01.1161</v>
          </cell>
          <cell r="C812" t="str">
            <v>Máy biến áp 8,6(12,7)/0,22- 0,44kV  15kVA</v>
          </cell>
          <cell r="D812" t="str">
            <v>máy</v>
          </cell>
          <cell r="E812" t="str">
            <v>TR</v>
          </cell>
          <cell r="F812">
            <v>1</v>
          </cell>
          <cell r="G812" t="str">
            <v>x</v>
          </cell>
          <cell r="J812" t="str">
            <v>TR15</v>
          </cell>
        </row>
        <row r="813">
          <cell r="A813" t="str">
            <v>TR25</v>
          </cell>
          <cell r="B813" t="str">
            <v>01.1161</v>
          </cell>
          <cell r="C813" t="str">
            <v>Máy biến áp 8,6(12,7)/0,22- 0,44kV  25kVA</v>
          </cell>
          <cell r="D813" t="str">
            <v>máy</v>
          </cell>
          <cell r="E813" t="str">
            <v>TR</v>
          </cell>
          <cell r="F813">
            <v>1</v>
          </cell>
          <cell r="G813" t="str">
            <v>x</v>
          </cell>
          <cell r="J813" t="str">
            <v>TR25</v>
          </cell>
        </row>
        <row r="814">
          <cell r="A814" t="str">
            <v>TR37</v>
          </cell>
          <cell r="B814" t="str">
            <v>01.1162</v>
          </cell>
          <cell r="C814" t="str">
            <v>Máy biến áp 8,6(12,7)/0,22-0,44kV- 37,5kVA</v>
          </cell>
          <cell r="D814" t="str">
            <v>máy</v>
          </cell>
          <cell r="E814" t="str">
            <v>TR</v>
          </cell>
          <cell r="F814">
            <v>1</v>
          </cell>
          <cell r="G814" t="str">
            <v>x</v>
          </cell>
          <cell r="J814" t="str">
            <v>TR37</v>
          </cell>
        </row>
        <row r="815">
          <cell r="A815" t="str">
            <v>TR50</v>
          </cell>
          <cell r="B815" t="str">
            <v>01.1162</v>
          </cell>
          <cell r="C815" t="str">
            <v>Máy biến áp 8,6(12,7)/0,22-0,44kV- 50kVA</v>
          </cell>
          <cell r="D815" t="str">
            <v>máy</v>
          </cell>
          <cell r="E815" t="str">
            <v>TR</v>
          </cell>
          <cell r="F815">
            <v>1</v>
          </cell>
          <cell r="G815" t="str">
            <v>x</v>
          </cell>
          <cell r="J815" t="str">
            <v>TR50</v>
          </cell>
        </row>
        <row r="816">
          <cell r="A816" t="str">
            <v>TR75</v>
          </cell>
          <cell r="B816" t="str">
            <v>01.1163</v>
          </cell>
          <cell r="C816" t="str">
            <v>Máy biến áp 8,6(12,7)/0,22-0,44kV- 75kVA</v>
          </cell>
          <cell r="D816" t="str">
            <v>máy</v>
          </cell>
          <cell r="E816" t="str">
            <v>TR</v>
          </cell>
          <cell r="F816">
            <v>1</v>
          </cell>
          <cell r="G816" t="str">
            <v>x</v>
          </cell>
          <cell r="J816" t="str">
            <v>TR75</v>
          </cell>
        </row>
        <row r="817">
          <cell r="A817" t="str">
            <v>T100</v>
          </cell>
          <cell r="B817" t="str">
            <v>01.1164</v>
          </cell>
          <cell r="C817" t="str">
            <v>Máy biến áp 8,6(12,7)/0,22-0,44kV- 100kVA</v>
          </cell>
          <cell r="D817" t="str">
            <v>máy</v>
          </cell>
          <cell r="E817" t="str">
            <v>T1</v>
          </cell>
          <cell r="F817">
            <v>1</v>
          </cell>
          <cell r="G817" t="str">
            <v>x</v>
          </cell>
          <cell r="J817" t="str">
            <v>T100</v>
          </cell>
        </row>
        <row r="818">
          <cell r="A818" t="str">
            <v>TR151</v>
          </cell>
          <cell r="B818" t="str">
            <v>01.1161</v>
          </cell>
          <cell r="C818" t="str">
            <v>Máy biến áp 12,7/0,22-0,44kV  15kVA</v>
          </cell>
          <cell r="D818" t="str">
            <v>máy</v>
          </cell>
          <cell r="E818" t="str">
            <v>TR</v>
          </cell>
          <cell r="F818">
            <v>1</v>
          </cell>
          <cell r="G818" t="str">
            <v>x</v>
          </cell>
          <cell r="J818" t="str">
            <v>TR151</v>
          </cell>
        </row>
        <row r="819">
          <cell r="A819" t="str">
            <v>TR251</v>
          </cell>
          <cell r="B819" t="str">
            <v>01.1161</v>
          </cell>
          <cell r="C819" t="str">
            <v>Máy biến áp 12,7/0,22-0,44kV  25kVA</v>
          </cell>
          <cell r="D819" t="str">
            <v>máy</v>
          </cell>
          <cell r="E819" t="str">
            <v>TR</v>
          </cell>
          <cell r="F819">
            <v>1</v>
          </cell>
          <cell r="G819" t="str">
            <v>x</v>
          </cell>
          <cell r="J819" t="str">
            <v>TR251</v>
          </cell>
        </row>
        <row r="820">
          <cell r="A820" t="str">
            <v>TR371</v>
          </cell>
          <cell r="B820" t="str">
            <v>01.1412</v>
          </cell>
          <cell r="C820" t="str">
            <v>Máy biến áp 12,7/0,22-0,44kV  37,5kVA</v>
          </cell>
          <cell r="D820" t="str">
            <v>máy</v>
          </cell>
          <cell r="E820" t="str">
            <v>TR</v>
          </cell>
          <cell r="F820">
            <v>1</v>
          </cell>
          <cell r="G820" t="str">
            <v>x</v>
          </cell>
          <cell r="J820" t="str">
            <v>TR371</v>
          </cell>
        </row>
        <row r="821">
          <cell r="A821" t="str">
            <v>TR501</v>
          </cell>
          <cell r="B821" t="str">
            <v>01.1162</v>
          </cell>
          <cell r="C821" t="str">
            <v>Máy biến áp 12,7/0,23-0,46kV 50kVA</v>
          </cell>
          <cell r="D821" t="str">
            <v>máy</v>
          </cell>
          <cell r="E821" t="str">
            <v>TR</v>
          </cell>
          <cell r="F821">
            <v>1</v>
          </cell>
          <cell r="G821" t="str">
            <v>x</v>
          </cell>
          <cell r="J821" t="str">
            <v>TR501</v>
          </cell>
        </row>
        <row r="822">
          <cell r="A822" t="str">
            <v>TR751</v>
          </cell>
          <cell r="B822" t="str">
            <v>01.1163</v>
          </cell>
          <cell r="C822" t="str">
            <v>Máy biến áp 12,7/0,23-0,46kV  75kVA</v>
          </cell>
          <cell r="D822" t="str">
            <v>máy</v>
          </cell>
          <cell r="E822" t="str">
            <v>TR</v>
          </cell>
          <cell r="F822">
            <v>1</v>
          </cell>
          <cell r="G822" t="str">
            <v>x</v>
          </cell>
          <cell r="J822" t="str">
            <v>TR751</v>
          </cell>
        </row>
        <row r="823">
          <cell r="A823" t="str">
            <v>T1001</v>
          </cell>
          <cell r="B823" t="str">
            <v>01.1164</v>
          </cell>
          <cell r="C823" t="str">
            <v>Máy biến áp 12,7/0,22-0,44kV  100kVA</v>
          </cell>
          <cell r="D823" t="str">
            <v>máy</v>
          </cell>
          <cell r="E823" t="str">
            <v>T1</v>
          </cell>
          <cell r="F823">
            <v>1</v>
          </cell>
          <cell r="G823" t="str">
            <v>x</v>
          </cell>
          <cell r="J823" t="str">
            <v>T1001</v>
          </cell>
        </row>
        <row r="824">
          <cell r="A824" t="str">
            <v>TR100</v>
          </cell>
          <cell r="B824" t="str">
            <v>01.1153</v>
          </cell>
          <cell r="C824" t="str">
            <v>Máy biến áp 15(22)/0,4kV- 100kVA</v>
          </cell>
          <cell r="D824" t="str">
            <v>máy</v>
          </cell>
          <cell r="E824" t="str">
            <v>TR</v>
          </cell>
          <cell r="F824">
            <v>1</v>
          </cell>
          <cell r="G824" t="str">
            <v>x</v>
          </cell>
          <cell r="J824" t="str">
            <v>TR100</v>
          </cell>
        </row>
        <row r="825">
          <cell r="A825" t="str">
            <v>TR160</v>
          </cell>
          <cell r="B825" t="str">
            <v>01.1154</v>
          </cell>
          <cell r="C825" t="str">
            <v>Máy biến áp 15(22)/0,4kV- 160kVA</v>
          </cell>
          <cell r="D825" t="str">
            <v>máy</v>
          </cell>
          <cell r="E825" t="str">
            <v>TR</v>
          </cell>
          <cell r="F825">
            <v>1</v>
          </cell>
          <cell r="G825" t="str">
            <v>x</v>
          </cell>
          <cell r="J825" t="str">
            <v>TR160</v>
          </cell>
        </row>
        <row r="826">
          <cell r="A826" t="str">
            <v>TR180</v>
          </cell>
          <cell r="B826" t="str">
            <v>01.1154</v>
          </cell>
          <cell r="C826" t="str">
            <v>Máy biến áp 15(22)/0,4kV- 180kVA</v>
          </cell>
          <cell r="D826" t="str">
            <v>máy</v>
          </cell>
          <cell r="E826" t="str">
            <v>TR</v>
          </cell>
          <cell r="F826">
            <v>1</v>
          </cell>
          <cell r="G826" t="str">
            <v>x</v>
          </cell>
          <cell r="J826" t="str">
            <v>TR180</v>
          </cell>
        </row>
        <row r="827">
          <cell r="A827" t="str">
            <v>TR250</v>
          </cell>
          <cell r="B827" t="str">
            <v>01.1155</v>
          </cell>
          <cell r="C827" t="str">
            <v>Máy biến áp 15(22)/0,4kV- 250kVA</v>
          </cell>
          <cell r="D827" t="str">
            <v>máy</v>
          </cell>
          <cell r="E827" t="str">
            <v>TR</v>
          </cell>
          <cell r="F827">
            <v>1</v>
          </cell>
          <cell r="G827" t="str">
            <v>x</v>
          </cell>
          <cell r="J827" t="str">
            <v>TR250</v>
          </cell>
        </row>
        <row r="828">
          <cell r="A828" t="str">
            <v>TR320</v>
          </cell>
          <cell r="B828" t="str">
            <v>01.1155</v>
          </cell>
          <cell r="C828" t="str">
            <v>Máy biến áp 15(22)/0,4kV- 320kVA</v>
          </cell>
          <cell r="D828" t="str">
            <v>máy</v>
          </cell>
          <cell r="E828" t="str">
            <v>TR</v>
          </cell>
          <cell r="F828">
            <v>1</v>
          </cell>
          <cell r="G828" t="str">
            <v>x</v>
          </cell>
          <cell r="J828" t="str">
            <v>TR320</v>
          </cell>
        </row>
        <row r="829">
          <cell r="A829" t="str">
            <v>TR400</v>
          </cell>
          <cell r="B829" t="str">
            <v>01.1155</v>
          </cell>
          <cell r="C829" t="str">
            <v>Máy biến áp 15(22)/0,4kV- 400kVA</v>
          </cell>
          <cell r="D829" t="str">
            <v>máy</v>
          </cell>
          <cell r="E829" t="str">
            <v>TR</v>
          </cell>
          <cell r="F829">
            <v>1</v>
          </cell>
          <cell r="G829" t="str">
            <v>x</v>
          </cell>
          <cell r="J829" t="str">
            <v>TR400</v>
          </cell>
        </row>
        <row r="830">
          <cell r="A830" t="str">
            <v>TR560</v>
          </cell>
          <cell r="B830" t="str">
            <v>01.1156</v>
          </cell>
          <cell r="C830" t="str">
            <v>Máy biến áp 15(22)/0,4kV- 560kVA</v>
          </cell>
          <cell r="D830" t="str">
            <v>máy</v>
          </cell>
          <cell r="E830" t="str">
            <v>TR</v>
          </cell>
          <cell r="F830">
            <v>1</v>
          </cell>
          <cell r="G830" t="str">
            <v>x</v>
          </cell>
          <cell r="J830" t="str">
            <v>TR560</v>
          </cell>
        </row>
        <row r="831">
          <cell r="A831" t="str">
            <v>TR630</v>
          </cell>
          <cell r="B831" t="str">
            <v>01.1156</v>
          </cell>
          <cell r="C831" t="str">
            <v>Máy biến áp 15(22)/0,4kV- 630kVA</v>
          </cell>
          <cell r="D831" t="str">
            <v>máy</v>
          </cell>
          <cell r="E831" t="str">
            <v>TR</v>
          </cell>
          <cell r="F831">
            <v>1</v>
          </cell>
          <cell r="G831" t="str">
            <v>x</v>
          </cell>
          <cell r="J831" t="str">
            <v>TR630</v>
          </cell>
        </row>
        <row r="832">
          <cell r="A832" t="str">
            <v>TR750</v>
          </cell>
          <cell r="B832" t="str">
            <v>01.1157</v>
          </cell>
          <cell r="C832" t="str">
            <v>Máy biến áp 15(22)/0,4kV- 750kVA</v>
          </cell>
          <cell r="D832" t="str">
            <v>máy</v>
          </cell>
          <cell r="E832" t="str">
            <v>TR</v>
          </cell>
          <cell r="F832">
            <v>1</v>
          </cell>
          <cell r="G832" t="str">
            <v>x</v>
          </cell>
          <cell r="J832" t="str">
            <v>TR750</v>
          </cell>
        </row>
        <row r="833">
          <cell r="A833" t="str">
            <v>TR1000</v>
          </cell>
          <cell r="B833" t="str">
            <v>01.1157</v>
          </cell>
          <cell r="C833" t="str">
            <v>Máy biến áp 15(22)/0,4kV- 1000kVA</v>
          </cell>
          <cell r="D833" t="str">
            <v>máy</v>
          </cell>
          <cell r="E833" t="str">
            <v>TR</v>
          </cell>
          <cell r="F833">
            <v>1</v>
          </cell>
          <cell r="G833" t="str">
            <v>x</v>
          </cell>
          <cell r="J833" t="str">
            <v>TR1000</v>
          </cell>
        </row>
        <row r="834">
          <cell r="A834" t="str">
            <v>TR1250</v>
          </cell>
          <cell r="B834" t="str">
            <v>01.1157</v>
          </cell>
          <cell r="C834" t="str">
            <v>Máy biến áp 15(22)/0,4kV- 1250kVA</v>
          </cell>
          <cell r="D834" t="str">
            <v>máy</v>
          </cell>
          <cell r="E834" t="str">
            <v>TR</v>
          </cell>
          <cell r="F834">
            <v>1</v>
          </cell>
          <cell r="G834" t="str">
            <v>x</v>
          </cell>
          <cell r="J834" t="str">
            <v>TR1250</v>
          </cell>
        </row>
        <row r="835">
          <cell r="A835" t="str">
            <v>TR1500</v>
          </cell>
          <cell r="B835" t="str">
            <v>01.1157</v>
          </cell>
          <cell r="C835" t="str">
            <v>Máy biến áp 15(22)/0,4kV- 1500kVA</v>
          </cell>
          <cell r="D835" t="str">
            <v>máy</v>
          </cell>
          <cell r="E835" t="str">
            <v>TR</v>
          </cell>
          <cell r="F835">
            <v>1</v>
          </cell>
          <cell r="G835" t="str">
            <v>x</v>
          </cell>
          <cell r="J835" t="str">
            <v>TR1500</v>
          </cell>
        </row>
        <row r="836">
          <cell r="A836" t="str">
            <v>TR1600</v>
          </cell>
          <cell r="B836" t="str">
            <v>01.1157</v>
          </cell>
          <cell r="C836" t="str">
            <v>Máy biến áp 15(22)/0,4kV- 1600kVA</v>
          </cell>
          <cell r="D836" t="str">
            <v>máy</v>
          </cell>
          <cell r="E836" t="str">
            <v>TR</v>
          </cell>
          <cell r="F836">
            <v>1</v>
          </cell>
          <cell r="G836" t="str">
            <v>x</v>
          </cell>
          <cell r="J836" t="str">
            <v>TR1600</v>
          </cell>
        </row>
        <row r="837">
          <cell r="A837" t="str">
            <v>TR2000</v>
          </cell>
          <cell r="B837" t="str">
            <v>01.1157</v>
          </cell>
          <cell r="C837" t="str">
            <v>Máy biến áp 15(22)/0,4kV- 2000kVA</v>
          </cell>
          <cell r="D837" t="str">
            <v>máy</v>
          </cell>
          <cell r="E837" t="str">
            <v>TR</v>
          </cell>
          <cell r="F837">
            <v>1</v>
          </cell>
          <cell r="G837" t="str">
            <v>x</v>
          </cell>
          <cell r="J837" t="str">
            <v>TR2000</v>
          </cell>
        </row>
        <row r="838">
          <cell r="A838" t="str">
            <v>TR2500</v>
          </cell>
          <cell r="B838" t="str">
            <v>01.1157</v>
          </cell>
          <cell r="C838" t="str">
            <v>Máy biến áp 15(22)/0,4kV- 2500kVA</v>
          </cell>
          <cell r="D838" t="str">
            <v>máy</v>
          </cell>
          <cell r="E838" t="str">
            <v>TR</v>
          </cell>
          <cell r="F838">
            <v>1</v>
          </cell>
          <cell r="G838" t="str">
            <v>x</v>
          </cell>
          <cell r="J838" t="str">
            <v>TR2500</v>
          </cell>
        </row>
        <row r="839">
          <cell r="A839" t="str">
            <v>TR3000</v>
          </cell>
          <cell r="B839" t="str">
            <v>01.1157</v>
          </cell>
          <cell r="C839" t="str">
            <v>Máy biến áp 15(22)/0,4kV- 3000kVA</v>
          </cell>
          <cell r="D839" t="str">
            <v>máy</v>
          </cell>
          <cell r="E839" t="str">
            <v>TR</v>
          </cell>
          <cell r="F839">
            <v>1</v>
          </cell>
          <cell r="G839" t="str">
            <v>x</v>
          </cell>
          <cell r="J839" t="str">
            <v>TR3000</v>
          </cell>
        </row>
        <row r="840">
          <cell r="A840" t="str">
            <v>TR4000</v>
          </cell>
          <cell r="B840" t="str">
            <v>01.1157</v>
          </cell>
          <cell r="C840" t="str">
            <v>Máy biến áp 15(22)/0,4kV- 4000kVA</v>
          </cell>
          <cell r="D840" t="str">
            <v>máy</v>
          </cell>
          <cell r="E840" t="str">
            <v>TR</v>
          </cell>
          <cell r="F840">
            <v>1</v>
          </cell>
          <cell r="G840" t="str">
            <v>x</v>
          </cell>
          <cell r="J840" t="str">
            <v>TR4000</v>
          </cell>
        </row>
        <row r="841">
          <cell r="A841" t="str">
            <v>TR1001</v>
          </cell>
          <cell r="B841" t="str">
            <v>01.1143</v>
          </cell>
          <cell r="C841" t="str">
            <v>MBA 1 PHA 12,7/0,22-0,44KV -100KVA ( TC Amorphous)</v>
          </cell>
          <cell r="D841" t="str">
            <v>máy</v>
          </cell>
          <cell r="E841" t="str">
            <v>TR</v>
          </cell>
          <cell r="F841">
            <v>1</v>
          </cell>
          <cell r="G841" t="str">
            <v>x</v>
          </cell>
          <cell r="J841" t="str">
            <v>TR1001</v>
          </cell>
        </row>
        <row r="842">
          <cell r="A842" t="str">
            <v>TR1601</v>
          </cell>
          <cell r="B842" t="str">
            <v>01.1144</v>
          </cell>
          <cell r="C842" t="str">
            <v>Máy biến áp 22/0,4kV  160kVA</v>
          </cell>
          <cell r="D842" t="str">
            <v>máy</v>
          </cell>
          <cell r="E842" t="str">
            <v>TR</v>
          </cell>
          <cell r="F842">
            <v>1</v>
          </cell>
          <cell r="G842" t="str">
            <v>x</v>
          </cell>
          <cell r="J842" t="str">
            <v>TR1601</v>
          </cell>
        </row>
        <row r="843">
          <cell r="A843" t="str">
            <v>TR1801</v>
          </cell>
          <cell r="B843" t="str">
            <v>01.1144</v>
          </cell>
          <cell r="C843" t="str">
            <v>Máy biến áp 22/0,4kV  180kVA</v>
          </cell>
          <cell r="D843" t="str">
            <v>máy</v>
          </cell>
          <cell r="E843" t="str">
            <v>TR</v>
          </cell>
          <cell r="F843">
            <v>1</v>
          </cell>
          <cell r="G843" t="str">
            <v>x</v>
          </cell>
          <cell r="J843" t="str">
            <v>TR1801</v>
          </cell>
        </row>
        <row r="844">
          <cell r="A844" t="str">
            <v>TR2501</v>
          </cell>
          <cell r="B844" t="str">
            <v>01.1415</v>
          </cell>
          <cell r="C844" t="str">
            <v>Máy biến áp 22/0,4kV- 250kVA</v>
          </cell>
          <cell r="D844" t="str">
            <v>máy</v>
          </cell>
          <cell r="E844" t="str">
            <v>TR</v>
          </cell>
          <cell r="F844">
            <v>1</v>
          </cell>
          <cell r="G844" t="str">
            <v>x</v>
          </cell>
          <cell r="J844" t="str">
            <v>TR2501</v>
          </cell>
        </row>
        <row r="845">
          <cell r="A845" t="str">
            <v>TR3201</v>
          </cell>
          <cell r="B845" t="str">
            <v>01.1145</v>
          </cell>
          <cell r="C845" t="str">
            <v>Máy biến áp 22/0,4kV- 320kVA</v>
          </cell>
          <cell r="D845" t="str">
            <v>máy</v>
          </cell>
          <cell r="E845" t="str">
            <v>TR</v>
          </cell>
          <cell r="F845">
            <v>1</v>
          </cell>
          <cell r="G845" t="str">
            <v>x</v>
          </cell>
          <cell r="J845" t="str">
            <v>TR3201</v>
          </cell>
        </row>
        <row r="846">
          <cell r="A846" t="str">
            <v>TR4001</v>
          </cell>
          <cell r="B846" t="str">
            <v>01.1146</v>
          </cell>
          <cell r="C846" t="str">
            <v>Máy biến áp 22/0,4kV- 400kVA</v>
          </cell>
          <cell r="D846" t="str">
            <v>máy</v>
          </cell>
          <cell r="E846" t="str">
            <v>TR</v>
          </cell>
          <cell r="F846">
            <v>1</v>
          </cell>
          <cell r="G846" t="str">
            <v>x</v>
          </cell>
          <cell r="J846" t="str">
            <v>TR4001</v>
          </cell>
        </row>
        <row r="847">
          <cell r="A847" t="str">
            <v>TR5601</v>
          </cell>
          <cell r="B847" t="str">
            <v>01.1146</v>
          </cell>
          <cell r="C847" t="str">
            <v>Máy biến áp 22/0,4kV- 560kVA</v>
          </cell>
          <cell r="D847" t="str">
            <v>máy</v>
          </cell>
          <cell r="E847" t="str">
            <v>TR</v>
          </cell>
          <cell r="F847">
            <v>1</v>
          </cell>
          <cell r="G847" t="str">
            <v>x</v>
          </cell>
          <cell r="J847" t="str">
            <v>TR5601</v>
          </cell>
        </row>
        <row r="848">
          <cell r="A848" t="str">
            <v>TR6301</v>
          </cell>
          <cell r="B848" t="str">
            <v>01.1146</v>
          </cell>
          <cell r="C848" t="str">
            <v>Máy biến áp 22/0,4kV- 630kVA</v>
          </cell>
          <cell r="D848" t="str">
            <v>máy</v>
          </cell>
          <cell r="E848" t="str">
            <v>TR</v>
          </cell>
          <cell r="F848">
            <v>1</v>
          </cell>
          <cell r="G848" t="str">
            <v>x</v>
          </cell>
          <cell r="J848" t="str">
            <v>TR6301</v>
          </cell>
        </row>
        <row r="849">
          <cell r="A849" t="str">
            <v>TR7501</v>
          </cell>
          <cell r="B849" t="str">
            <v>01.1147</v>
          </cell>
          <cell r="C849" t="str">
            <v>Máy biến áp 22/0,4kV- 750kVA</v>
          </cell>
          <cell r="D849" t="str">
            <v>máy</v>
          </cell>
          <cell r="E849" t="str">
            <v>TR</v>
          </cell>
          <cell r="F849">
            <v>1</v>
          </cell>
          <cell r="G849" t="str">
            <v>x</v>
          </cell>
          <cell r="J849" t="str">
            <v>TR7501</v>
          </cell>
        </row>
        <row r="850">
          <cell r="A850" t="str">
            <v>TR10001</v>
          </cell>
          <cell r="B850" t="str">
            <v>01.1147</v>
          </cell>
          <cell r="C850" t="str">
            <v>Máy biến áp 22/0,4kV- 1000kVA</v>
          </cell>
          <cell r="D850" t="str">
            <v>máy</v>
          </cell>
          <cell r="E850" t="str">
            <v>TR</v>
          </cell>
          <cell r="F850">
            <v>1</v>
          </cell>
          <cell r="G850" t="str">
            <v>x</v>
          </cell>
          <cell r="J850" t="str">
            <v>TR10001</v>
          </cell>
        </row>
        <row r="851">
          <cell r="A851" t="str">
            <v>TR12501</v>
          </cell>
          <cell r="B851" t="str">
            <v>01.1147</v>
          </cell>
          <cell r="C851" t="str">
            <v>Máy biến áp 22/0,4kV- 1250kVA</v>
          </cell>
          <cell r="D851" t="str">
            <v>máy</v>
          </cell>
          <cell r="E851" t="str">
            <v>TR</v>
          </cell>
          <cell r="F851">
            <v>1</v>
          </cell>
          <cell r="G851" t="str">
            <v>x</v>
          </cell>
          <cell r="J851" t="str">
            <v>TR12501</v>
          </cell>
        </row>
        <row r="852">
          <cell r="A852" t="str">
            <v>TR15001</v>
          </cell>
          <cell r="B852" t="str">
            <v>01.1147</v>
          </cell>
          <cell r="C852" t="str">
            <v>Máy biến áp 22/0,4kV- 1500kVA</v>
          </cell>
          <cell r="D852" t="str">
            <v>máy</v>
          </cell>
          <cell r="E852" t="str">
            <v>TR</v>
          </cell>
          <cell r="F852">
            <v>1</v>
          </cell>
          <cell r="G852" t="str">
            <v>x</v>
          </cell>
          <cell r="J852" t="str">
            <v>TR15001</v>
          </cell>
        </row>
        <row r="853">
          <cell r="A853" t="str">
            <v>TR16001</v>
          </cell>
          <cell r="B853" t="str">
            <v>01.1147</v>
          </cell>
          <cell r="C853" t="str">
            <v>Máy biến áp 22/0,4kV- 1600kVA</v>
          </cell>
          <cell r="D853" t="str">
            <v>máy</v>
          </cell>
          <cell r="E853" t="str">
            <v>TR</v>
          </cell>
          <cell r="F853">
            <v>1</v>
          </cell>
          <cell r="G853" t="str">
            <v>x</v>
          </cell>
          <cell r="J853" t="str">
            <v>TR16001</v>
          </cell>
        </row>
        <row r="854">
          <cell r="A854" t="str">
            <v>TR20001</v>
          </cell>
          <cell r="B854" t="str">
            <v>01.1147</v>
          </cell>
          <cell r="C854" t="str">
            <v>Máy biến áp 22/0,4kV- 2000kVA</v>
          </cell>
          <cell r="D854" t="str">
            <v>máy</v>
          </cell>
          <cell r="E854" t="str">
            <v>TR</v>
          </cell>
          <cell r="F854">
            <v>1</v>
          </cell>
          <cell r="G854" t="str">
            <v>x</v>
          </cell>
          <cell r="J854" t="str">
            <v>TR20001</v>
          </cell>
        </row>
        <row r="855">
          <cell r="A855" t="str">
            <v>TR25001</v>
          </cell>
          <cell r="B855" t="str">
            <v>01.1147</v>
          </cell>
          <cell r="C855" t="str">
            <v>Máy biến áp 22/0,4kV- 2500kVA</v>
          </cell>
          <cell r="D855" t="str">
            <v>máy</v>
          </cell>
          <cell r="E855" t="str">
            <v>TR</v>
          </cell>
          <cell r="F855">
            <v>1</v>
          </cell>
          <cell r="G855" t="str">
            <v>x</v>
          </cell>
          <cell r="J855" t="str">
            <v>TR25001</v>
          </cell>
        </row>
        <row r="856">
          <cell r="A856" t="str">
            <v>TR30001</v>
          </cell>
          <cell r="B856" t="str">
            <v>01.1147</v>
          </cell>
          <cell r="C856" t="str">
            <v>Máy biến áp 22/0,4kV- 3000kVA</v>
          </cell>
          <cell r="D856" t="str">
            <v>máy</v>
          </cell>
          <cell r="E856" t="str">
            <v>TR</v>
          </cell>
          <cell r="F856">
            <v>1</v>
          </cell>
          <cell r="G856" t="str">
            <v>x</v>
          </cell>
          <cell r="J856" t="str">
            <v>TR30001</v>
          </cell>
        </row>
        <row r="857">
          <cell r="A857" t="str">
            <v>TR40001</v>
          </cell>
          <cell r="B857" t="str">
            <v>01.1147</v>
          </cell>
          <cell r="C857" t="str">
            <v>Máy biến áp 22/0,4kV- 4000kVA</v>
          </cell>
          <cell r="D857" t="str">
            <v>máy</v>
          </cell>
          <cell r="E857" t="str">
            <v>TR</v>
          </cell>
          <cell r="F857">
            <v>1</v>
          </cell>
          <cell r="G857" t="str">
            <v>x</v>
          </cell>
          <cell r="J857" t="str">
            <v>TR40001</v>
          </cell>
        </row>
        <row r="858">
          <cell r="A858" t="str">
            <v>FCO100-15</v>
          </cell>
          <cell r="B858" t="str">
            <v>02.3504</v>
          </cell>
          <cell r="C858" t="str">
            <v>FCO-27KV-100A + dây chảy 3K</v>
          </cell>
          <cell r="D858" t="str">
            <v>cái</v>
          </cell>
          <cell r="E858" t="str">
            <v>FC</v>
          </cell>
          <cell r="F858">
            <v>3</v>
          </cell>
          <cell r="G858" t="str">
            <v>x</v>
          </cell>
          <cell r="J858" t="str">
            <v>FCO100-15</v>
          </cell>
        </row>
        <row r="859">
          <cell r="A859" t="str">
            <v>FCO200-15</v>
          </cell>
          <cell r="B859" t="str">
            <v>02.3504</v>
          </cell>
          <cell r="C859" t="str">
            <v xml:space="preserve">FCO 24KV - 200A </v>
          </cell>
          <cell r="D859" t="str">
            <v>cái</v>
          </cell>
          <cell r="E859" t="str">
            <v>FC</v>
          </cell>
          <cell r="F859">
            <v>3</v>
          </cell>
          <cell r="G859" t="str">
            <v>x</v>
          </cell>
          <cell r="J859" t="str">
            <v>FCO200-15</v>
          </cell>
        </row>
        <row r="860">
          <cell r="A860" t="str">
            <v>FCO100-22</v>
          </cell>
          <cell r="B860" t="str">
            <v>02.3155</v>
          </cell>
          <cell r="C860" t="str">
            <v>FCO 27kV - 100A</v>
          </cell>
          <cell r="D860" t="str">
            <v>cái</v>
          </cell>
          <cell r="E860" t="str">
            <v>FC</v>
          </cell>
          <cell r="F860">
            <v>3</v>
          </cell>
          <cell r="G860" t="str">
            <v>x</v>
          </cell>
          <cell r="J860" t="str">
            <v>FCO100-22</v>
          </cell>
        </row>
        <row r="861">
          <cell r="A861" t="str">
            <v>FCO200-22</v>
          </cell>
          <cell r="B861" t="str">
            <v>02.3505</v>
          </cell>
          <cell r="C861" t="str">
            <v xml:space="preserve">FCO 24KV - 200A </v>
          </cell>
          <cell r="D861" t="str">
            <v>cái</v>
          </cell>
          <cell r="E861" t="str">
            <v>FC</v>
          </cell>
          <cell r="F861">
            <v>3</v>
          </cell>
          <cell r="G861" t="str">
            <v>x</v>
          </cell>
          <cell r="J861" t="str">
            <v>FCO200-22</v>
          </cell>
        </row>
        <row r="862">
          <cell r="A862" t="str">
            <v>lbfco100-15</v>
          </cell>
          <cell r="B862" t="str">
            <v>02.3504</v>
          </cell>
          <cell r="C862" t="str">
            <v>LBFCO-24KV-100A</v>
          </cell>
          <cell r="D862" t="str">
            <v>cái</v>
          </cell>
          <cell r="E862" t="str">
            <v>lb</v>
          </cell>
          <cell r="F862">
            <v>3</v>
          </cell>
          <cell r="G862" t="str">
            <v>x</v>
          </cell>
          <cell r="J862" t="str">
            <v>lbfco100-15</v>
          </cell>
        </row>
        <row r="863">
          <cell r="A863" t="str">
            <v>LBFCO200-15</v>
          </cell>
          <cell r="B863" t="str">
            <v>02.3504</v>
          </cell>
          <cell r="C863" t="str">
            <v>LBFCO-24KV-200A</v>
          </cell>
          <cell r="D863" t="str">
            <v>cái</v>
          </cell>
          <cell r="E863" t="str">
            <v>LB</v>
          </cell>
          <cell r="F863">
            <v>3</v>
          </cell>
          <cell r="G863" t="str">
            <v>x</v>
          </cell>
          <cell r="J863" t="str">
            <v>LBFCO200-15</v>
          </cell>
        </row>
        <row r="864">
          <cell r="A864" t="str">
            <v>lbfco100-22</v>
          </cell>
          <cell r="B864" t="str">
            <v>02.3505</v>
          </cell>
          <cell r="C864" t="str">
            <v>LBFCO-24KV-100A</v>
          </cell>
          <cell r="D864" t="str">
            <v>cái</v>
          </cell>
          <cell r="E864" t="str">
            <v>lb</v>
          </cell>
          <cell r="F864">
            <v>3</v>
          </cell>
          <cell r="G864" t="str">
            <v>x</v>
          </cell>
          <cell r="J864" t="str">
            <v>lbfco100-22</v>
          </cell>
        </row>
        <row r="865">
          <cell r="A865" t="str">
            <v>LBFCO200-22</v>
          </cell>
          <cell r="B865" t="str">
            <v>02.3505</v>
          </cell>
          <cell r="C865" t="str">
            <v>LBFCO-24KV-200A</v>
          </cell>
          <cell r="D865" t="str">
            <v>cái</v>
          </cell>
          <cell r="E865" t="str">
            <v>LB</v>
          </cell>
          <cell r="F865">
            <v>3</v>
          </cell>
          <cell r="G865" t="str">
            <v>x</v>
          </cell>
          <cell r="J865" t="str">
            <v>LBFCO200-22</v>
          </cell>
        </row>
        <row r="866">
          <cell r="A866" t="str">
            <v>DS1P</v>
          </cell>
          <cell r="B866" t="str">
            <v>02.3302</v>
          </cell>
          <cell r="C866" t="str">
            <v xml:space="preserve">DS 1P - 24KV - 600A </v>
          </cell>
          <cell r="D866" t="str">
            <v>bộ</v>
          </cell>
          <cell r="E866" t="str">
            <v>DS</v>
          </cell>
          <cell r="F866">
            <v>50</v>
          </cell>
          <cell r="G866" t="str">
            <v>x</v>
          </cell>
          <cell r="J866" t="str">
            <v>DS1P</v>
          </cell>
        </row>
        <row r="867">
          <cell r="A867" t="str">
            <v>DS3P</v>
          </cell>
          <cell r="B867" t="str">
            <v>02.3302</v>
          </cell>
          <cell r="C867" t="str">
            <v xml:space="preserve">DS 3P - 24KV - 630A </v>
          </cell>
          <cell r="D867" t="str">
            <v>bộ</v>
          </cell>
          <cell r="E867" t="str">
            <v>DS</v>
          </cell>
          <cell r="F867">
            <v>50</v>
          </cell>
          <cell r="G867" t="str">
            <v>x</v>
          </cell>
          <cell r="J867" t="str">
            <v>DS3P</v>
          </cell>
        </row>
        <row r="868">
          <cell r="A868" t="str">
            <v>DS1PDD</v>
          </cell>
          <cell r="B868" t="str">
            <v>02.3109</v>
          </cell>
          <cell r="C868" t="str">
            <v xml:space="preserve">DS 1P - 24KV - 600A </v>
          </cell>
          <cell r="D868" t="str">
            <v>bộ</v>
          </cell>
          <cell r="E868" t="str">
            <v>DS</v>
          </cell>
          <cell r="F868">
            <v>50</v>
          </cell>
          <cell r="G868" t="str">
            <v>x</v>
          </cell>
          <cell r="J868" t="str">
            <v>DS1PDD</v>
          </cell>
        </row>
        <row r="869">
          <cell r="A869" t="str">
            <v>DS3PDD</v>
          </cell>
          <cell r="B869" t="str">
            <v>02.3207</v>
          </cell>
          <cell r="C869" t="str">
            <v xml:space="preserve">DS 3P - 24KV - 630A </v>
          </cell>
          <cell r="D869" t="str">
            <v>bộ</v>
          </cell>
          <cell r="E869" t="str">
            <v>DS</v>
          </cell>
          <cell r="F869">
            <v>50</v>
          </cell>
          <cell r="G869" t="str">
            <v>x</v>
          </cell>
          <cell r="J869" t="str">
            <v>DS3PDD</v>
          </cell>
        </row>
        <row r="870">
          <cell r="A870" t="str">
            <v>LBS 16</v>
          </cell>
          <cell r="B870" t="str">
            <v>02.2124</v>
          </cell>
          <cell r="C870" t="str">
            <v>LBS SF6 3pha 24kV 630A - 16kA</v>
          </cell>
          <cell r="D870" t="str">
            <v>bộ</v>
          </cell>
          <cell r="E870" t="str">
            <v>LB</v>
          </cell>
          <cell r="F870">
            <v>50</v>
          </cell>
          <cell r="G870" t="str">
            <v>x</v>
          </cell>
          <cell r="J870" t="str">
            <v>LBS 16</v>
          </cell>
        </row>
        <row r="871">
          <cell r="A871" t="str">
            <v>LBS treo</v>
          </cell>
          <cell r="B871" t="str">
            <v>02.2124</v>
          </cell>
          <cell r="C871" t="str">
            <v>LBS SF6 3pha 24kV 630A 12kA + bộ truyền động</v>
          </cell>
          <cell r="D871" t="str">
            <v>bộ</v>
          </cell>
          <cell r="E871" t="str">
            <v>LB</v>
          </cell>
          <cell r="F871">
            <v>50</v>
          </cell>
          <cell r="G871" t="str">
            <v>x</v>
          </cell>
          <cell r="J871" t="str">
            <v>LBS treo</v>
          </cell>
        </row>
        <row r="872">
          <cell r="A872" t="str">
            <v>REC</v>
          </cell>
          <cell r="B872" t="str">
            <v>02.2113</v>
          </cell>
          <cell r="C872" t="str">
            <v>Recloser 24kV 630A</v>
          </cell>
          <cell r="D872" t="str">
            <v>bộ</v>
          </cell>
          <cell r="E872" t="str">
            <v>RE</v>
          </cell>
          <cell r="F872">
            <v>50</v>
          </cell>
          <cell r="G872" t="str">
            <v>x</v>
          </cell>
          <cell r="J872" t="str">
            <v>REC</v>
          </cell>
        </row>
        <row r="873">
          <cell r="A873" t="str">
            <v>Recloser</v>
          </cell>
          <cell r="B873" t="str">
            <v>02.2124</v>
          </cell>
          <cell r="C873" t="str">
            <v>Recloser 24kV 630-800A</v>
          </cell>
          <cell r="D873" t="str">
            <v>bộ</v>
          </cell>
          <cell r="E873" t="str">
            <v>Re</v>
          </cell>
          <cell r="F873">
            <v>50</v>
          </cell>
          <cell r="G873" t="str">
            <v>x</v>
          </cell>
          <cell r="J873" t="str">
            <v>Recloser</v>
          </cell>
        </row>
        <row r="874">
          <cell r="A874" t="str">
            <v>LTD</v>
          </cell>
          <cell r="B874" t="str">
            <v>02.3104</v>
          </cell>
          <cell r="C874" t="str">
            <v>LTD 1P 24KV - 800A</v>
          </cell>
          <cell r="D874" t="str">
            <v>cái</v>
          </cell>
          <cell r="E874" t="str">
            <v>LT</v>
          </cell>
          <cell r="F874">
            <v>50</v>
          </cell>
          <cell r="G874" t="str">
            <v>x</v>
          </cell>
          <cell r="J874" t="str">
            <v>LTD</v>
          </cell>
        </row>
        <row r="875">
          <cell r="A875" t="str">
            <v>LA12</v>
          </cell>
          <cell r="B875" t="str">
            <v>02.5114</v>
          </cell>
          <cell r="C875" t="str">
            <v>LA 12kV 10kA</v>
          </cell>
          <cell r="D875" t="str">
            <v>cái</v>
          </cell>
          <cell r="E875" t="str">
            <v>LA</v>
          </cell>
          <cell r="F875">
            <v>4</v>
          </cell>
          <cell r="G875" t="str">
            <v>x</v>
          </cell>
          <cell r="J875" t="str">
            <v>LA12</v>
          </cell>
        </row>
        <row r="876">
          <cell r="A876" t="str">
            <v>LA18</v>
          </cell>
          <cell r="B876" t="str">
            <v>02.5114</v>
          </cell>
          <cell r="C876" t="str">
            <v>Chống sét van LA-18KV-10KA</v>
          </cell>
          <cell r="D876" t="str">
            <v>cái</v>
          </cell>
          <cell r="E876" t="str">
            <v>LA</v>
          </cell>
          <cell r="F876">
            <v>3</v>
          </cell>
          <cell r="G876" t="str">
            <v>x</v>
          </cell>
          <cell r="J876" t="str">
            <v>LA18</v>
          </cell>
        </row>
        <row r="877">
          <cell r="A877" t="str">
            <v>TI10</v>
          </cell>
          <cell r="B877" t="str">
            <v>02.1124</v>
          </cell>
          <cell r="C877" t="str">
            <v>Biến dòng 24kV  10/5A</v>
          </cell>
          <cell r="D877" t="str">
            <v>cái</v>
          </cell>
          <cell r="E877" t="str">
            <v>TI</v>
          </cell>
          <cell r="F877">
            <v>2000</v>
          </cell>
          <cell r="G877" t="str">
            <v>x</v>
          </cell>
          <cell r="J877" t="str">
            <v>TI10</v>
          </cell>
        </row>
        <row r="878">
          <cell r="A878" t="str">
            <v>TI15</v>
          </cell>
          <cell r="B878" t="str">
            <v>02.1124</v>
          </cell>
          <cell r="C878" t="str">
            <v>Biến dòng 24kV  15/5A</v>
          </cell>
          <cell r="D878" t="str">
            <v>cái</v>
          </cell>
          <cell r="E878" t="str">
            <v>TI</v>
          </cell>
          <cell r="F878">
            <v>2000</v>
          </cell>
          <cell r="G878" t="str">
            <v>x</v>
          </cell>
          <cell r="J878" t="str">
            <v>TI15</v>
          </cell>
        </row>
        <row r="879">
          <cell r="A879" t="str">
            <v>TI20</v>
          </cell>
          <cell r="B879" t="str">
            <v>02.1124</v>
          </cell>
          <cell r="C879" t="str">
            <v>Biến dòng 24kV  20/5A</v>
          </cell>
          <cell r="D879" t="str">
            <v>cái</v>
          </cell>
          <cell r="E879" t="str">
            <v>TI</v>
          </cell>
          <cell r="F879">
            <v>2000</v>
          </cell>
          <cell r="G879" t="str">
            <v>x</v>
          </cell>
          <cell r="J879" t="str">
            <v>TI20</v>
          </cell>
        </row>
        <row r="880">
          <cell r="A880" t="str">
            <v>TI25</v>
          </cell>
          <cell r="B880" t="str">
            <v>02.1124</v>
          </cell>
          <cell r="C880" t="str">
            <v>Biến dòng 24kV  25/5A</v>
          </cell>
          <cell r="D880" t="str">
            <v>cái</v>
          </cell>
          <cell r="E880" t="str">
            <v>TI</v>
          </cell>
          <cell r="F880">
            <v>2000</v>
          </cell>
          <cell r="G880" t="str">
            <v>x</v>
          </cell>
          <cell r="J880" t="str">
            <v>TI25</v>
          </cell>
        </row>
        <row r="881">
          <cell r="A881" t="str">
            <v>TI30</v>
          </cell>
          <cell r="B881" t="str">
            <v>02.1124</v>
          </cell>
          <cell r="C881" t="str">
            <v>Biến dòng 24kV  30/5A</v>
          </cell>
          <cell r="D881" t="str">
            <v>cái</v>
          </cell>
          <cell r="E881" t="str">
            <v>TI</v>
          </cell>
          <cell r="F881">
            <v>2000</v>
          </cell>
          <cell r="G881" t="str">
            <v>x</v>
          </cell>
          <cell r="J881" t="str">
            <v>TI30</v>
          </cell>
        </row>
        <row r="882">
          <cell r="A882" t="str">
            <v>TI40</v>
          </cell>
          <cell r="B882" t="str">
            <v>02.1124</v>
          </cell>
          <cell r="C882" t="str">
            <v>Biến dòng 24kV  40/5A</v>
          </cell>
          <cell r="D882" t="str">
            <v>cái</v>
          </cell>
          <cell r="E882" t="str">
            <v>TI</v>
          </cell>
          <cell r="F882">
            <v>2000</v>
          </cell>
          <cell r="G882" t="str">
            <v>x</v>
          </cell>
          <cell r="J882" t="str">
            <v>TI40</v>
          </cell>
        </row>
        <row r="883">
          <cell r="A883" t="str">
            <v>TI50</v>
          </cell>
          <cell r="B883" t="str">
            <v>02.1124</v>
          </cell>
          <cell r="C883" t="str">
            <v>Biến dòng 24kV  50/5A</v>
          </cell>
          <cell r="D883" t="str">
            <v>cái</v>
          </cell>
          <cell r="E883" t="str">
            <v>TI</v>
          </cell>
          <cell r="F883">
            <v>2000</v>
          </cell>
          <cell r="G883" t="str">
            <v>x</v>
          </cell>
          <cell r="J883" t="str">
            <v>TI50</v>
          </cell>
        </row>
        <row r="884">
          <cell r="A884" t="str">
            <v>TI60</v>
          </cell>
          <cell r="B884" t="str">
            <v>02.1124</v>
          </cell>
          <cell r="C884" t="str">
            <v>Biến dòng 24kV  60/5A</v>
          </cell>
          <cell r="D884" t="str">
            <v>cái</v>
          </cell>
          <cell r="E884" t="str">
            <v>TI</v>
          </cell>
          <cell r="F884">
            <v>2000</v>
          </cell>
          <cell r="G884" t="str">
            <v>x</v>
          </cell>
          <cell r="J884" t="str">
            <v>TI60</v>
          </cell>
        </row>
        <row r="885">
          <cell r="A885" t="str">
            <v>TI75</v>
          </cell>
          <cell r="B885" t="str">
            <v>02.1124</v>
          </cell>
          <cell r="C885" t="str">
            <v>Biến dòng 24kV  75/5A</v>
          </cell>
          <cell r="D885" t="str">
            <v>cái</v>
          </cell>
          <cell r="E885" t="str">
            <v>TI</v>
          </cell>
          <cell r="F885">
            <v>2000</v>
          </cell>
          <cell r="G885" t="str">
            <v>x</v>
          </cell>
          <cell r="J885" t="str">
            <v>TI75</v>
          </cell>
        </row>
        <row r="886">
          <cell r="A886" t="str">
            <v>TI100</v>
          </cell>
          <cell r="B886" t="str">
            <v>02.1124</v>
          </cell>
          <cell r="C886" t="str">
            <v>Biến dòng 24kV  100/5A</v>
          </cell>
          <cell r="D886" t="str">
            <v>cái</v>
          </cell>
          <cell r="E886" t="str">
            <v>TI</v>
          </cell>
          <cell r="F886">
            <v>2000</v>
          </cell>
          <cell r="G886" t="str">
            <v>x</v>
          </cell>
          <cell r="J886" t="str">
            <v>TI100</v>
          </cell>
        </row>
        <row r="887">
          <cell r="A887" t="str">
            <v>TI150</v>
          </cell>
          <cell r="B887" t="str">
            <v>02.1124</v>
          </cell>
          <cell r="C887" t="str">
            <v>Biến dòng 24kV  150/5A</v>
          </cell>
          <cell r="D887" t="str">
            <v>cái</v>
          </cell>
          <cell r="E887" t="str">
            <v>TI</v>
          </cell>
          <cell r="F887">
            <v>2000</v>
          </cell>
          <cell r="G887" t="str">
            <v>x</v>
          </cell>
          <cell r="J887" t="str">
            <v>TI150</v>
          </cell>
        </row>
        <row r="888">
          <cell r="A888" t="str">
            <v>TI755</v>
          </cell>
          <cell r="C888" t="str">
            <v xml:space="preserve">Biến dòng 600V - 75/5A </v>
          </cell>
          <cell r="D888" t="str">
            <v>cái</v>
          </cell>
          <cell r="E888" t="str">
            <v>TI</v>
          </cell>
          <cell r="F888">
            <v>2000</v>
          </cell>
          <cell r="G888" t="str">
            <v>x</v>
          </cell>
          <cell r="J888" t="str">
            <v>TI755</v>
          </cell>
        </row>
        <row r="889">
          <cell r="A889" t="str">
            <v>TI1005</v>
          </cell>
          <cell r="C889" t="str">
            <v>Biến dòng 600V - 100/5A</v>
          </cell>
          <cell r="D889" t="str">
            <v>cái</v>
          </cell>
          <cell r="E889" t="str">
            <v>TI</v>
          </cell>
          <cell r="F889">
            <v>2000</v>
          </cell>
          <cell r="G889" t="str">
            <v>x</v>
          </cell>
          <cell r="J889" t="str">
            <v>TI1005</v>
          </cell>
        </row>
        <row r="890">
          <cell r="A890" t="str">
            <v>TI1255</v>
          </cell>
          <cell r="C890" t="str">
            <v xml:space="preserve">Biến dòng 600V - 125/5A </v>
          </cell>
          <cell r="D890" t="str">
            <v>cái</v>
          </cell>
          <cell r="E890" t="str">
            <v>TI</v>
          </cell>
          <cell r="F890">
            <v>2000</v>
          </cell>
          <cell r="G890" t="str">
            <v>x</v>
          </cell>
          <cell r="J890" t="str">
            <v>TI1255</v>
          </cell>
        </row>
        <row r="891">
          <cell r="A891" t="str">
            <v>TI1505</v>
          </cell>
          <cell r="C891" t="str">
            <v xml:space="preserve">Biến dòng 600V - 150/5A </v>
          </cell>
          <cell r="D891" t="str">
            <v>cái</v>
          </cell>
          <cell r="E891" t="str">
            <v>TI</v>
          </cell>
          <cell r="F891">
            <v>2000</v>
          </cell>
          <cell r="G891" t="str">
            <v>x</v>
          </cell>
          <cell r="J891" t="str">
            <v>TI1505</v>
          </cell>
        </row>
        <row r="892">
          <cell r="A892" t="str">
            <v>TI200</v>
          </cell>
          <cell r="C892" t="str">
            <v xml:space="preserve">Biến dòng 600V - 200/5A </v>
          </cell>
          <cell r="D892" t="str">
            <v>cái</v>
          </cell>
          <cell r="E892" t="str">
            <v>TI</v>
          </cell>
          <cell r="F892">
            <v>2000</v>
          </cell>
          <cell r="G892" t="str">
            <v>x</v>
          </cell>
          <cell r="J892" t="str">
            <v>TI200</v>
          </cell>
        </row>
        <row r="893">
          <cell r="A893" t="str">
            <v>TI250</v>
          </cell>
          <cell r="C893" t="str">
            <v>Biến dòng 600V - 250/5A</v>
          </cell>
          <cell r="D893" t="str">
            <v>cái</v>
          </cell>
          <cell r="E893" t="str">
            <v>TI</v>
          </cell>
          <cell r="F893">
            <v>2000</v>
          </cell>
          <cell r="G893" t="str">
            <v>x</v>
          </cell>
          <cell r="J893" t="str">
            <v>TI250</v>
          </cell>
        </row>
        <row r="894">
          <cell r="A894" t="str">
            <v>TI300</v>
          </cell>
          <cell r="C894" t="str">
            <v xml:space="preserve">Biến dòng 600V - 300/5A </v>
          </cell>
          <cell r="D894" t="str">
            <v>cái</v>
          </cell>
          <cell r="E894" t="str">
            <v>TI</v>
          </cell>
          <cell r="F894">
            <v>2000</v>
          </cell>
          <cell r="G894" t="str">
            <v>x</v>
          </cell>
          <cell r="J894" t="str">
            <v>TI300</v>
          </cell>
        </row>
        <row r="895">
          <cell r="A895" t="str">
            <v>TI400</v>
          </cell>
          <cell r="C895" t="str">
            <v>Biến dòng 600V - 400/5A</v>
          </cell>
          <cell r="D895" t="str">
            <v>cái</v>
          </cell>
          <cell r="E895" t="str">
            <v>TI</v>
          </cell>
          <cell r="F895">
            <v>2000</v>
          </cell>
          <cell r="G895" t="str">
            <v>x</v>
          </cell>
          <cell r="J895" t="str">
            <v>TI400</v>
          </cell>
        </row>
        <row r="896">
          <cell r="A896" t="str">
            <v>TI500</v>
          </cell>
          <cell r="C896" t="str">
            <v>Biến dòng 600V - 500/5A</v>
          </cell>
          <cell r="D896" t="str">
            <v>cái</v>
          </cell>
          <cell r="E896" t="str">
            <v>TI</v>
          </cell>
          <cell r="F896">
            <v>2000</v>
          </cell>
          <cell r="G896" t="str">
            <v>x</v>
          </cell>
          <cell r="J896" t="str">
            <v>TI500</v>
          </cell>
        </row>
        <row r="897">
          <cell r="A897" t="str">
            <v>TI600</v>
          </cell>
          <cell r="C897" t="str">
            <v>Biến dòng 600V - 600/5A</v>
          </cell>
          <cell r="D897" t="str">
            <v>cái</v>
          </cell>
          <cell r="E897" t="str">
            <v>TI</v>
          </cell>
          <cell r="F897">
            <v>2000</v>
          </cell>
          <cell r="G897" t="str">
            <v>x</v>
          </cell>
          <cell r="J897" t="str">
            <v>TI600</v>
          </cell>
        </row>
        <row r="898">
          <cell r="A898" t="str">
            <v>TI800</v>
          </cell>
          <cell r="C898" t="str">
            <v>Biến dòng 600V - 800/5A</v>
          </cell>
          <cell r="D898" t="str">
            <v>cái</v>
          </cell>
          <cell r="E898" t="str">
            <v>TI</v>
          </cell>
          <cell r="F898">
            <v>2000</v>
          </cell>
          <cell r="G898" t="str">
            <v>x</v>
          </cell>
          <cell r="J898" t="str">
            <v>TI800</v>
          </cell>
        </row>
        <row r="899">
          <cell r="A899" t="str">
            <v>TU15</v>
          </cell>
          <cell r="B899" t="str">
            <v>02.1114</v>
          </cell>
          <cell r="C899" t="str">
            <v>Biến điện áp 8400/120(60)V</v>
          </cell>
          <cell r="D899" t="str">
            <v>cái</v>
          </cell>
          <cell r="E899" t="str">
            <v>TU</v>
          </cell>
          <cell r="F899">
            <v>2000</v>
          </cell>
          <cell r="G899" t="str">
            <v>x</v>
          </cell>
          <cell r="J899" t="str">
            <v>TU15</v>
          </cell>
        </row>
        <row r="900">
          <cell r="A900" t="str">
            <v>TU22</v>
          </cell>
          <cell r="B900" t="str">
            <v>02.1114</v>
          </cell>
          <cell r="C900" t="str">
            <v>Biến điện áp 12000/120(60)V</v>
          </cell>
          <cell r="D900" t="str">
            <v>cái</v>
          </cell>
          <cell r="E900" t="str">
            <v>TU</v>
          </cell>
          <cell r="F900">
            <v>2000</v>
          </cell>
          <cell r="G900" t="str">
            <v>x</v>
          </cell>
          <cell r="J900" t="str">
            <v>TU22</v>
          </cell>
        </row>
        <row r="901">
          <cell r="A901" t="str">
            <v>TIMER</v>
          </cell>
          <cell r="C901" t="str">
            <v>Relay Timer + cầu chì</v>
          </cell>
          <cell r="D901" t="str">
            <v>bộ</v>
          </cell>
          <cell r="E901" t="str">
            <v>TI</v>
          </cell>
          <cell r="F901">
            <v>50</v>
          </cell>
          <cell r="G901" t="str">
            <v>x</v>
          </cell>
          <cell r="J901" t="str">
            <v>TIMER</v>
          </cell>
        </row>
        <row r="902">
          <cell r="A902" t="str">
            <v>COTATOR</v>
          </cell>
          <cell r="C902" t="str">
            <v>Contactor 3P-50A</v>
          </cell>
          <cell r="D902" t="str">
            <v>cái</v>
          </cell>
          <cell r="E902" t="str">
            <v>CO</v>
          </cell>
          <cell r="F902">
            <v>50</v>
          </cell>
          <cell r="G902" t="str">
            <v>x</v>
          </cell>
          <cell r="J902" t="str">
            <v>COTATOR</v>
          </cell>
        </row>
        <row r="903">
          <cell r="A903" t="str">
            <v>CONTACTOR 100</v>
          </cell>
          <cell r="C903" t="str">
            <v>Contactor 3P-100A</v>
          </cell>
          <cell r="D903" t="str">
            <v>cái</v>
          </cell>
          <cell r="E903" t="str">
            <v>CO</v>
          </cell>
          <cell r="F903">
            <v>50</v>
          </cell>
          <cell r="G903" t="str">
            <v>x</v>
          </cell>
          <cell r="J903" t="str">
            <v>CONTACTOR 100</v>
          </cell>
        </row>
        <row r="904">
          <cell r="A904" t="str">
            <v>CONTACTOR 125</v>
          </cell>
          <cell r="C904" t="str">
            <v>Contactor 3P-125A</v>
          </cell>
          <cell r="D904" t="str">
            <v>cái</v>
          </cell>
          <cell r="E904" t="str">
            <v>CO</v>
          </cell>
          <cell r="F904">
            <v>50</v>
          </cell>
          <cell r="G904" t="str">
            <v>x</v>
          </cell>
          <cell r="J904" t="str">
            <v>CONTACTOR 125</v>
          </cell>
        </row>
        <row r="905">
          <cell r="A905" t="str">
            <v>TUBU1000</v>
          </cell>
          <cell r="B905" t="str">
            <v>02.8534</v>
          </cell>
          <cell r="C905" t="str">
            <v>Tủ tụ bù hạ thế 1000kVAr</v>
          </cell>
          <cell r="D905" t="str">
            <v>tủ</v>
          </cell>
          <cell r="E905" t="str">
            <v>TU</v>
          </cell>
          <cell r="F905">
            <v>2000</v>
          </cell>
          <cell r="G905" t="str">
            <v>x</v>
          </cell>
          <cell r="J905" t="str">
            <v>TUBU1000</v>
          </cell>
        </row>
        <row r="906">
          <cell r="A906" t="str">
            <v>TUBU750</v>
          </cell>
          <cell r="B906" t="str">
            <v>02.8534</v>
          </cell>
          <cell r="C906" t="str">
            <v>Tủ tụ bù hạ thế 750kVAr</v>
          </cell>
          <cell r="D906" t="str">
            <v>tủ</v>
          </cell>
          <cell r="E906" t="str">
            <v>TU</v>
          </cell>
          <cell r="F906">
            <v>2000</v>
          </cell>
          <cell r="G906" t="str">
            <v>x</v>
          </cell>
          <cell r="J906" t="str">
            <v>TUBU750</v>
          </cell>
        </row>
        <row r="907">
          <cell r="A907" t="str">
            <v>TUBU600</v>
          </cell>
          <cell r="B907" t="str">
            <v>02.8534</v>
          </cell>
          <cell r="C907" t="str">
            <v>Tủ tụ bù hạ thế 600kVAr</v>
          </cell>
          <cell r="D907" t="str">
            <v>tủ</v>
          </cell>
          <cell r="E907" t="str">
            <v>TU</v>
          </cell>
          <cell r="F907">
            <v>2000</v>
          </cell>
          <cell r="G907" t="str">
            <v>x</v>
          </cell>
          <cell r="J907" t="str">
            <v>TUBU600</v>
          </cell>
        </row>
        <row r="908">
          <cell r="A908" t="str">
            <v>TUBU400</v>
          </cell>
          <cell r="B908" t="str">
            <v>02.8534</v>
          </cell>
          <cell r="C908" t="str">
            <v>Tủ tụ bù hạ thế 400kVAr</v>
          </cell>
          <cell r="D908" t="str">
            <v>tủ</v>
          </cell>
          <cell r="E908" t="str">
            <v>TU</v>
          </cell>
          <cell r="F908">
            <v>2000</v>
          </cell>
          <cell r="G908" t="str">
            <v>x</v>
          </cell>
          <cell r="J908" t="str">
            <v>TUBU400</v>
          </cell>
        </row>
        <row r="909">
          <cell r="A909" t="str">
            <v>TUBU380</v>
          </cell>
          <cell r="B909" t="str">
            <v>02.8534</v>
          </cell>
          <cell r="C909" t="str">
            <v>Tủ tụ bù hạ thế 380kVAr</v>
          </cell>
          <cell r="D909" t="str">
            <v>tủ</v>
          </cell>
          <cell r="E909" t="str">
            <v>TU</v>
          </cell>
          <cell r="F909">
            <v>2000</v>
          </cell>
          <cell r="G909" t="str">
            <v>x</v>
          </cell>
          <cell r="J909" t="str">
            <v>TUBU380</v>
          </cell>
        </row>
        <row r="910">
          <cell r="A910" t="str">
            <v>TUBU300</v>
          </cell>
          <cell r="B910" t="str">
            <v>02.8534</v>
          </cell>
          <cell r="C910" t="str">
            <v>Tủ tụ bù hạ thế 300kVAr</v>
          </cell>
          <cell r="D910" t="str">
            <v>tủ</v>
          </cell>
          <cell r="E910" t="str">
            <v>TU</v>
          </cell>
          <cell r="F910">
            <v>2000</v>
          </cell>
          <cell r="G910" t="str">
            <v>x</v>
          </cell>
          <cell r="J910" t="str">
            <v>TUBU300</v>
          </cell>
        </row>
        <row r="911">
          <cell r="A911" t="str">
            <v>TUBU250</v>
          </cell>
          <cell r="B911" t="str">
            <v>02.8534</v>
          </cell>
          <cell r="C911" t="str">
            <v>Tủ tụ bù hạ thế 250kVAr</v>
          </cell>
          <cell r="D911" t="str">
            <v>tủ</v>
          </cell>
          <cell r="E911" t="str">
            <v>TU</v>
          </cell>
          <cell r="F911">
            <v>2000</v>
          </cell>
          <cell r="G911" t="str">
            <v>x</v>
          </cell>
          <cell r="J911" t="str">
            <v>TUBU250</v>
          </cell>
        </row>
        <row r="912">
          <cell r="A912" t="str">
            <v>TUBU220</v>
          </cell>
          <cell r="B912" t="str">
            <v>02.8534</v>
          </cell>
          <cell r="C912" t="str">
            <v>Tủ tụ bù hạ thế 220kVAr</v>
          </cell>
          <cell r="D912" t="str">
            <v>tủ</v>
          </cell>
          <cell r="E912" t="str">
            <v>TU</v>
          </cell>
          <cell r="F912">
            <v>2000</v>
          </cell>
          <cell r="G912" t="str">
            <v>x</v>
          </cell>
          <cell r="J912" t="str">
            <v>TUBU220</v>
          </cell>
        </row>
        <row r="913">
          <cell r="A913" t="str">
            <v>TUBU160</v>
          </cell>
          <cell r="B913" t="str">
            <v>02.8534</v>
          </cell>
          <cell r="C913" t="str">
            <v>Tủ tụ bù hạ thế 160kVAr</v>
          </cell>
          <cell r="D913" t="str">
            <v>tủ</v>
          </cell>
          <cell r="E913" t="str">
            <v>TU</v>
          </cell>
          <cell r="F913">
            <v>2000</v>
          </cell>
          <cell r="G913" t="str">
            <v>x</v>
          </cell>
          <cell r="J913" t="str">
            <v>TUBU160</v>
          </cell>
        </row>
        <row r="914">
          <cell r="A914" t="str">
            <v>TUBU135</v>
          </cell>
          <cell r="B914" t="str">
            <v>02.8534</v>
          </cell>
          <cell r="C914" t="str">
            <v>Tủ tụ bù hạ thế 135kVAr</v>
          </cell>
          <cell r="D914" t="str">
            <v>tủ</v>
          </cell>
          <cell r="E914" t="str">
            <v>TU</v>
          </cell>
          <cell r="F914">
            <v>2000</v>
          </cell>
          <cell r="G914" t="str">
            <v>x</v>
          </cell>
          <cell r="J914" t="str">
            <v>TUBU135</v>
          </cell>
        </row>
        <row r="915">
          <cell r="A915" t="str">
            <v>TUBU130</v>
          </cell>
          <cell r="B915" t="str">
            <v>02.8534</v>
          </cell>
          <cell r="C915" t="str">
            <v>Tủ tụ bù hạ thế 130kVAr</v>
          </cell>
          <cell r="D915" t="str">
            <v>tủ</v>
          </cell>
          <cell r="E915" t="str">
            <v>TU</v>
          </cell>
          <cell r="F915">
            <v>2000</v>
          </cell>
          <cell r="G915" t="str">
            <v>x</v>
          </cell>
          <cell r="J915" t="str">
            <v>TUBU130</v>
          </cell>
        </row>
        <row r="916">
          <cell r="A916" t="str">
            <v>TUBU100</v>
          </cell>
          <cell r="B916" t="str">
            <v>02.8504a</v>
          </cell>
          <cell r="C916" t="str">
            <v>Tủ tụ bù hạ thế 100kVAr</v>
          </cell>
          <cell r="D916" t="str">
            <v>tủ</v>
          </cell>
          <cell r="E916" t="str">
            <v>TU</v>
          </cell>
          <cell r="F916">
            <v>2000</v>
          </cell>
          <cell r="G916" t="str">
            <v>x</v>
          </cell>
          <cell r="J916" t="str">
            <v>TUBU100</v>
          </cell>
        </row>
        <row r="917">
          <cell r="A917" t="str">
            <v>TUBU90</v>
          </cell>
          <cell r="B917" t="str">
            <v>02.8534</v>
          </cell>
          <cell r="C917" t="str">
            <v>Tủ tụ bù hạ thế 90kVAr</v>
          </cell>
          <cell r="D917" t="str">
            <v>tủ</v>
          </cell>
          <cell r="E917" t="str">
            <v>TU</v>
          </cell>
          <cell r="F917">
            <v>2000</v>
          </cell>
          <cell r="G917" t="str">
            <v>x</v>
          </cell>
          <cell r="J917" t="str">
            <v>TUBU90</v>
          </cell>
        </row>
        <row r="918">
          <cell r="A918" t="str">
            <v>TUBU80</v>
          </cell>
          <cell r="B918" t="str">
            <v>02.8534</v>
          </cell>
          <cell r="C918" t="str">
            <v>Tủ tụ bù hạ thế 80kVAr</v>
          </cell>
          <cell r="D918" t="str">
            <v>tủ</v>
          </cell>
          <cell r="E918" t="str">
            <v>TU</v>
          </cell>
          <cell r="F918">
            <v>2000</v>
          </cell>
          <cell r="G918" t="str">
            <v>x</v>
          </cell>
          <cell r="J918" t="str">
            <v>TUBU80</v>
          </cell>
        </row>
        <row r="919">
          <cell r="A919" t="str">
            <v>TUBU60</v>
          </cell>
          <cell r="B919" t="str">
            <v>02.8534</v>
          </cell>
          <cell r="C919" t="str">
            <v>Tủ tụ bù hạ thế 60kVAr</v>
          </cell>
          <cell r="D919" t="str">
            <v>tủ</v>
          </cell>
          <cell r="E919" t="str">
            <v>TU</v>
          </cell>
          <cell r="F919">
            <v>2000</v>
          </cell>
          <cell r="G919" t="str">
            <v>x</v>
          </cell>
          <cell r="J919" t="str">
            <v>TUBU60</v>
          </cell>
        </row>
        <row r="920">
          <cell r="A920" t="str">
            <v>TUBU40</v>
          </cell>
          <cell r="B920" t="str">
            <v>02.8534</v>
          </cell>
          <cell r="C920" t="str">
            <v>Tụ bù 1 pha 30Kvar</v>
          </cell>
          <cell r="D920" t="str">
            <v>tủ</v>
          </cell>
          <cell r="E920" t="str">
            <v>TU</v>
          </cell>
          <cell r="F920">
            <v>2000</v>
          </cell>
          <cell r="G920" t="str">
            <v>x</v>
          </cell>
          <cell r="J920" t="str">
            <v>TUBU40</v>
          </cell>
        </row>
        <row r="921">
          <cell r="A921" t="str">
            <v>TULBS</v>
          </cell>
          <cell r="B921" t="str">
            <v>05.2102</v>
          </cell>
          <cell r="C921" t="str">
            <v>Tủ LBS 3 pha 630-800A</v>
          </cell>
          <cell r="D921" t="str">
            <v>tủ</v>
          </cell>
          <cell r="E921" t="str">
            <v>TU</v>
          </cell>
          <cell r="F921">
            <v>50</v>
          </cell>
          <cell r="G921" t="str">
            <v>x</v>
          </cell>
          <cell r="J921" t="str">
            <v>TULBS</v>
          </cell>
        </row>
        <row r="922">
          <cell r="A922" t="str">
            <v>TU LBS</v>
          </cell>
          <cell r="B922" t="str">
            <v>05.2102</v>
          </cell>
          <cell r="C922" t="str">
            <v>Tủ + LBS 24kV 3 pha 630A -16kA + Fuse 80A</v>
          </cell>
          <cell r="D922" t="str">
            <v>tủ</v>
          </cell>
          <cell r="E922" t="str">
            <v>TU</v>
          </cell>
          <cell r="F922">
            <v>50</v>
          </cell>
          <cell r="G922" t="str">
            <v>x</v>
          </cell>
          <cell r="J922" t="str">
            <v>TU LBS</v>
          </cell>
        </row>
        <row r="923">
          <cell r="A923" t="str">
            <v>TUTC LBS</v>
          </cell>
          <cell r="B923" t="str">
            <v>05.2102</v>
          </cell>
          <cell r="C923" t="str">
            <v>Tủ đấu nối thanh cái LBS (GAM2)</v>
          </cell>
          <cell r="D923" t="str">
            <v>tủ</v>
          </cell>
          <cell r="E923" t="str">
            <v>TU</v>
          </cell>
          <cell r="F923">
            <v>50</v>
          </cell>
          <cell r="G923" t="str">
            <v>x</v>
          </cell>
          <cell r="J923" t="str">
            <v>TUTC LBS</v>
          </cell>
        </row>
        <row r="924">
          <cell r="A924" t="str">
            <v>TUDS</v>
          </cell>
          <cell r="B924" t="str">
            <v>05.2102</v>
          </cell>
          <cell r="C924" t="str">
            <v>Tủ DS 3 pha 630-800A</v>
          </cell>
          <cell r="D924" t="str">
            <v>tủ</v>
          </cell>
          <cell r="E924" t="str">
            <v>TU</v>
          </cell>
          <cell r="F924">
            <v>50</v>
          </cell>
          <cell r="G924" t="str">
            <v>x</v>
          </cell>
          <cell r="J924" t="str">
            <v>TUDS</v>
          </cell>
        </row>
        <row r="925">
          <cell r="A925" t="str">
            <v>TUACB</v>
          </cell>
          <cell r="B925" t="str">
            <v>05.1102</v>
          </cell>
          <cell r="C925" t="str">
            <v>Tủ ACB trạm 3 pha + khoá</v>
          </cell>
          <cell r="D925" t="str">
            <v>cái</v>
          </cell>
          <cell r="E925" t="str">
            <v>TU</v>
          </cell>
          <cell r="F925">
            <v>50</v>
          </cell>
          <cell r="G925" t="str">
            <v>x</v>
          </cell>
          <cell r="J925" t="str">
            <v>TUACB</v>
          </cell>
        </row>
        <row r="926">
          <cell r="A926" t="str">
            <v>TUACB3200</v>
          </cell>
          <cell r="B926" t="str">
            <v>05.1102</v>
          </cell>
          <cell r="C926" t="str">
            <v>Tủ ACB 3200 + giá nới + khoá</v>
          </cell>
          <cell r="D926" t="str">
            <v>cái</v>
          </cell>
          <cell r="E926" t="str">
            <v>TU</v>
          </cell>
          <cell r="F926">
            <v>50</v>
          </cell>
          <cell r="G926" t="str">
            <v>x</v>
          </cell>
          <cell r="J926" t="str">
            <v>TUACB3200</v>
          </cell>
        </row>
        <row r="927">
          <cell r="A927" t="str">
            <v>TUACB4000</v>
          </cell>
          <cell r="B927" t="str">
            <v>05.1102</v>
          </cell>
          <cell r="C927" t="str">
            <v>Tủ ACB 4000 + giá nới + khoá</v>
          </cell>
          <cell r="D927" t="str">
            <v>cái</v>
          </cell>
          <cell r="E927" t="str">
            <v>TU</v>
          </cell>
          <cell r="F927">
            <v>50</v>
          </cell>
          <cell r="G927" t="str">
            <v>x</v>
          </cell>
          <cell r="J927" t="str">
            <v>TUACB4000</v>
          </cell>
        </row>
        <row r="928">
          <cell r="A928" t="str">
            <v>TUAP3-N</v>
          </cell>
          <cell r="B928" t="str">
            <v>05.1002</v>
          </cell>
          <cell r="C928" t="str">
            <v>Tủ CB trạm 3 pha + khoá + bulon</v>
          </cell>
          <cell r="D928" t="str">
            <v>cái</v>
          </cell>
          <cell r="E928" t="str">
            <v>TU</v>
          </cell>
          <cell r="F928">
            <v>50</v>
          </cell>
          <cell r="G928" t="str">
            <v>x</v>
          </cell>
          <cell r="J928" t="str">
            <v>TUAP3-N</v>
          </cell>
        </row>
        <row r="929">
          <cell r="A929" t="str">
            <v>TUAP1</v>
          </cell>
          <cell r="B929" t="str">
            <v>05.1001</v>
          </cell>
          <cell r="C929" t="str">
            <v>Tủ CB trạm 1 pha + khóa + boulon</v>
          </cell>
          <cell r="D929" t="str">
            <v>cái</v>
          </cell>
          <cell r="E929" t="str">
            <v>TU</v>
          </cell>
          <cell r="F929">
            <v>50</v>
          </cell>
          <cell r="G929" t="str">
            <v>x</v>
          </cell>
          <cell r="J929" t="str">
            <v>TUAP1</v>
          </cell>
        </row>
        <row r="930">
          <cell r="A930" t="str">
            <v>TUN</v>
          </cell>
          <cell r="B930" t="str">
            <v>05.1101</v>
          </cell>
          <cell r="C930" t="str">
            <v>Tủ điện kế 1 pha</v>
          </cell>
          <cell r="D930" t="str">
            <v>cái</v>
          </cell>
          <cell r="E930" t="str">
            <v>TU</v>
          </cell>
          <cell r="F930">
            <v>50</v>
          </cell>
          <cell r="G930" t="str">
            <v>x</v>
          </cell>
          <cell r="J930" t="str">
            <v>TUN</v>
          </cell>
        </row>
        <row r="931">
          <cell r="A931" t="str">
            <v>TUDKDT</v>
          </cell>
          <cell r="B931" t="str">
            <v>05.1101</v>
          </cell>
          <cell r="C931" t="str">
            <v>Thùng điện kế 450x300x200mm đo đếm trung thế</v>
          </cell>
          <cell r="D931" t="str">
            <v>cái</v>
          </cell>
          <cell r="E931" t="str">
            <v>TU</v>
          </cell>
          <cell r="F931">
            <v>50</v>
          </cell>
          <cell r="G931" t="str">
            <v>x</v>
          </cell>
          <cell r="J931" t="str">
            <v>TUDKDT</v>
          </cell>
        </row>
        <row r="932">
          <cell r="A932" t="str">
            <v>TUAP3</v>
          </cell>
          <cell r="B932" t="str">
            <v>05.1102</v>
          </cell>
          <cell r="C932" t="str">
            <v>Vỏ tủ + khóa tủ</v>
          </cell>
          <cell r="D932" t="str">
            <v>cái</v>
          </cell>
          <cell r="E932" t="str">
            <v>TU</v>
          </cell>
          <cell r="F932">
            <v>50</v>
          </cell>
          <cell r="G932" t="str">
            <v>x</v>
          </cell>
          <cell r="J932" t="str">
            <v>TUAP3</v>
          </cell>
        </row>
        <row r="933">
          <cell r="A933" t="str">
            <v>TUAP3L</v>
          </cell>
          <cell r="B933" t="str">
            <v>05.1002</v>
          </cell>
          <cell r="C933" t="str">
            <v>Vỏ tủ trạm giàn 2 ngăn + khóa tủ</v>
          </cell>
          <cell r="D933" t="str">
            <v>cái</v>
          </cell>
          <cell r="E933" t="str">
            <v>TU</v>
          </cell>
          <cell r="F933">
            <v>50</v>
          </cell>
          <cell r="G933" t="str">
            <v>x</v>
          </cell>
          <cell r="J933" t="str">
            <v>TUAP3L</v>
          </cell>
        </row>
        <row r="934">
          <cell r="A934" t="str">
            <v>KHUNG TU</v>
          </cell>
          <cell r="B934" t="str">
            <v>05.1102</v>
          </cell>
          <cell r="C934" t="str">
            <v>Khung đỡ tủ MCCB và tủ bù</v>
          </cell>
          <cell r="D934" t="str">
            <v>trọn bộ</v>
          </cell>
          <cell r="E934" t="str">
            <v>KH</v>
          </cell>
          <cell r="F934">
            <v>50</v>
          </cell>
          <cell r="G934" t="str">
            <v>x</v>
          </cell>
          <cell r="J934" t="str">
            <v>KHUNG TU</v>
          </cell>
        </row>
        <row r="935">
          <cell r="A935" t="str">
            <v>TUPP</v>
          </cell>
          <cell r="B935" t="str">
            <v>05.1101</v>
          </cell>
          <cell r="C935" t="str">
            <v>Tủ phân phối hạ thế</v>
          </cell>
          <cell r="D935" t="str">
            <v>cái</v>
          </cell>
          <cell r="E935" t="str">
            <v>TU</v>
          </cell>
          <cell r="F935">
            <v>50</v>
          </cell>
          <cell r="G935" t="str">
            <v>x</v>
          </cell>
          <cell r="J935" t="str">
            <v>TUPP</v>
          </cell>
        </row>
        <row r="936">
          <cell r="A936" t="str">
            <v>ATM30A</v>
          </cell>
          <cell r="C936" t="str">
            <v>Aptomat 2 cực 220V - 30A - 2,5kA</v>
          </cell>
          <cell r="D936" t="str">
            <v>cái</v>
          </cell>
          <cell r="E936" t="str">
            <v>AT</v>
          </cell>
          <cell r="F936">
            <v>50</v>
          </cell>
          <cell r="G936" t="str">
            <v>x</v>
          </cell>
          <cell r="J936" t="str">
            <v>ATM30A</v>
          </cell>
        </row>
        <row r="937">
          <cell r="A937" t="str">
            <v>ATM40A</v>
          </cell>
          <cell r="C937" t="str">
            <v>Aptomat 2 cực 220V - 40A - 7,5kA</v>
          </cell>
          <cell r="D937" t="str">
            <v>cái</v>
          </cell>
          <cell r="E937" t="str">
            <v>AT</v>
          </cell>
          <cell r="F937">
            <v>50</v>
          </cell>
          <cell r="G937" t="str">
            <v>x</v>
          </cell>
          <cell r="J937" t="str">
            <v>ATM40A</v>
          </cell>
        </row>
        <row r="938">
          <cell r="A938" t="str">
            <v>ATM100A</v>
          </cell>
          <cell r="C938" t="str">
            <v>Aptomat 2 cực 220V -100A</v>
          </cell>
          <cell r="D938" t="str">
            <v>cái</v>
          </cell>
          <cell r="E938" t="str">
            <v>AT</v>
          </cell>
          <cell r="F938">
            <v>50</v>
          </cell>
          <cell r="G938" t="str">
            <v>x</v>
          </cell>
          <cell r="J938" t="str">
            <v>ATM100A</v>
          </cell>
        </row>
        <row r="939">
          <cell r="A939" t="str">
            <v>ATM50</v>
          </cell>
          <cell r="B939" t="str">
            <v>02.8401</v>
          </cell>
          <cell r="C939" t="str">
            <v xml:space="preserve">MCCB - 3P-400V-63A-25KA  Icu=Ics </v>
          </cell>
          <cell r="D939" t="str">
            <v>cái</v>
          </cell>
          <cell r="E939" t="str">
            <v>AT</v>
          </cell>
          <cell r="F939">
            <v>5</v>
          </cell>
          <cell r="G939" t="str">
            <v>x</v>
          </cell>
          <cell r="J939" t="str">
            <v>ATM50</v>
          </cell>
        </row>
        <row r="940">
          <cell r="A940" t="str">
            <v>ATM80</v>
          </cell>
          <cell r="B940" t="str">
            <v>02.8401</v>
          </cell>
          <cell r="C940" t="str">
            <v>MCCB 3 cực 400V-80A - 10KA</v>
          </cell>
          <cell r="D940" t="str">
            <v>cái</v>
          </cell>
          <cell r="E940" t="str">
            <v>AT</v>
          </cell>
          <cell r="F940">
            <v>5</v>
          </cell>
          <cell r="G940" t="str">
            <v>x</v>
          </cell>
          <cell r="J940" t="str">
            <v>ATM80</v>
          </cell>
        </row>
        <row r="941">
          <cell r="A941" t="str">
            <v>ATM75</v>
          </cell>
          <cell r="B941" t="str">
            <v>02.8401</v>
          </cell>
          <cell r="C941" t="str">
            <v>MCCB 3 cực 400V-75A - 10KA</v>
          </cell>
          <cell r="D941" t="str">
            <v>cái</v>
          </cell>
          <cell r="E941" t="str">
            <v>AT</v>
          </cell>
          <cell r="F941">
            <v>5</v>
          </cell>
          <cell r="G941" t="str">
            <v>x</v>
          </cell>
          <cell r="J941" t="str">
            <v>ATM75</v>
          </cell>
        </row>
        <row r="942">
          <cell r="A942" t="str">
            <v>ATM100</v>
          </cell>
          <cell r="B942" t="str">
            <v>02.8401</v>
          </cell>
          <cell r="C942" t="str">
            <v>MCCB 3 cực 400V-100A - 30KA</v>
          </cell>
          <cell r="D942" t="str">
            <v>cái</v>
          </cell>
          <cell r="E942" t="str">
            <v>AT</v>
          </cell>
          <cell r="F942">
            <v>5</v>
          </cell>
          <cell r="G942" t="str">
            <v>x</v>
          </cell>
          <cell r="J942" t="str">
            <v>ATM100</v>
          </cell>
        </row>
        <row r="943">
          <cell r="A943" t="str">
            <v>ATM125</v>
          </cell>
          <cell r="B943" t="str">
            <v>02.8401</v>
          </cell>
          <cell r="C943" t="str">
            <v>MCCB 3 cực 400V -125A - 30KA</v>
          </cell>
          <cell r="D943" t="str">
            <v>cái</v>
          </cell>
          <cell r="E943" t="str">
            <v>AT</v>
          </cell>
          <cell r="F943">
            <v>5</v>
          </cell>
          <cell r="G943" t="str">
            <v>x</v>
          </cell>
          <cell r="J943" t="str">
            <v>ATM125</v>
          </cell>
        </row>
        <row r="944">
          <cell r="A944" t="str">
            <v>ATM150</v>
          </cell>
          <cell r="B944" t="str">
            <v>02.8401</v>
          </cell>
          <cell r="C944" t="str">
            <v>MCCB 3 cực 400V -150A - 35KA</v>
          </cell>
          <cell r="D944" t="str">
            <v>cái</v>
          </cell>
          <cell r="E944" t="str">
            <v>AT</v>
          </cell>
          <cell r="F944">
            <v>5</v>
          </cell>
          <cell r="G944" t="str">
            <v>x</v>
          </cell>
          <cell r="J944" t="str">
            <v>ATM150</v>
          </cell>
        </row>
        <row r="945">
          <cell r="A945" t="str">
            <v>ATM200</v>
          </cell>
          <cell r="B945" t="str">
            <v>02.8401</v>
          </cell>
          <cell r="C945" t="str">
            <v>MCCB 3 cực 400V -200A - 35KA</v>
          </cell>
          <cell r="D945" t="str">
            <v>cái</v>
          </cell>
          <cell r="E945" t="str">
            <v>AT</v>
          </cell>
          <cell r="F945">
            <v>5</v>
          </cell>
          <cell r="G945" t="str">
            <v>x</v>
          </cell>
          <cell r="J945" t="str">
            <v>ATM200</v>
          </cell>
        </row>
        <row r="946">
          <cell r="A946" t="str">
            <v>ATM250</v>
          </cell>
          <cell r="B946" t="str">
            <v>02.8401</v>
          </cell>
          <cell r="C946" t="str">
            <v xml:space="preserve">MCCB 3 cực 600V -250A - 36KA </v>
          </cell>
          <cell r="D946" t="str">
            <v>cái</v>
          </cell>
          <cell r="E946" t="str">
            <v>AT</v>
          </cell>
          <cell r="F946">
            <v>5</v>
          </cell>
          <cell r="G946" t="str">
            <v>x</v>
          </cell>
          <cell r="J946" t="str">
            <v>ATM250</v>
          </cell>
        </row>
        <row r="947">
          <cell r="A947" t="str">
            <v>ATM400</v>
          </cell>
          <cell r="B947" t="str">
            <v>02.8402</v>
          </cell>
          <cell r="C947" t="str">
            <v>MCCB 3 cực 690V - 400A - 50KA</v>
          </cell>
          <cell r="D947" t="str">
            <v>cái</v>
          </cell>
          <cell r="E947" t="str">
            <v>AT</v>
          </cell>
          <cell r="F947">
            <v>5</v>
          </cell>
          <cell r="G947" t="str">
            <v>x</v>
          </cell>
          <cell r="J947" t="str">
            <v>ATM400</v>
          </cell>
        </row>
        <row r="948">
          <cell r="A948" t="str">
            <v>ATM500</v>
          </cell>
          <cell r="B948" t="str">
            <v>02.8403</v>
          </cell>
          <cell r="C948" t="str">
            <v>MCCB 3 cực 400V -500A - 50KA</v>
          </cell>
          <cell r="D948" t="str">
            <v>cái</v>
          </cell>
          <cell r="E948" t="str">
            <v>AT</v>
          </cell>
          <cell r="F948">
            <v>5</v>
          </cell>
          <cell r="G948" t="str">
            <v>x</v>
          </cell>
          <cell r="J948" t="str">
            <v>ATM500</v>
          </cell>
        </row>
        <row r="949">
          <cell r="A949" t="str">
            <v>ATM600</v>
          </cell>
          <cell r="B949" t="str">
            <v>02.8403</v>
          </cell>
          <cell r="C949" t="str">
            <v>MCCB 3 cực 400V -600A - 35KA</v>
          </cell>
          <cell r="D949" t="str">
            <v>cái</v>
          </cell>
          <cell r="E949" t="str">
            <v>AT</v>
          </cell>
          <cell r="F949">
            <v>5</v>
          </cell>
          <cell r="G949" t="str">
            <v>x</v>
          </cell>
          <cell r="J949" t="str">
            <v>ATM600</v>
          </cell>
        </row>
        <row r="950">
          <cell r="A950" t="str">
            <v>ATM630</v>
          </cell>
          <cell r="B950" t="str">
            <v>02.8403</v>
          </cell>
          <cell r="C950" t="str">
            <v>MCCB 3 cực 400V -630A - 35KA</v>
          </cell>
          <cell r="D950" t="str">
            <v>cái</v>
          </cell>
          <cell r="E950" t="str">
            <v>AT</v>
          </cell>
          <cell r="F950">
            <v>5</v>
          </cell>
          <cell r="G950" t="str">
            <v>x</v>
          </cell>
          <cell r="J950" t="str">
            <v>ATM630</v>
          </cell>
        </row>
        <row r="951">
          <cell r="A951" t="str">
            <v>ATM800</v>
          </cell>
          <cell r="B951" t="str">
            <v>02.8403</v>
          </cell>
          <cell r="C951" t="str">
            <v>MCCB 3 cực 400V -800A - 50KA</v>
          </cell>
          <cell r="D951" t="str">
            <v>cái</v>
          </cell>
          <cell r="E951" t="str">
            <v>AT</v>
          </cell>
          <cell r="F951">
            <v>5</v>
          </cell>
          <cell r="G951" t="str">
            <v>x</v>
          </cell>
          <cell r="J951" t="str">
            <v>ATM800</v>
          </cell>
        </row>
        <row r="952">
          <cell r="A952" t="str">
            <v>ATM1000</v>
          </cell>
          <cell r="B952" t="str">
            <v>02.8404</v>
          </cell>
          <cell r="C952" t="str">
            <v>MCCB 3 cực 400V -1000A - 50KA</v>
          </cell>
          <cell r="D952" t="str">
            <v>cái</v>
          </cell>
          <cell r="E952" t="str">
            <v>AT</v>
          </cell>
          <cell r="F952">
            <v>5</v>
          </cell>
          <cell r="G952" t="str">
            <v>x</v>
          </cell>
          <cell r="J952" t="str">
            <v>ATM1000</v>
          </cell>
        </row>
        <row r="953">
          <cell r="A953" t="str">
            <v>ATM1250</v>
          </cell>
          <cell r="B953" t="str">
            <v>02.8404</v>
          </cell>
          <cell r="C953" t="str">
            <v>MCCB 3 cực 400V -1250A - 85KA</v>
          </cell>
          <cell r="D953" t="str">
            <v>cái</v>
          </cell>
          <cell r="E953" t="str">
            <v>AT</v>
          </cell>
          <cell r="F953">
            <v>5</v>
          </cell>
          <cell r="G953" t="str">
            <v>x</v>
          </cell>
          <cell r="J953" t="str">
            <v>ATM1250</v>
          </cell>
        </row>
        <row r="954">
          <cell r="A954" t="str">
            <v>ATM1600</v>
          </cell>
          <cell r="B954" t="str">
            <v>02.8404</v>
          </cell>
          <cell r="C954" t="str">
            <v>MCCB 3 cực 400V -1600A - 85KA</v>
          </cell>
          <cell r="D954" t="str">
            <v>cái</v>
          </cell>
          <cell r="E954" t="str">
            <v>AT</v>
          </cell>
          <cell r="F954">
            <v>5</v>
          </cell>
          <cell r="G954" t="str">
            <v>x</v>
          </cell>
          <cell r="J954" t="str">
            <v>ATM1600</v>
          </cell>
        </row>
        <row r="955">
          <cell r="A955" t="str">
            <v>ACB1600</v>
          </cell>
          <cell r="B955" t="str">
            <v>02.8404</v>
          </cell>
          <cell r="C955" t="str">
            <v>ACB 3P - 1600A - 65KA (nạp lò xo bằng tay)</v>
          </cell>
          <cell r="D955" t="str">
            <v>cái</v>
          </cell>
          <cell r="E955" t="str">
            <v>AC</v>
          </cell>
          <cell r="F955">
            <v>50</v>
          </cell>
          <cell r="G955" t="str">
            <v>x</v>
          </cell>
          <cell r="J955" t="str">
            <v>ACB1600</v>
          </cell>
        </row>
        <row r="956">
          <cell r="A956" t="str">
            <v>ACB2000</v>
          </cell>
          <cell r="B956" t="str">
            <v>02.8404</v>
          </cell>
          <cell r="C956" t="str">
            <v>ACB 3P - 2000A - 85KA (nạp lò xo bằng tay)</v>
          </cell>
          <cell r="D956" t="str">
            <v>cái</v>
          </cell>
          <cell r="E956" t="str">
            <v>AC</v>
          </cell>
          <cell r="F956">
            <v>50</v>
          </cell>
          <cell r="G956" t="str">
            <v>x</v>
          </cell>
          <cell r="J956" t="str">
            <v>ACB2000</v>
          </cell>
        </row>
        <row r="957">
          <cell r="A957" t="str">
            <v>ACB2500</v>
          </cell>
          <cell r="B957" t="str">
            <v>02.8404</v>
          </cell>
          <cell r="C957" t="str">
            <v>ACB 3P - 2500A - 85KA (nạp lò xo bằng tay)</v>
          </cell>
          <cell r="D957" t="str">
            <v>cái</v>
          </cell>
          <cell r="E957" t="str">
            <v>AC</v>
          </cell>
          <cell r="F957">
            <v>50</v>
          </cell>
          <cell r="G957" t="str">
            <v>x</v>
          </cell>
          <cell r="J957" t="str">
            <v>ACB2500</v>
          </cell>
        </row>
        <row r="958">
          <cell r="A958" t="str">
            <v>ACB3200</v>
          </cell>
          <cell r="B958" t="str">
            <v>02.8404</v>
          </cell>
          <cell r="C958" t="str">
            <v>ACB 3P - 3200A - 85KA (nạp lò xo bằng tay)</v>
          </cell>
          <cell r="D958" t="str">
            <v>cái</v>
          </cell>
          <cell r="E958" t="str">
            <v>AC</v>
          </cell>
          <cell r="F958">
            <v>50</v>
          </cell>
          <cell r="G958" t="str">
            <v>x</v>
          </cell>
          <cell r="J958" t="str">
            <v>ACB3200</v>
          </cell>
        </row>
        <row r="959">
          <cell r="A959" t="str">
            <v>ACB4000</v>
          </cell>
          <cell r="B959" t="str">
            <v>02.8404</v>
          </cell>
          <cell r="C959" t="str">
            <v>ACB 3P - 4000A - 85KA (nạp lò xo bằng tay)</v>
          </cell>
          <cell r="D959" t="str">
            <v>cái</v>
          </cell>
          <cell r="E959" t="str">
            <v>AC</v>
          </cell>
          <cell r="F959">
            <v>50</v>
          </cell>
          <cell r="G959" t="str">
            <v>x</v>
          </cell>
          <cell r="J959" t="str">
            <v>ACB4000</v>
          </cell>
        </row>
        <row r="960">
          <cell r="A960" t="str">
            <v>ACB4000-130</v>
          </cell>
          <cell r="B960" t="str">
            <v>02.8404</v>
          </cell>
          <cell r="C960" t="str">
            <v>ACB 3P - 4000A - 130KA (nạp lò xo bằng tay)</v>
          </cell>
          <cell r="D960" t="str">
            <v>cái</v>
          </cell>
          <cell r="E960" t="str">
            <v>AC</v>
          </cell>
          <cell r="F960">
            <v>50</v>
          </cell>
          <cell r="G960" t="str">
            <v>x</v>
          </cell>
          <cell r="J960" t="str">
            <v>ACB4000-130</v>
          </cell>
        </row>
        <row r="961">
          <cell r="A961" t="str">
            <v>ACB6300</v>
          </cell>
          <cell r="B961" t="str">
            <v>02.8404</v>
          </cell>
          <cell r="C961" t="str">
            <v>ACB 3P - 6300A - 130KA (nạp lò xo bằng tay)</v>
          </cell>
          <cell r="D961" t="str">
            <v>cái</v>
          </cell>
          <cell r="E961" t="str">
            <v>AC</v>
          </cell>
          <cell r="F961">
            <v>50</v>
          </cell>
          <cell r="G961" t="str">
            <v>x</v>
          </cell>
          <cell r="J961" t="str">
            <v>ACB6300</v>
          </cell>
        </row>
        <row r="962">
          <cell r="A962" t="str">
            <v>AP250</v>
          </cell>
          <cell r="C962" t="str">
            <v>Áp tô mát CBXE 200NC -250A-600V (TERASAKY-Nhật)</v>
          </cell>
          <cell r="D962" t="str">
            <v>cái</v>
          </cell>
          <cell r="E962" t="str">
            <v>AP</v>
          </cell>
          <cell r="F962">
            <v>50</v>
          </cell>
          <cell r="G962" t="str">
            <v>x</v>
          </cell>
          <cell r="J962" t="str">
            <v>AP250</v>
          </cell>
        </row>
        <row r="963">
          <cell r="A963" t="str">
            <v>AP150</v>
          </cell>
          <cell r="C963" t="str">
            <v>Áp tô mát CBXE 200NC -150A-600V (TERASAKY-Nhật)</v>
          </cell>
          <cell r="D963" t="str">
            <v>cái</v>
          </cell>
          <cell r="E963" t="str">
            <v>AP</v>
          </cell>
          <cell r="F963">
            <v>50</v>
          </cell>
          <cell r="G963" t="str">
            <v>x</v>
          </cell>
          <cell r="J963" t="str">
            <v>AP150</v>
          </cell>
        </row>
        <row r="964">
          <cell r="A964" t="str">
            <v>CHI3K</v>
          </cell>
          <cell r="C964" t="str">
            <v>Dây chảy 3K</v>
          </cell>
          <cell r="D964" t="str">
            <v>Sợi</v>
          </cell>
          <cell r="E964" t="str">
            <v>CH</v>
          </cell>
          <cell r="F964">
            <v>50</v>
          </cell>
          <cell r="G964" t="str">
            <v>x</v>
          </cell>
          <cell r="J964" t="str">
            <v>CHI3K</v>
          </cell>
        </row>
        <row r="965">
          <cell r="A965" t="str">
            <v>CHI6K</v>
          </cell>
          <cell r="C965" t="str">
            <v>Dây chảy 6K</v>
          </cell>
          <cell r="D965" t="str">
            <v>Sợi</v>
          </cell>
          <cell r="E965" t="str">
            <v>CH</v>
          </cell>
          <cell r="F965">
            <v>50</v>
          </cell>
          <cell r="G965" t="str">
            <v>x</v>
          </cell>
          <cell r="J965" t="str">
            <v>CHI6K</v>
          </cell>
        </row>
        <row r="966">
          <cell r="A966" t="str">
            <v>CHI8K</v>
          </cell>
          <cell r="C966" t="str">
            <v>Dây chảy 8K</v>
          </cell>
          <cell r="D966" t="str">
            <v>Sợi</v>
          </cell>
          <cell r="E966" t="str">
            <v>CH</v>
          </cell>
          <cell r="F966">
            <v>50</v>
          </cell>
          <cell r="G966" t="str">
            <v>x</v>
          </cell>
          <cell r="J966" t="str">
            <v>CHI8K</v>
          </cell>
        </row>
        <row r="967">
          <cell r="A967" t="str">
            <v>CHI10K</v>
          </cell>
          <cell r="C967" t="str">
            <v>Dây chảy 10K</v>
          </cell>
          <cell r="D967" t="str">
            <v>Sợi</v>
          </cell>
          <cell r="E967" t="str">
            <v>CH</v>
          </cell>
          <cell r="F967">
            <v>50</v>
          </cell>
          <cell r="G967" t="str">
            <v>x</v>
          </cell>
          <cell r="J967" t="str">
            <v>CHI10K</v>
          </cell>
        </row>
        <row r="968">
          <cell r="A968" t="str">
            <v>CHI12K</v>
          </cell>
          <cell r="C968" t="str">
            <v>Dây chảy 12K</v>
          </cell>
          <cell r="D968" t="str">
            <v>Sợi</v>
          </cell>
          <cell r="E968" t="str">
            <v>CH</v>
          </cell>
          <cell r="F968">
            <v>50</v>
          </cell>
          <cell r="G968" t="str">
            <v>x</v>
          </cell>
          <cell r="J968" t="str">
            <v>CHI12K</v>
          </cell>
        </row>
        <row r="969">
          <cell r="A969" t="str">
            <v>CHI15K</v>
          </cell>
          <cell r="C969" t="str">
            <v>Dây chảy 15K</v>
          </cell>
          <cell r="D969" t="str">
            <v>Sợi</v>
          </cell>
          <cell r="E969" t="str">
            <v>CH</v>
          </cell>
          <cell r="F969">
            <v>50</v>
          </cell>
          <cell r="G969" t="str">
            <v>x</v>
          </cell>
          <cell r="J969" t="str">
            <v>CHI15K</v>
          </cell>
        </row>
        <row r="970">
          <cell r="A970" t="str">
            <v>CHI20K</v>
          </cell>
          <cell r="C970" t="str">
            <v>Dây chảy 20K</v>
          </cell>
          <cell r="D970" t="str">
            <v>Sợi</v>
          </cell>
          <cell r="E970" t="str">
            <v>CH</v>
          </cell>
          <cell r="F970">
            <v>50</v>
          </cell>
          <cell r="G970" t="str">
            <v>x</v>
          </cell>
          <cell r="J970" t="str">
            <v>CHI20K</v>
          </cell>
        </row>
        <row r="971">
          <cell r="A971" t="str">
            <v>CHI25K</v>
          </cell>
          <cell r="C971" t="str">
            <v>Dây chảy 25K</v>
          </cell>
          <cell r="D971" t="str">
            <v>Sợi</v>
          </cell>
          <cell r="E971" t="str">
            <v>CH</v>
          </cell>
          <cell r="F971">
            <v>50</v>
          </cell>
          <cell r="G971" t="str">
            <v>x</v>
          </cell>
          <cell r="J971" t="str">
            <v>CHI25K</v>
          </cell>
        </row>
        <row r="972">
          <cell r="A972" t="str">
            <v>CHI30K</v>
          </cell>
          <cell r="C972" t="str">
            <v>Dây chảy 30K</v>
          </cell>
          <cell r="D972" t="str">
            <v>Sợi</v>
          </cell>
          <cell r="E972" t="str">
            <v>CH</v>
          </cell>
          <cell r="F972">
            <v>50</v>
          </cell>
          <cell r="G972" t="str">
            <v>x</v>
          </cell>
          <cell r="J972" t="str">
            <v>CHI30K</v>
          </cell>
        </row>
        <row r="973">
          <cell r="A973" t="str">
            <v>CHI40K</v>
          </cell>
          <cell r="C973" t="str">
            <v>Dây chảy 40K</v>
          </cell>
          <cell r="D973" t="str">
            <v>Sợi</v>
          </cell>
          <cell r="E973" t="str">
            <v>CH</v>
          </cell>
          <cell r="F973">
            <v>50</v>
          </cell>
          <cell r="G973" t="str">
            <v>x</v>
          </cell>
          <cell r="J973" t="str">
            <v>CHI40K</v>
          </cell>
        </row>
        <row r="974">
          <cell r="A974" t="str">
            <v>CHI50K</v>
          </cell>
          <cell r="C974" t="str">
            <v>Dây chảy 50K</v>
          </cell>
          <cell r="D974" t="str">
            <v>Sợi</v>
          </cell>
          <cell r="E974" t="str">
            <v>CH</v>
          </cell>
          <cell r="F974">
            <v>50</v>
          </cell>
          <cell r="G974" t="str">
            <v>x</v>
          </cell>
          <cell r="J974" t="str">
            <v>CHI50K</v>
          </cell>
        </row>
        <row r="975">
          <cell r="A975" t="str">
            <v>CHI65K</v>
          </cell>
          <cell r="C975" t="str">
            <v>Dây chảy 65K</v>
          </cell>
          <cell r="D975" t="str">
            <v>Sợi</v>
          </cell>
          <cell r="E975" t="str">
            <v>CH</v>
          </cell>
          <cell r="F975">
            <v>50</v>
          </cell>
          <cell r="G975" t="str">
            <v>x</v>
          </cell>
          <cell r="J975" t="str">
            <v>CHI65K</v>
          </cell>
        </row>
        <row r="976">
          <cell r="A976" t="str">
            <v>CHI80K</v>
          </cell>
          <cell r="C976" t="str">
            <v>Dây chảy 80K</v>
          </cell>
          <cell r="D976" t="str">
            <v>Sợi</v>
          </cell>
          <cell r="E976" t="str">
            <v>CH</v>
          </cell>
          <cell r="F976">
            <v>50</v>
          </cell>
          <cell r="G976" t="str">
            <v>x</v>
          </cell>
          <cell r="J976" t="str">
            <v>CHI80K</v>
          </cell>
        </row>
        <row r="977">
          <cell r="A977" t="str">
            <v>CHI100K</v>
          </cell>
          <cell r="C977" t="str">
            <v>Dây chảy 100K</v>
          </cell>
          <cell r="D977" t="str">
            <v>Sợi</v>
          </cell>
          <cell r="E977" t="str">
            <v>CH</v>
          </cell>
          <cell r="F977">
            <v>50</v>
          </cell>
          <cell r="G977" t="str">
            <v>x</v>
          </cell>
          <cell r="J977" t="str">
            <v>CHI100K</v>
          </cell>
        </row>
        <row r="978">
          <cell r="A978" t="str">
            <v>CHI140K</v>
          </cell>
          <cell r="C978" t="str">
            <v>Dây chảy 140K</v>
          </cell>
          <cell r="D978" t="str">
            <v>Sợi</v>
          </cell>
          <cell r="E978" t="str">
            <v>CH</v>
          </cell>
          <cell r="F978">
            <v>50</v>
          </cell>
          <cell r="G978" t="str">
            <v>x</v>
          </cell>
          <cell r="J978" t="str">
            <v>CHI140K</v>
          </cell>
        </row>
        <row r="979">
          <cell r="A979" t="str">
            <v>DK1p100A</v>
          </cell>
          <cell r="C979" t="str">
            <v>Điện kế 1 pha 2 dây 220V-100A</v>
          </cell>
          <cell r="D979" t="str">
            <v>cái</v>
          </cell>
          <cell r="E979" t="str">
            <v>DK</v>
          </cell>
          <cell r="F979">
            <v>2000</v>
          </cell>
          <cell r="G979" t="str">
            <v>x</v>
          </cell>
          <cell r="J979" t="str">
            <v>DK1p100A</v>
          </cell>
        </row>
        <row r="980">
          <cell r="A980" t="str">
            <v>DK1p80A</v>
          </cell>
          <cell r="C980" t="str">
            <v>Điện kế 1 pha 2 dây 220V-80A</v>
          </cell>
          <cell r="D980" t="str">
            <v>cái</v>
          </cell>
          <cell r="E980" t="str">
            <v>DK</v>
          </cell>
          <cell r="F980">
            <v>2000</v>
          </cell>
          <cell r="G980" t="str">
            <v>x</v>
          </cell>
          <cell r="J980" t="str">
            <v>DK1p80A</v>
          </cell>
        </row>
        <row r="981">
          <cell r="A981" t="str">
            <v>DK1p5A</v>
          </cell>
          <cell r="C981" t="str">
            <v>Điện kế 1 pha 2 dây 220V-5A</v>
          </cell>
          <cell r="D981" t="str">
            <v>cái</v>
          </cell>
          <cell r="E981" t="str">
            <v>DK</v>
          </cell>
          <cell r="F981">
            <v>2000</v>
          </cell>
          <cell r="G981" t="str">
            <v>x</v>
          </cell>
          <cell r="J981" t="str">
            <v>DK1p5A</v>
          </cell>
        </row>
        <row r="982">
          <cell r="A982" t="str">
            <v>DK3p50(100)A</v>
          </cell>
          <cell r="C982" t="str">
            <v>Điện kế 3 pha 4 dây 220/380V-50(100)A</v>
          </cell>
          <cell r="D982" t="str">
            <v>cái</v>
          </cell>
          <cell r="E982" t="str">
            <v>DK</v>
          </cell>
          <cell r="F982">
            <v>2000</v>
          </cell>
          <cell r="G982" t="str">
            <v>x</v>
          </cell>
          <cell r="J982" t="str">
            <v>DK3p50(100)A</v>
          </cell>
        </row>
        <row r="983">
          <cell r="A983" t="str">
            <v>DK3p5A</v>
          </cell>
          <cell r="B983" t="str">
            <v>05.5104</v>
          </cell>
          <cell r="C983" t="str">
            <v>Điện kế 3 pha 4 dây 220/380V-5A</v>
          </cell>
          <cell r="D983" t="str">
            <v>cái</v>
          </cell>
          <cell r="E983" t="str">
            <v>DK</v>
          </cell>
          <cell r="F983">
            <v>2000</v>
          </cell>
          <cell r="G983" t="str">
            <v>x</v>
          </cell>
          <cell r="J983" t="str">
            <v>DK3p5A</v>
          </cell>
        </row>
        <row r="984">
          <cell r="A984" t="str">
            <v>DK380-5A</v>
          </cell>
          <cell r="B984" t="str">
            <v>05.5104</v>
          </cell>
          <cell r="C984" t="str">
            <v>Điện kế 3 pha điện tử 220/380V-5A</v>
          </cell>
          <cell r="D984" t="str">
            <v>cái</v>
          </cell>
          <cell r="E984" t="str">
            <v>DK</v>
          </cell>
          <cell r="F984">
            <v>2000</v>
          </cell>
          <cell r="G984" t="str">
            <v>x</v>
          </cell>
          <cell r="J984" t="str">
            <v>DK380-5A</v>
          </cell>
        </row>
        <row r="985">
          <cell r="A985" t="str">
            <v>DK3DT</v>
          </cell>
          <cell r="C985" t="str">
            <v>Điện kế 3 pha điện tử 600V-5A</v>
          </cell>
          <cell r="D985" t="str">
            <v>cái</v>
          </cell>
          <cell r="E985" t="str">
            <v>DK</v>
          </cell>
          <cell r="F985">
            <v>2000</v>
          </cell>
          <cell r="G985" t="str">
            <v>x</v>
          </cell>
          <cell r="J985" t="str">
            <v>DK3DT</v>
          </cell>
        </row>
        <row r="986">
          <cell r="A986" t="str">
            <v>DK3P</v>
          </cell>
          <cell r="B986" t="str">
            <v>05.5104</v>
          </cell>
          <cell r="C986" t="str">
            <v>Điện năng kế 3 pha 380V-5A</v>
          </cell>
          <cell r="D986" t="str">
            <v>cái</v>
          </cell>
          <cell r="E986" t="str">
            <v>DK</v>
          </cell>
          <cell r="F986">
            <v>2000</v>
          </cell>
          <cell r="G986" t="str">
            <v>x</v>
          </cell>
          <cell r="J986" t="str">
            <v>DK3P</v>
          </cell>
        </row>
        <row r="987">
          <cell r="A987" t="str">
            <v>BANG</v>
          </cell>
          <cell r="B987" t="str">
            <v>06.3191</v>
          </cell>
          <cell r="C987" t="str">
            <v>Bảng tên trạm, bảng báo nguy hiểm + đinh vít</v>
          </cell>
          <cell r="D987" t="str">
            <v>bộ</v>
          </cell>
          <cell r="E987" t="str">
            <v>BA</v>
          </cell>
          <cell r="F987">
            <v>50</v>
          </cell>
          <cell r="G987" t="str">
            <v>x</v>
          </cell>
          <cell r="J987" t="str">
            <v>BANG</v>
          </cell>
        </row>
        <row r="988">
          <cell r="A988" t="str">
            <v>GTD</v>
          </cell>
          <cell r="C988" t="str">
            <v>Giếng tiếp địa khoan đất</v>
          </cell>
          <cell r="D988" t="str">
            <v>Cái</v>
          </cell>
          <cell r="E988" t="str">
            <v>GT</v>
          </cell>
          <cell r="F988">
            <v>50</v>
          </cell>
          <cell r="G988" t="str">
            <v>x</v>
          </cell>
          <cell r="J988" t="str">
            <v>GTD</v>
          </cell>
        </row>
        <row r="989">
          <cell r="A989" t="str">
            <v>GTDĐ</v>
          </cell>
          <cell r="C989" t="str">
            <v>Giếng tiếp địa khoan đá</v>
          </cell>
          <cell r="D989" t="str">
            <v>Cái</v>
          </cell>
          <cell r="E989" t="str">
            <v>GT</v>
          </cell>
          <cell r="F989">
            <v>50</v>
          </cell>
          <cell r="G989" t="str">
            <v>x</v>
          </cell>
          <cell r="J989" t="str">
            <v>GTDĐ</v>
          </cell>
        </row>
        <row r="990">
          <cell r="A990" t="str">
            <v>SXTg</v>
          </cell>
          <cell r="B990" t="str">
            <v>04.2301</v>
          </cell>
          <cell r="C990" t="str">
            <v>Sứ xuyên tường 24kV</v>
          </cell>
          <cell r="D990" t="str">
            <v>cái</v>
          </cell>
          <cell r="E990" t="str">
            <v>SX</v>
          </cell>
          <cell r="F990">
            <v>50</v>
          </cell>
          <cell r="G990" t="str">
            <v>x</v>
          </cell>
          <cell r="J990" t="str">
            <v>SXTg</v>
          </cell>
        </row>
        <row r="991">
          <cell r="A991" t="str">
            <v>GSXTg</v>
          </cell>
          <cell r="C991" t="str">
            <v>Giá lắp sứ xuyên tường</v>
          </cell>
          <cell r="D991" t="str">
            <v>bộ</v>
          </cell>
          <cell r="E991" t="str">
            <v>GS</v>
          </cell>
          <cell r="F991">
            <v>50</v>
          </cell>
          <cell r="G991" t="str">
            <v>x</v>
          </cell>
          <cell r="J991" t="str">
            <v>GSXTg</v>
          </cell>
        </row>
        <row r="992">
          <cell r="A992" t="str">
            <v>GCAP</v>
          </cell>
          <cell r="C992" t="str">
            <v>Giá đỡ cáp ngầm (V63x6)</v>
          </cell>
          <cell r="D992" t="str">
            <v>bộ</v>
          </cell>
          <cell r="E992" t="str">
            <v>GC</v>
          </cell>
          <cell r="F992">
            <v>50</v>
          </cell>
          <cell r="G992" t="str">
            <v>x</v>
          </cell>
          <cell r="J992" t="str">
            <v>GCAP</v>
          </cell>
        </row>
        <row r="993">
          <cell r="A993" t="str">
            <v>SDTC</v>
          </cell>
          <cell r="B993" t="str">
            <v>04.2201</v>
          </cell>
          <cell r="C993" t="str">
            <v>Sứ đỡ thanh cái 24kV</v>
          </cell>
          <cell r="D993" t="str">
            <v>bộ</v>
          </cell>
          <cell r="E993" t="str">
            <v>SD</v>
          </cell>
          <cell r="F993">
            <v>50</v>
          </cell>
          <cell r="G993" t="str">
            <v>x</v>
          </cell>
          <cell r="J993" t="str">
            <v>SDTC</v>
          </cell>
        </row>
        <row r="994">
          <cell r="A994" t="str">
            <v>TC450</v>
          </cell>
          <cell r="B994" t="str">
            <v>04.5102</v>
          </cell>
          <cell r="C994" t="str">
            <v>Thanh cái đồng 4x50</v>
          </cell>
          <cell r="D994" t="str">
            <v>m</v>
          </cell>
          <cell r="E994" t="str">
            <v>TC</v>
          </cell>
          <cell r="F994">
            <v>50</v>
          </cell>
          <cell r="G994" t="str">
            <v>x</v>
          </cell>
          <cell r="J994" t="str">
            <v>TC450</v>
          </cell>
        </row>
        <row r="995">
          <cell r="A995" t="str">
            <v>TC430</v>
          </cell>
          <cell r="B995" t="str">
            <v>04.5102</v>
          </cell>
          <cell r="C995" t="str">
            <v>Thanh cái đồng 4x30</v>
          </cell>
          <cell r="D995" t="str">
            <v>m</v>
          </cell>
          <cell r="E995" t="str">
            <v>TC</v>
          </cell>
          <cell r="F995">
            <v>50</v>
          </cell>
          <cell r="G995" t="str">
            <v>x</v>
          </cell>
          <cell r="J995" t="str">
            <v>TC430</v>
          </cell>
        </row>
        <row r="996">
          <cell r="A996" t="str">
            <v>TC420</v>
          </cell>
          <cell r="B996" t="str">
            <v>04.5101</v>
          </cell>
          <cell r="C996" t="str">
            <v>Thanh cái đồng 4x20</v>
          </cell>
          <cell r="D996" t="str">
            <v>m</v>
          </cell>
          <cell r="E996" t="str">
            <v>TC</v>
          </cell>
          <cell r="F996">
            <v>50</v>
          </cell>
          <cell r="G996" t="str">
            <v>x</v>
          </cell>
          <cell r="J996" t="str">
            <v>TC420</v>
          </cell>
        </row>
        <row r="997">
          <cell r="A997" t="str">
            <v>GiacapTT-2m</v>
          </cell>
          <cell r="C997" t="str">
            <v>Giá đỡ cáp trung thế</v>
          </cell>
          <cell r="D997" t="str">
            <v>bộ</v>
          </cell>
          <cell r="E997" t="str">
            <v>Gi</v>
          </cell>
          <cell r="F997">
            <v>50</v>
          </cell>
          <cell r="G997" t="str">
            <v>x</v>
          </cell>
          <cell r="J997" t="str">
            <v>GiacapTT-2m</v>
          </cell>
        </row>
        <row r="998">
          <cell r="A998" t="str">
            <v>GiacapTT-6m</v>
          </cell>
          <cell r="C998" t="str">
            <v>Giá đỡ cáp trung thế</v>
          </cell>
          <cell r="D998" t="str">
            <v>bộ</v>
          </cell>
          <cell r="E998" t="str">
            <v>Gi</v>
          </cell>
          <cell r="F998">
            <v>50</v>
          </cell>
          <cell r="G998" t="str">
            <v>x</v>
          </cell>
          <cell r="J998" t="str">
            <v>GiacapTT-6m</v>
          </cell>
        </row>
        <row r="999">
          <cell r="A999" t="str">
            <v>GiacapTT-8m</v>
          </cell>
          <cell r="C999" t="str">
            <v>Giá đỡ cáp trung thế</v>
          </cell>
          <cell r="D999" t="str">
            <v>bộ</v>
          </cell>
          <cell r="E999" t="str">
            <v>Gi</v>
          </cell>
          <cell r="F999">
            <v>50</v>
          </cell>
          <cell r="G999" t="str">
            <v>x</v>
          </cell>
          <cell r="J999" t="str">
            <v>GiacapTT-8m</v>
          </cell>
        </row>
        <row r="1000">
          <cell r="A1000" t="str">
            <v>GiacapTT-15m</v>
          </cell>
          <cell r="C1000" t="str">
            <v>Giá đỡ cáp trung thế</v>
          </cell>
          <cell r="D1000" t="str">
            <v>bộ</v>
          </cell>
          <cell r="E1000" t="str">
            <v>Gi</v>
          </cell>
          <cell r="F1000">
            <v>50</v>
          </cell>
          <cell r="G1000" t="str">
            <v>x</v>
          </cell>
          <cell r="J1000" t="str">
            <v>GiacapTT-15m</v>
          </cell>
        </row>
        <row r="1001">
          <cell r="A1001" t="str">
            <v>GiacapTHT-10m</v>
          </cell>
          <cell r="C1001" t="str">
            <v>Giá đỡ cáp trung hạ thế</v>
          </cell>
          <cell r="D1001" t="str">
            <v>bộ</v>
          </cell>
          <cell r="E1001" t="str">
            <v>Gi</v>
          </cell>
          <cell r="F1001">
            <v>50</v>
          </cell>
          <cell r="G1001" t="str">
            <v>x</v>
          </cell>
          <cell r="J1001" t="str">
            <v>GiacapTHT-10m</v>
          </cell>
        </row>
        <row r="1002">
          <cell r="A1002" t="str">
            <v>GiacapHT-1m</v>
          </cell>
          <cell r="C1002" t="str">
            <v xml:space="preserve">Giá đỡ cáp hạ thế </v>
          </cell>
          <cell r="D1002" t="str">
            <v>bộ</v>
          </cell>
          <cell r="E1002" t="str">
            <v>Gi</v>
          </cell>
          <cell r="F1002">
            <v>50</v>
          </cell>
          <cell r="G1002" t="str">
            <v>x</v>
          </cell>
          <cell r="J1002" t="str">
            <v>GiacapHT-1m</v>
          </cell>
        </row>
        <row r="1003">
          <cell r="A1003" t="str">
            <v>GiacapHT-2m</v>
          </cell>
          <cell r="C1003" t="str">
            <v xml:space="preserve">Giá đỡ cáp hạ thế </v>
          </cell>
          <cell r="D1003" t="str">
            <v>bộ</v>
          </cell>
          <cell r="E1003" t="str">
            <v>Gi</v>
          </cell>
          <cell r="F1003">
            <v>50</v>
          </cell>
          <cell r="G1003" t="str">
            <v>x</v>
          </cell>
          <cell r="J1003" t="str">
            <v>GiacapHT-2m</v>
          </cell>
        </row>
        <row r="1004">
          <cell r="A1004" t="str">
            <v>GiacapHT-3m</v>
          </cell>
          <cell r="C1004" t="str">
            <v xml:space="preserve">Giá đỡ cáp hạ thế </v>
          </cell>
          <cell r="D1004" t="str">
            <v>bộ</v>
          </cell>
          <cell r="E1004" t="str">
            <v>Gi</v>
          </cell>
          <cell r="F1004">
            <v>50</v>
          </cell>
          <cell r="G1004" t="str">
            <v>x</v>
          </cell>
          <cell r="J1004" t="str">
            <v>GiacapHT-3m</v>
          </cell>
        </row>
        <row r="1005">
          <cell r="A1005" t="str">
            <v>GiacapHT-4m</v>
          </cell>
          <cell r="C1005" t="str">
            <v xml:space="preserve">Giá đỡ cáp hạ thế </v>
          </cell>
          <cell r="D1005" t="str">
            <v>bộ</v>
          </cell>
          <cell r="E1005" t="str">
            <v>Gi</v>
          </cell>
          <cell r="F1005">
            <v>50</v>
          </cell>
          <cell r="G1005" t="str">
            <v>x</v>
          </cell>
          <cell r="J1005" t="str">
            <v>GiacapHT-4m</v>
          </cell>
        </row>
        <row r="1006">
          <cell r="A1006" t="str">
            <v>GiacapHT</v>
          </cell>
          <cell r="C1006" t="str">
            <v xml:space="preserve">Giá đỡ cáp hạ thế </v>
          </cell>
          <cell r="D1006" t="str">
            <v>trọn bộ</v>
          </cell>
          <cell r="E1006" t="str">
            <v>Gi</v>
          </cell>
          <cell r="F1006">
            <v>50</v>
          </cell>
          <cell r="G1006" t="str">
            <v>x</v>
          </cell>
          <cell r="J1006" t="str">
            <v>GiacapHT</v>
          </cell>
        </row>
        <row r="1007">
          <cell r="A1007" t="str">
            <v>GiacapHT-30m</v>
          </cell>
          <cell r="C1007" t="str">
            <v xml:space="preserve">Giá đỡ cáp hạ thế </v>
          </cell>
          <cell r="D1007" t="str">
            <v>bộ</v>
          </cell>
          <cell r="E1007" t="str">
            <v>Gi</v>
          </cell>
          <cell r="F1007">
            <v>50</v>
          </cell>
          <cell r="G1007" t="str">
            <v>x</v>
          </cell>
          <cell r="J1007" t="str">
            <v>GiacapHT-30m</v>
          </cell>
        </row>
        <row r="1008">
          <cell r="A1008" t="str">
            <v>GTMBA15</v>
          </cell>
          <cell r="B1008" t="str">
            <v>05.6100</v>
          </cell>
          <cell r="C1008" t="str">
            <v>Giá chùm treo máy biến áp 3x15</v>
          </cell>
          <cell r="D1008" t="str">
            <v>bô</v>
          </cell>
          <cell r="E1008" t="str">
            <v>GT</v>
          </cell>
          <cell r="F1008">
            <v>50</v>
          </cell>
          <cell r="G1008" t="str">
            <v>x</v>
          </cell>
          <cell r="J1008" t="str">
            <v>GTMBA15</v>
          </cell>
        </row>
        <row r="1009">
          <cell r="A1009" t="str">
            <v>GTMBA25</v>
          </cell>
          <cell r="B1009" t="str">
            <v>05.6100</v>
          </cell>
          <cell r="C1009" t="str">
            <v>Giá chùm treo máy biến áp 3x25</v>
          </cell>
          <cell r="D1009" t="str">
            <v>cái</v>
          </cell>
          <cell r="E1009" t="str">
            <v>GT</v>
          </cell>
          <cell r="F1009">
            <v>50</v>
          </cell>
          <cell r="G1009" t="str">
            <v>x</v>
          </cell>
          <cell r="J1009" t="str">
            <v>GTMBA25</v>
          </cell>
        </row>
        <row r="1010">
          <cell r="A1010" t="str">
            <v>GTMBA37,5</v>
          </cell>
          <cell r="B1010" t="str">
            <v>05.6100</v>
          </cell>
          <cell r="C1010" t="str">
            <v>Giá chùm treo máy biến áp 3x37,5</v>
          </cell>
          <cell r="D1010" t="str">
            <v>cái</v>
          </cell>
          <cell r="E1010" t="str">
            <v>GT</v>
          </cell>
          <cell r="F1010">
            <v>50</v>
          </cell>
          <cell r="G1010" t="str">
            <v>x</v>
          </cell>
          <cell r="J1010" t="str">
            <v>GTMBA37,5</v>
          </cell>
        </row>
        <row r="1011">
          <cell r="A1011" t="str">
            <v>GTMBA</v>
          </cell>
          <cell r="B1011" t="str">
            <v>05.6100</v>
          </cell>
          <cell r="C1011" t="str">
            <v>Giá chùm treo máy biến áp 3x50</v>
          </cell>
          <cell r="D1011" t="str">
            <v>cái</v>
          </cell>
          <cell r="E1011" t="str">
            <v>GT</v>
          </cell>
          <cell r="F1011">
            <v>50</v>
          </cell>
          <cell r="G1011" t="str">
            <v>x</v>
          </cell>
          <cell r="J1011" t="str">
            <v>GTMBA</v>
          </cell>
        </row>
        <row r="1012">
          <cell r="A1012" t="str">
            <v>LapGTMBA</v>
          </cell>
          <cell r="B1012" t="str">
            <v>05.6100</v>
          </cell>
          <cell r="C1012" t="str">
            <v>Lắp giá treo máy biến áp</v>
          </cell>
          <cell r="D1012" t="str">
            <v>tấn</v>
          </cell>
          <cell r="E1012" t="str">
            <v>La</v>
          </cell>
          <cell r="F1012">
            <v>2000</v>
          </cell>
          <cell r="G1012" t="str">
            <v>x</v>
          </cell>
          <cell r="J1012" t="str">
            <v>LapGTMBA</v>
          </cell>
        </row>
        <row r="1013">
          <cell r="A1013" t="str">
            <v>COSe16</v>
          </cell>
          <cell r="B1013" t="str">
            <v>03.4001</v>
          </cell>
          <cell r="C1013" t="str">
            <v>Đầu cosse ép Cu-Al 16mm2</v>
          </cell>
          <cell r="D1013" t="str">
            <v>cái</v>
          </cell>
          <cell r="E1013" t="str">
            <v>CO</v>
          </cell>
          <cell r="F1013">
            <v>50</v>
          </cell>
          <cell r="G1013" t="str">
            <v>x</v>
          </cell>
          <cell r="J1013" t="str">
            <v>COSe16</v>
          </cell>
        </row>
        <row r="1014">
          <cell r="A1014" t="str">
            <v>COSe25</v>
          </cell>
          <cell r="B1014" t="str">
            <v>03.4001</v>
          </cell>
          <cell r="C1014" t="str">
            <v>Đầu cosse ép Cu-Al 25mm2</v>
          </cell>
          <cell r="D1014" t="str">
            <v>cái</v>
          </cell>
          <cell r="E1014" t="str">
            <v>CO</v>
          </cell>
          <cell r="F1014">
            <v>50</v>
          </cell>
          <cell r="G1014" t="str">
            <v>x</v>
          </cell>
          <cell r="J1014" t="str">
            <v>COSe25</v>
          </cell>
        </row>
        <row r="1015">
          <cell r="A1015" t="str">
            <v>COSe50</v>
          </cell>
          <cell r="B1015" t="str">
            <v>03.4002</v>
          </cell>
          <cell r="C1015" t="str">
            <v>Đầu cosse ép Cu-Al 50mm2</v>
          </cell>
          <cell r="D1015" t="str">
            <v>cái</v>
          </cell>
          <cell r="E1015" t="str">
            <v>CO</v>
          </cell>
          <cell r="F1015">
            <v>50</v>
          </cell>
          <cell r="G1015" t="str">
            <v>x</v>
          </cell>
          <cell r="J1015" t="str">
            <v>COSe50</v>
          </cell>
        </row>
        <row r="1016">
          <cell r="A1016" t="str">
            <v>COSe70</v>
          </cell>
          <cell r="B1016" t="str">
            <v>03.4003</v>
          </cell>
          <cell r="C1016" t="str">
            <v>Đầu cosse ép Cu-Al 70mm2</v>
          </cell>
          <cell r="D1016" t="str">
            <v>cái</v>
          </cell>
          <cell r="E1016" t="str">
            <v>CO</v>
          </cell>
          <cell r="F1016">
            <v>50</v>
          </cell>
          <cell r="G1016" t="str">
            <v>x</v>
          </cell>
          <cell r="J1016" t="str">
            <v>COSe70</v>
          </cell>
        </row>
        <row r="1017">
          <cell r="A1017" t="str">
            <v>COSe95</v>
          </cell>
          <cell r="B1017" t="str">
            <v>03.4004</v>
          </cell>
          <cell r="C1017" t="str">
            <v>Đầu cosse ép Cu-Al 95mm2</v>
          </cell>
          <cell r="D1017" t="str">
            <v>cái</v>
          </cell>
          <cell r="E1017" t="str">
            <v>CO</v>
          </cell>
          <cell r="F1017">
            <v>50</v>
          </cell>
          <cell r="G1017" t="str">
            <v>x</v>
          </cell>
          <cell r="J1017" t="str">
            <v>COSe95</v>
          </cell>
        </row>
        <row r="1018">
          <cell r="A1018" t="str">
            <v>COSe120</v>
          </cell>
          <cell r="B1018" t="str">
            <v>03.4005</v>
          </cell>
          <cell r="C1018" t="str">
            <v>Đầu cosse ép Cu-Al 120mm2</v>
          </cell>
          <cell r="D1018" t="str">
            <v>cái</v>
          </cell>
          <cell r="E1018" t="str">
            <v>CO</v>
          </cell>
          <cell r="F1018">
            <v>50</v>
          </cell>
          <cell r="G1018" t="str">
            <v>x</v>
          </cell>
          <cell r="J1018" t="str">
            <v>COSe120</v>
          </cell>
        </row>
        <row r="1019">
          <cell r="A1019" t="str">
            <v>COSe150</v>
          </cell>
          <cell r="B1019" t="str">
            <v>03.4006</v>
          </cell>
          <cell r="C1019" t="str">
            <v>Đầu cosse ép Cu-Al 150mm2</v>
          </cell>
          <cell r="D1019" t="str">
            <v>cái</v>
          </cell>
          <cell r="E1019" t="str">
            <v>CO</v>
          </cell>
          <cell r="F1019">
            <v>50</v>
          </cell>
          <cell r="G1019" t="str">
            <v>x</v>
          </cell>
          <cell r="J1019" t="str">
            <v>COSe150</v>
          </cell>
        </row>
        <row r="1020">
          <cell r="A1020" t="str">
            <v>COSe185</v>
          </cell>
          <cell r="B1020" t="str">
            <v>03.4007</v>
          </cell>
          <cell r="C1020" t="str">
            <v>Đầu cosse ép Cu-Al 185mm2</v>
          </cell>
          <cell r="D1020" t="str">
            <v>cái</v>
          </cell>
          <cell r="E1020" t="str">
            <v>CO</v>
          </cell>
          <cell r="F1020">
            <v>50</v>
          </cell>
          <cell r="G1020" t="str">
            <v>x</v>
          </cell>
          <cell r="J1020" t="str">
            <v>COSe185</v>
          </cell>
        </row>
        <row r="1021">
          <cell r="A1021" t="str">
            <v>COSe200</v>
          </cell>
          <cell r="B1021" t="str">
            <v>03.4008</v>
          </cell>
          <cell r="C1021" t="str">
            <v>Đầu cosse ép Cu-Al 200mm2</v>
          </cell>
          <cell r="D1021" t="str">
            <v>cái</v>
          </cell>
          <cell r="E1021" t="str">
            <v>CO</v>
          </cell>
          <cell r="F1021">
            <v>50</v>
          </cell>
          <cell r="G1021" t="str">
            <v>x</v>
          </cell>
          <cell r="J1021" t="str">
            <v>COSe200</v>
          </cell>
        </row>
        <row r="1022">
          <cell r="A1022" t="str">
            <v>COSe240</v>
          </cell>
          <cell r="B1022" t="str">
            <v>03.4008</v>
          </cell>
          <cell r="C1022" t="str">
            <v>Đầu cosse ép Cu-Al 240mm2</v>
          </cell>
          <cell r="D1022" t="str">
            <v>cái</v>
          </cell>
          <cell r="E1022" t="str">
            <v>CO</v>
          </cell>
          <cell r="F1022">
            <v>50</v>
          </cell>
          <cell r="G1022" t="str">
            <v>x</v>
          </cell>
          <cell r="J1022" t="str">
            <v>COSe240</v>
          </cell>
        </row>
        <row r="1023">
          <cell r="A1023" t="str">
            <v>COSe250</v>
          </cell>
          <cell r="B1023" t="str">
            <v>03.4008</v>
          </cell>
          <cell r="C1023" t="str">
            <v>Đầu cosse ép Cu-Al 250mm2</v>
          </cell>
          <cell r="D1023" t="str">
            <v>cái</v>
          </cell>
          <cell r="E1023" t="str">
            <v>CO</v>
          </cell>
          <cell r="F1023">
            <v>50</v>
          </cell>
          <cell r="G1023" t="str">
            <v>x</v>
          </cell>
          <cell r="J1023" t="str">
            <v>COSe250</v>
          </cell>
        </row>
        <row r="1024">
          <cell r="A1024" t="str">
            <v>COSe300</v>
          </cell>
          <cell r="B1024" t="str">
            <v>03.4008</v>
          </cell>
          <cell r="C1024" t="str">
            <v>Đầu cosse ép Cu-Al 300mm2</v>
          </cell>
          <cell r="D1024" t="str">
            <v>cái</v>
          </cell>
          <cell r="E1024" t="str">
            <v>CO</v>
          </cell>
          <cell r="F1024">
            <v>50</v>
          </cell>
          <cell r="G1024" t="str">
            <v>x</v>
          </cell>
          <cell r="J1024" t="str">
            <v>COSe300</v>
          </cell>
        </row>
        <row r="1025">
          <cell r="A1025" t="str">
            <v>COSe400</v>
          </cell>
          <cell r="B1025" t="str">
            <v>03.4008</v>
          </cell>
          <cell r="C1025" t="str">
            <v>Đầu cosse ép Cu-Al 400mm2</v>
          </cell>
          <cell r="D1025" t="str">
            <v>cái</v>
          </cell>
          <cell r="E1025" t="str">
            <v>CO</v>
          </cell>
          <cell r="F1025">
            <v>50</v>
          </cell>
          <cell r="G1025" t="str">
            <v>x</v>
          </cell>
          <cell r="J1025" t="str">
            <v>COSe400</v>
          </cell>
        </row>
        <row r="1026">
          <cell r="A1026" t="str">
            <v>COS2,5</v>
          </cell>
          <cell r="B1026" t="str">
            <v>03.4001</v>
          </cell>
          <cell r="C1026" t="str">
            <v xml:space="preserve">Đầu cosse ép Cu 2,5mm2 + bao PVC </v>
          </cell>
          <cell r="D1026" t="str">
            <v>cái</v>
          </cell>
          <cell r="E1026" t="str">
            <v>CO</v>
          </cell>
          <cell r="F1026">
            <v>50</v>
          </cell>
          <cell r="G1026" t="str">
            <v>x</v>
          </cell>
          <cell r="J1026" t="str">
            <v>COS2,5</v>
          </cell>
        </row>
        <row r="1027">
          <cell r="A1027" t="str">
            <v>COS5</v>
          </cell>
          <cell r="B1027" t="str">
            <v>03.4001</v>
          </cell>
          <cell r="C1027" t="str">
            <v>Đầu cosse ép Cu 5mm2</v>
          </cell>
          <cell r="D1027" t="str">
            <v>cái</v>
          </cell>
          <cell r="E1027" t="str">
            <v>CO</v>
          </cell>
          <cell r="F1027">
            <v>50</v>
          </cell>
          <cell r="G1027" t="str">
            <v>x</v>
          </cell>
          <cell r="J1027" t="str">
            <v>COS5</v>
          </cell>
        </row>
        <row r="1028">
          <cell r="A1028" t="str">
            <v>COS11</v>
          </cell>
          <cell r="B1028" t="str">
            <v>03.4001</v>
          </cell>
          <cell r="C1028" t="str">
            <v>Đầu cosse ép Cu 11mm2</v>
          </cell>
          <cell r="D1028" t="str">
            <v>cái</v>
          </cell>
          <cell r="E1028" t="str">
            <v>CO</v>
          </cell>
          <cell r="F1028">
            <v>50</v>
          </cell>
          <cell r="G1028" t="str">
            <v>x</v>
          </cell>
          <cell r="J1028" t="str">
            <v>COS11</v>
          </cell>
        </row>
        <row r="1029">
          <cell r="A1029" t="str">
            <v>COS16</v>
          </cell>
          <cell r="B1029" t="str">
            <v>03.4001</v>
          </cell>
          <cell r="C1029" t="str">
            <v>Đầu cosse ép Cu 16mm2</v>
          </cell>
          <cell r="D1029" t="str">
            <v>cái</v>
          </cell>
          <cell r="E1029" t="str">
            <v>CO</v>
          </cell>
          <cell r="F1029">
            <v>50</v>
          </cell>
          <cell r="G1029" t="str">
            <v>x</v>
          </cell>
          <cell r="J1029" t="str">
            <v>COS16</v>
          </cell>
        </row>
        <row r="1030">
          <cell r="A1030" t="str">
            <v>COS22</v>
          </cell>
          <cell r="B1030" t="str">
            <v>03.4001</v>
          </cell>
          <cell r="C1030" t="str">
            <v>Đầu cosse ép Cu 22mm2</v>
          </cell>
          <cell r="D1030" t="str">
            <v>cái</v>
          </cell>
          <cell r="E1030" t="str">
            <v>CO</v>
          </cell>
          <cell r="F1030">
            <v>50</v>
          </cell>
          <cell r="G1030" t="str">
            <v>x</v>
          </cell>
          <cell r="J1030" t="str">
            <v>COS22</v>
          </cell>
        </row>
        <row r="1031">
          <cell r="A1031" t="str">
            <v>COS25</v>
          </cell>
          <cell r="B1031" t="str">
            <v>03.4001</v>
          </cell>
          <cell r="C1031" t="str">
            <v>Đầu cosse ép Cu 25mm2</v>
          </cell>
          <cell r="D1031" t="str">
            <v>cái</v>
          </cell>
          <cell r="E1031" t="str">
            <v>CO</v>
          </cell>
          <cell r="F1031">
            <v>50</v>
          </cell>
          <cell r="G1031" t="str">
            <v>x</v>
          </cell>
          <cell r="J1031" t="str">
            <v>COS25</v>
          </cell>
        </row>
        <row r="1032">
          <cell r="A1032" t="str">
            <v>COS35</v>
          </cell>
          <cell r="B1032" t="str">
            <v>03.4002</v>
          </cell>
          <cell r="C1032" t="str">
            <v>Đầu cosse ép Cu 35mm2</v>
          </cell>
          <cell r="D1032" t="str">
            <v>cái</v>
          </cell>
          <cell r="E1032" t="str">
            <v>CO</v>
          </cell>
          <cell r="F1032">
            <v>50</v>
          </cell>
          <cell r="G1032" t="str">
            <v>x</v>
          </cell>
          <cell r="J1032" t="str">
            <v>COS35</v>
          </cell>
        </row>
        <row r="1033">
          <cell r="A1033" t="str">
            <v>COS38</v>
          </cell>
          <cell r="B1033" t="str">
            <v>03.4002</v>
          </cell>
          <cell r="C1033" t="str">
            <v>Đầu cosse ép Cu 38mm2</v>
          </cell>
          <cell r="D1033" t="str">
            <v>cái</v>
          </cell>
          <cell r="E1033" t="str">
            <v>CO</v>
          </cell>
          <cell r="F1033">
            <v>50</v>
          </cell>
          <cell r="G1033" t="str">
            <v>x</v>
          </cell>
          <cell r="J1033" t="str">
            <v>COS38</v>
          </cell>
        </row>
        <row r="1034">
          <cell r="A1034" t="str">
            <v>COS50</v>
          </cell>
          <cell r="B1034" t="str">
            <v>03.4002</v>
          </cell>
          <cell r="C1034" t="str">
            <v>Đầu cosse ép Cu 50mm2</v>
          </cell>
          <cell r="D1034" t="str">
            <v>cái</v>
          </cell>
          <cell r="E1034" t="str">
            <v>CO</v>
          </cell>
          <cell r="F1034">
            <v>50</v>
          </cell>
          <cell r="G1034" t="str">
            <v>x</v>
          </cell>
          <cell r="J1034" t="str">
            <v>COS50</v>
          </cell>
        </row>
        <row r="1035">
          <cell r="A1035" t="str">
            <v>COS70</v>
          </cell>
          <cell r="B1035" t="str">
            <v>03.4003</v>
          </cell>
          <cell r="C1035" t="str">
            <v>Đầu cosse ép Cu 70mm2</v>
          </cell>
          <cell r="D1035" t="str">
            <v>cái</v>
          </cell>
          <cell r="E1035" t="str">
            <v>CO</v>
          </cell>
          <cell r="F1035">
            <v>50</v>
          </cell>
          <cell r="G1035" t="str">
            <v>x</v>
          </cell>
          <cell r="J1035" t="str">
            <v>COS70</v>
          </cell>
        </row>
        <row r="1036">
          <cell r="A1036" t="str">
            <v>COS95</v>
          </cell>
          <cell r="B1036" t="str">
            <v>03.4004</v>
          </cell>
          <cell r="C1036" t="str">
            <v>Đầu cosse ép Cu 95mm2</v>
          </cell>
          <cell r="D1036" t="str">
            <v>cái</v>
          </cell>
          <cell r="E1036" t="str">
            <v>CO</v>
          </cell>
          <cell r="F1036">
            <v>50</v>
          </cell>
          <cell r="G1036" t="str">
            <v>x</v>
          </cell>
          <cell r="J1036" t="str">
            <v>COS95</v>
          </cell>
        </row>
        <row r="1037">
          <cell r="A1037" t="str">
            <v>COS120</v>
          </cell>
          <cell r="B1037" t="str">
            <v>03.4005</v>
          </cell>
          <cell r="C1037" t="str">
            <v>Đầu cosse ép Cu 120mm2</v>
          </cell>
          <cell r="D1037" t="str">
            <v>cái</v>
          </cell>
          <cell r="E1037" t="str">
            <v>CO</v>
          </cell>
          <cell r="F1037">
            <v>50</v>
          </cell>
          <cell r="G1037" t="str">
            <v>x</v>
          </cell>
          <cell r="J1037" t="str">
            <v>COS120</v>
          </cell>
        </row>
        <row r="1038">
          <cell r="A1038" t="str">
            <v>COS150</v>
          </cell>
          <cell r="B1038" t="str">
            <v>03.4006</v>
          </cell>
          <cell r="C1038" t="str">
            <v>Đầu cosse ép Cu 150mm2</v>
          </cell>
          <cell r="D1038" t="str">
            <v>cái</v>
          </cell>
          <cell r="E1038" t="str">
            <v>CO</v>
          </cell>
          <cell r="F1038">
            <v>50</v>
          </cell>
          <cell r="G1038" t="str">
            <v>x</v>
          </cell>
          <cell r="J1038" t="str">
            <v>COS150</v>
          </cell>
        </row>
        <row r="1039">
          <cell r="A1039" t="str">
            <v>COS185</v>
          </cell>
          <cell r="B1039" t="str">
            <v>03.4007</v>
          </cell>
          <cell r="C1039" t="str">
            <v>Đầu cosse ép Cu 185mm2</v>
          </cell>
          <cell r="D1039" t="str">
            <v>cái</v>
          </cell>
          <cell r="E1039" t="str">
            <v>CO</v>
          </cell>
          <cell r="F1039">
            <v>50</v>
          </cell>
          <cell r="G1039" t="str">
            <v>x</v>
          </cell>
          <cell r="J1039" t="str">
            <v>COS185</v>
          </cell>
        </row>
        <row r="1040">
          <cell r="A1040" t="str">
            <v>COS200</v>
          </cell>
          <cell r="B1040" t="str">
            <v>03.4008</v>
          </cell>
          <cell r="C1040" t="str">
            <v>Đầu cosse ép Cu 200mm2</v>
          </cell>
          <cell r="D1040" t="str">
            <v>cái</v>
          </cell>
          <cell r="E1040" t="str">
            <v>CO</v>
          </cell>
          <cell r="F1040">
            <v>50</v>
          </cell>
          <cell r="G1040" t="str">
            <v>x</v>
          </cell>
          <cell r="J1040" t="str">
            <v>COS200</v>
          </cell>
        </row>
        <row r="1041">
          <cell r="A1041" t="str">
            <v>COS240</v>
          </cell>
          <cell r="B1041" t="str">
            <v>03.4008</v>
          </cell>
          <cell r="C1041" t="str">
            <v>Đầu cosse ép Cu 240mm2</v>
          </cell>
          <cell r="D1041" t="str">
            <v>cái</v>
          </cell>
          <cell r="E1041" t="str">
            <v>CO</v>
          </cell>
          <cell r="F1041">
            <v>50</v>
          </cell>
          <cell r="G1041" t="str">
            <v>x</v>
          </cell>
          <cell r="J1041" t="str">
            <v>COS240</v>
          </cell>
        </row>
        <row r="1042">
          <cell r="A1042" t="str">
            <v>COS250</v>
          </cell>
          <cell r="B1042" t="str">
            <v>03.4009</v>
          </cell>
          <cell r="C1042" t="str">
            <v>Đầu cosse ép Cu 250mm2</v>
          </cell>
          <cell r="D1042" t="str">
            <v>cái</v>
          </cell>
          <cell r="E1042" t="str">
            <v>CO</v>
          </cell>
          <cell r="F1042">
            <v>50</v>
          </cell>
          <cell r="G1042" t="str">
            <v>x</v>
          </cell>
          <cell r="J1042" t="str">
            <v>COS250</v>
          </cell>
        </row>
        <row r="1043">
          <cell r="A1043" t="str">
            <v>COS300</v>
          </cell>
          <cell r="B1043" t="str">
            <v>03.4009</v>
          </cell>
          <cell r="C1043" t="str">
            <v>Đầu cosse ép Cu 300mm2</v>
          </cell>
          <cell r="D1043" t="str">
            <v>cái</v>
          </cell>
          <cell r="E1043" t="str">
            <v>CO</v>
          </cell>
          <cell r="F1043">
            <v>50</v>
          </cell>
          <cell r="G1043" t="str">
            <v>x</v>
          </cell>
          <cell r="J1043" t="str">
            <v>COS300</v>
          </cell>
        </row>
        <row r="1044">
          <cell r="A1044" t="str">
            <v>CHCOS11</v>
          </cell>
          <cell r="C1044" t="str">
            <v>Chụp đầu cosse  11mm2</v>
          </cell>
          <cell r="D1044" t="str">
            <v>cái</v>
          </cell>
          <cell r="E1044" t="str">
            <v>CH</v>
          </cell>
          <cell r="F1044">
            <v>50</v>
          </cell>
          <cell r="G1044" t="str">
            <v>x</v>
          </cell>
          <cell r="J1044" t="str">
            <v>CHCOS11</v>
          </cell>
        </row>
        <row r="1045">
          <cell r="A1045" t="str">
            <v>CHCOS16</v>
          </cell>
          <cell r="C1045" t="str">
            <v>Chụp đầu cosse  16mm2</v>
          </cell>
          <cell r="D1045" t="str">
            <v>cái</v>
          </cell>
          <cell r="E1045" t="str">
            <v>CH</v>
          </cell>
          <cell r="F1045">
            <v>50</v>
          </cell>
          <cell r="G1045" t="str">
            <v>x</v>
          </cell>
          <cell r="J1045" t="str">
            <v>CHCOS16</v>
          </cell>
        </row>
        <row r="1046">
          <cell r="A1046" t="str">
            <v>CHCOS25</v>
          </cell>
          <cell r="C1046" t="str">
            <v>Chụp đầu cosse  25mm2</v>
          </cell>
          <cell r="D1046" t="str">
            <v>cái</v>
          </cell>
          <cell r="E1046" t="str">
            <v>CH</v>
          </cell>
          <cell r="F1046">
            <v>50</v>
          </cell>
          <cell r="G1046" t="str">
            <v>x</v>
          </cell>
          <cell r="J1046" t="str">
            <v>CHCOS25</v>
          </cell>
        </row>
        <row r="1047">
          <cell r="A1047" t="str">
            <v>CHCOS35</v>
          </cell>
          <cell r="C1047" t="str">
            <v>Chụp đầu cosse  35mm2</v>
          </cell>
          <cell r="D1047" t="str">
            <v>cái</v>
          </cell>
          <cell r="E1047" t="str">
            <v>CH</v>
          </cell>
          <cell r="F1047">
            <v>50</v>
          </cell>
          <cell r="G1047" t="str">
            <v>x</v>
          </cell>
          <cell r="J1047" t="str">
            <v>CHCOS35</v>
          </cell>
        </row>
        <row r="1048">
          <cell r="A1048" t="str">
            <v>CHCOS50</v>
          </cell>
          <cell r="C1048" t="str">
            <v>Chụp đầu cosse  50mm2</v>
          </cell>
          <cell r="D1048" t="str">
            <v>cái</v>
          </cell>
          <cell r="E1048" t="str">
            <v>CH</v>
          </cell>
          <cell r="F1048">
            <v>50</v>
          </cell>
          <cell r="G1048" t="str">
            <v>x</v>
          </cell>
          <cell r="J1048" t="str">
            <v>CHCOS50</v>
          </cell>
        </row>
        <row r="1049">
          <cell r="A1049" t="str">
            <v>CHCOS70</v>
          </cell>
          <cell r="C1049" t="str">
            <v>Chụp đầu cosse  70mm2</v>
          </cell>
          <cell r="D1049" t="str">
            <v>cái</v>
          </cell>
          <cell r="E1049" t="str">
            <v>CH</v>
          </cell>
          <cell r="F1049">
            <v>50</v>
          </cell>
          <cell r="G1049" t="str">
            <v>x</v>
          </cell>
          <cell r="J1049" t="str">
            <v>CHCOS70</v>
          </cell>
        </row>
        <row r="1050">
          <cell r="A1050" t="str">
            <v>CHCOS95</v>
          </cell>
          <cell r="C1050" t="str">
            <v>Chụp đầu cosse  95mm2</v>
          </cell>
          <cell r="D1050" t="str">
            <v>cái</v>
          </cell>
          <cell r="E1050" t="str">
            <v>CH</v>
          </cell>
          <cell r="F1050">
            <v>50</v>
          </cell>
          <cell r="G1050" t="str">
            <v>x</v>
          </cell>
          <cell r="J1050" t="str">
            <v>CHCOS95</v>
          </cell>
        </row>
        <row r="1051">
          <cell r="A1051" t="str">
            <v>CHCOS120</v>
          </cell>
          <cell r="C1051" t="str">
            <v>Chụp đầu cosse  120mm2</v>
          </cell>
          <cell r="D1051" t="str">
            <v>cái</v>
          </cell>
          <cell r="E1051" t="str">
            <v>CH</v>
          </cell>
          <cell r="F1051">
            <v>50</v>
          </cell>
          <cell r="G1051" t="str">
            <v>x</v>
          </cell>
          <cell r="J1051" t="str">
            <v>CHCOS120</v>
          </cell>
        </row>
        <row r="1052">
          <cell r="A1052" t="str">
            <v>CHCOS150</v>
          </cell>
          <cell r="C1052" t="str">
            <v>Chụp đầu cosse  150mm2</v>
          </cell>
          <cell r="D1052" t="str">
            <v>cái</v>
          </cell>
          <cell r="E1052" t="str">
            <v>CH</v>
          </cell>
          <cell r="F1052">
            <v>50</v>
          </cell>
          <cell r="G1052" t="str">
            <v>x</v>
          </cell>
          <cell r="J1052" t="str">
            <v>CHCOS150</v>
          </cell>
        </row>
        <row r="1053">
          <cell r="A1053" t="str">
            <v>CHCOS185</v>
          </cell>
          <cell r="C1053" t="str">
            <v>Chụp đầu cosse  185mm2</v>
          </cell>
          <cell r="D1053" t="str">
            <v>cái</v>
          </cell>
          <cell r="E1053" t="str">
            <v>CH</v>
          </cell>
          <cell r="F1053">
            <v>50</v>
          </cell>
          <cell r="G1053" t="str">
            <v>x</v>
          </cell>
          <cell r="J1053" t="str">
            <v>CHCOS185</v>
          </cell>
        </row>
        <row r="1054">
          <cell r="A1054" t="str">
            <v>CHCOS200</v>
          </cell>
          <cell r="C1054" t="str">
            <v>Chụp đầu cosse  200mm2</v>
          </cell>
          <cell r="D1054" t="str">
            <v>cái</v>
          </cell>
          <cell r="E1054" t="str">
            <v>CH</v>
          </cell>
          <cell r="F1054">
            <v>50</v>
          </cell>
          <cell r="G1054" t="str">
            <v>x</v>
          </cell>
          <cell r="J1054" t="str">
            <v>CHCOS200</v>
          </cell>
        </row>
        <row r="1055">
          <cell r="A1055" t="str">
            <v>CHCOS240</v>
          </cell>
          <cell r="C1055" t="str">
            <v>Chụp đầu cosse  240mm2</v>
          </cell>
          <cell r="D1055" t="str">
            <v>cái</v>
          </cell>
          <cell r="E1055" t="str">
            <v>CH</v>
          </cell>
          <cell r="F1055">
            <v>50</v>
          </cell>
          <cell r="G1055" t="str">
            <v>x</v>
          </cell>
          <cell r="J1055" t="str">
            <v>CHCOS240</v>
          </cell>
        </row>
        <row r="1056">
          <cell r="A1056" t="str">
            <v>CHCOS250</v>
          </cell>
          <cell r="C1056" t="str">
            <v>Chụp đầu cosse  250mm2</v>
          </cell>
          <cell r="D1056" t="str">
            <v>cái</v>
          </cell>
          <cell r="E1056" t="str">
            <v>CH</v>
          </cell>
          <cell r="F1056">
            <v>50</v>
          </cell>
          <cell r="G1056" t="str">
            <v>x</v>
          </cell>
          <cell r="J1056" t="str">
            <v>CHCOS250</v>
          </cell>
        </row>
        <row r="1057">
          <cell r="A1057" t="str">
            <v>CHCOS300</v>
          </cell>
          <cell r="C1057" t="str">
            <v>Chụp đầu cosse  300mm2</v>
          </cell>
          <cell r="D1057" t="str">
            <v>cái</v>
          </cell>
          <cell r="E1057" t="str">
            <v>CH</v>
          </cell>
          <cell r="F1057">
            <v>50</v>
          </cell>
          <cell r="G1057" t="str">
            <v>x</v>
          </cell>
          <cell r="J1057" t="str">
            <v>CHCOS300</v>
          </cell>
        </row>
        <row r="1058">
          <cell r="A1058" t="str">
            <v>CHFCO</v>
          </cell>
          <cell r="C1058" t="str">
            <v>Chụp đầu cực FCO (bộ 2 cái)</v>
          </cell>
          <cell r="D1058" t="str">
            <v>bộ</v>
          </cell>
          <cell r="E1058" t="str">
            <v>CH</v>
          </cell>
          <cell r="F1058">
            <v>50</v>
          </cell>
          <cell r="G1058" t="str">
            <v>x</v>
          </cell>
          <cell r="J1058" t="str">
            <v>CHFCO</v>
          </cell>
        </row>
        <row r="1059">
          <cell r="A1059" t="str">
            <v>CHLA</v>
          </cell>
          <cell r="C1059" t="str">
            <v>Chụp đầu cực LA</v>
          </cell>
          <cell r="D1059" t="str">
            <v>cái</v>
          </cell>
          <cell r="E1059" t="str">
            <v>CH</v>
          </cell>
          <cell r="F1059">
            <v>50</v>
          </cell>
          <cell r="G1059" t="str">
            <v>x</v>
          </cell>
          <cell r="J1059" t="str">
            <v>CHLA</v>
          </cell>
        </row>
        <row r="1060">
          <cell r="A1060" t="str">
            <v>CHMBA</v>
          </cell>
          <cell r="C1060" t="str">
            <v>Chụp đầu MBA</v>
          </cell>
          <cell r="D1060" t="str">
            <v>cái</v>
          </cell>
          <cell r="E1060" t="str">
            <v>CH</v>
          </cell>
          <cell r="F1060">
            <v>50</v>
          </cell>
          <cell r="G1060" t="str">
            <v>x</v>
          </cell>
          <cell r="J1060" t="str">
            <v>CHMBA</v>
          </cell>
        </row>
        <row r="1061">
          <cell r="A1061" t="str">
            <v>CHQ-H</v>
          </cell>
          <cell r="C1061" t="str">
            <v>Nắp chụp kẹp quai + hotline</v>
          </cell>
          <cell r="D1061" t="str">
            <v>bộ</v>
          </cell>
          <cell r="E1061" t="str">
            <v>CH</v>
          </cell>
          <cell r="F1061">
            <v>50</v>
          </cell>
          <cell r="G1061" t="str">
            <v>x</v>
          </cell>
          <cell r="J1061" t="str">
            <v>CHQ-H</v>
          </cell>
        </row>
        <row r="1062">
          <cell r="A1062" t="str">
            <v>DK2x11</v>
          </cell>
          <cell r="C1062" t="str">
            <v>Cáp điện kế DK - 2x11</v>
          </cell>
          <cell r="D1062" t="str">
            <v>m</v>
          </cell>
          <cell r="E1062" t="str">
            <v>DK</v>
          </cell>
          <cell r="F1062">
            <v>50</v>
          </cell>
          <cell r="G1062" t="str">
            <v>x</v>
          </cell>
          <cell r="J1062" t="str">
            <v>DK2x11</v>
          </cell>
        </row>
        <row r="1063">
          <cell r="A1063" t="str">
            <v>DVV7x1.5</v>
          </cell>
          <cell r="C1063" t="str">
            <v>Cáp điều khiển 7x1,5</v>
          </cell>
          <cell r="D1063" t="str">
            <v>m</v>
          </cell>
          <cell r="E1063" t="str">
            <v>DV</v>
          </cell>
          <cell r="F1063">
            <v>50</v>
          </cell>
          <cell r="G1063" t="str">
            <v>x</v>
          </cell>
          <cell r="J1063" t="str">
            <v>DVV7x1.5</v>
          </cell>
        </row>
        <row r="1064">
          <cell r="A1064" t="str">
            <v>Duplex 211</v>
          </cell>
          <cell r="C1064" t="str">
            <v>Cáp Duplex 2x11</v>
          </cell>
          <cell r="D1064" t="str">
            <v>m</v>
          </cell>
          <cell r="E1064" t="str">
            <v>Du</v>
          </cell>
          <cell r="F1064">
            <v>50</v>
          </cell>
          <cell r="G1064" t="str">
            <v>x</v>
          </cell>
          <cell r="J1064" t="str">
            <v>Duplex 211</v>
          </cell>
        </row>
        <row r="1065">
          <cell r="A1065" t="str">
            <v>Duplex 216</v>
          </cell>
          <cell r="C1065" t="str">
            <v>Cáp Duplex 2x16</v>
          </cell>
          <cell r="D1065" t="str">
            <v>m</v>
          </cell>
          <cell r="E1065" t="str">
            <v>Du</v>
          </cell>
          <cell r="F1065">
            <v>50</v>
          </cell>
          <cell r="G1065" t="str">
            <v>x</v>
          </cell>
          <cell r="J1065" t="str">
            <v>Duplex 216</v>
          </cell>
        </row>
        <row r="1066">
          <cell r="A1066" t="str">
            <v>Duplex 311</v>
          </cell>
          <cell r="C1066" t="str">
            <v>Cáp Triplex 3x11</v>
          </cell>
          <cell r="D1066" t="str">
            <v>m</v>
          </cell>
          <cell r="E1066" t="str">
            <v>Du</v>
          </cell>
          <cell r="F1066">
            <v>50</v>
          </cell>
          <cell r="G1066" t="str">
            <v>x</v>
          </cell>
          <cell r="J1066" t="str">
            <v>Duplex 311</v>
          </cell>
        </row>
        <row r="1067">
          <cell r="A1067" t="str">
            <v>Duplex 316</v>
          </cell>
          <cell r="C1067" t="str">
            <v>Cáp Triplex 3x16</v>
          </cell>
          <cell r="D1067" t="str">
            <v>m</v>
          </cell>
          <cell r="E1067" t="str">
            <v>Du</v>
          </cell>
          <cell r="F1067">
            <v>50</v>
          </cell>
          <cell r="G1067" t="str">
            <v>x</v>
          </cell>
          <cell r="J1067" t="str">
            <v>Duplex 316</v>
          </cell>
        </row>
        <row r="1068">
          <cell r="A1068" t="str">
            <v>Duplex 411</v>
          </cell>
          <cell r="C1068" t="str">
            <v>Cáp Quadruplex 4x11</v>
          </cell>
          <cell r="D1068" t="str">
            <v>m</v>
          </cell>
          <cell r="E1068" t="str">
            <v>Du</v>
          </cell>
          <cell r="F1068">
            <v>50</v>
          </cell>
          <cell r="G1068" t="str">
            <v>x</v>
          </cell>
          <cell r="J1068" t="str">
            <v>Duplex 411</v>
          </cell>
        </row>
        <row r="1069">
          <cell r="A1069" t="str">
            <v>Duplex 416</v>
          </cell>
          <cell r="C1069" t="str">
            <v>Cáp Quadruplex 4x16</v>
          </cell>
          <cell r="D1069" t="str">
            <v>m</v>
          </cell>
          <cell r="E1069" t="str">
            <v>Du</v>
          </cell>
          <cell r="F1069">
            <v>50</v>
          </cell>
          <cell r="G1069" t="str">
            <v>x</v>
          </cell>
          <cell r="J1069" t="str">
            <v>Duplex 416</v>
          </cell>
        </row>
        <row r="1070">
          <cell r="A1070" t="str">
            <v>DENHQ</v>
          </cell>
          <cell r="B1070" t="str">
            <v>E2.003</v>
          </cell>
          <cell r="C1070" t="str">
            <v>Bộ đèn huỳnh quang đơn 1,2m-40W</v>
          </cell>
          <cell r="D1070" t="str">
            <v>bộ</v>
          </cell>
          <cell r="E1070" t="str">
            <v>DE</v>
          </cell>
          <cell r="F1070">
            <v>50</v>
          </cell>
          <cell r="G1070" t="str">
            <v>x</v>
          </cell>
          <cell r="J1070" t="str">
            <v>DENHQ</v>
          </cell>
        </row>
        <row r="1071">
          <cell r="A1071" t="str">
            <v>D16/10</v>
          </cell>
          <cell r="C1071" t="str">
            <v>Dây điện đôi 16/10</v>
          </cell>
          <cell r="D1071" t="str">
            <v>mét</v>
          </cell>
          <cell r="E1071" t="str">
            <v>D1</v>
          </cell>
          <cell r="F1071">
            <v>50</v>
          </cell>
          <cell r="G1071" t="str">
            <v>x</v>
          </cell>
          <cell r="J1071" t="str">
            <v>D16/10</v>
          </cell>
        </row>
        <row r="1072">
          <cell r="A1072" t="str">
            <v>D20/10</v>
          </cell>
          <cell r="C1072" t="str">
            <v>Dây điện đôi 20/10</v>
          </cell>
          <cell r="D1072" t="str">
            <v>mét</v>
          </cell>
          <cell r="E1072" t="str">
            <v>D2</v>
          </cell>
          <cell r="F1072">
            <v>50</v>
          </cell>
          <cell r="G1072" t="str">
            <v>x</v>
          </cell>
          <cell r="J1072" t="str">
            <v>D20/10</v>
          </cell>
        </row>
        <row r="1073">
          <cell r="A1073" t="str">
            <v>D30/10</v>
          </cell>
          <cell r="C1073" t="str">
            <v>Dây điện đôi 30/10</v>
          </cell>
          <cell r="D1073" t="str">
            <v>mét</v>
          </cell>
          <cell r="E1073" t="str">
            <v>D3</v>
          </cell>
          <cell r="F1073">
            <v>50</v>
          </cell>
          <cell r="G1073" t="str">
            <v>x</v>
          </cell>
          <cell r="J1073" t="str">
            <v>D30/10</v>
          </cell>
        </row>
        <row r="1074">
          <cell r="A1074" t="str">
            <v>DRC</v>
          </cell>
          <cell r="C1074" t="str">
            <v>Dây rút cáp</v>
          </cell>
          <cell r="D1074" t="str">
            <v>bọc</v>
          </cell>
          <cell r="E1074" t="str">
            <v>DR</v>
          </cell>
          <cell r="F1074">
            <v>50</v>
          </cell>
          <cell r="G1074" t="str">
            <v>x</v>
          </cell>
          <cell r="J1074" t="str">
            <v>DRC</v>
          </cell>
        </row>
        <row r="1075">
          <cell r="A1075" t="str">
            <v>CDAO15</v>
          </cell>
          <cell r="B1075" t="str">
            <v>02.8401</v>
          </cell>
          <cell r="C1075" t="str">
            <v>Cầu dao 15A - 600V</v>
          </cell>
          <cell r="D1075" t="str">
            <v>cái</v>
          </cell>
          <cell r="E1075" t="str">
            <v>CD</v>
          </cell>
          <cell r="F1075">
            <v>50</v>
          </cell>
          <cell r="G1075" t="str">
            <v>x</v>
          </cell>
          <cell r="J1075" t="str">
            <v>CDAO15</v>
          </cell>
        </row>
        <row r="1076">
          <cell r="A1076" t="str">
            <v>CDAO30</v>
          </cell>
          <cell r="B1076" t="str">
            <v>02.8401</v>
          </cell>
          <cell r="C1076" t="str">
            <v>Cầu dao 30A - 600V</v>
          </cell>
          <cell r="D1076" t="str">
            <v>cái</v>
          </cell>
          <cell r="E1076" t="str">
            <v>CD</v>
          </cell>
          <cell r="F1076">
            <v>50</v>
          </cell>
          <cell r="G1076" t="str">
            <v>x</v>
          </cell>
          <cell r="J1076" t="str">
            <v>CDAO30</v>
          </cell>
        </row>
        <row r="1077">
          <cell r="A1077" t="str">
            <v>CDAO60</v>
          </cell>
          <cell r="B1077" t="str">
            <v>02.8401</v>
          </cell>
          <cell r="C1077" t="str">
            <v>Cầu dao 60A - 600V</v>
          </cell>
          <cell r="D1077" t="str">
            <v>cái</v>
          </cell>
          <cell r="E1077" t="str">
            <v>CD</v>
          </cell>
          <cell r="F1077">
            <v>50</v>
          </cell>
          <cell r="G1077" t="str">
            <v>x</v>
          </cell>
          <cell r="J1077" t="str">
            <v>CDAO60</v>
          </cell>
        </row>
        <row r="1078">
          <cell r="A1078" t="str">
            <v>CDAO100</v>
          </cell>
          <cell r="B1078" t="str">
            <v>02.8401</v>
          </cell>
          <cell r="C1078" t="str">
            <v>Cầu dao 100A - 600V</v>
          </cell>
          <cell r="D1078" t="str">
            <v>cái</v>
          </cell>
          <cell r="E1078" t="str">
            <v>CD</v>
          </cell>
          <cell r="F1078">
            <v>50</v>
          </cell>
          <cell r="G1078" t="str">
            <v>x</v>
          </cell>
          <cell r="J1078" t="str">
            <v>CDAO100</v>
          </cell>
        </row>
        <row r="1079">
          <cell r="A1079" t="str">
            <v>CDAO150</v>
          </cell>
          <cell r="B1079" t="str">
            <v>02.8401</v>
          </cell>
          <cell r="C1079" t="str">
            <v>Cầu dao 150A - 600V</v>
          </cell>
          <cell r="D1079" t="str">
            <v>cái</v>
          </cell>
          <cell r="E1079" t="str">
            <v>CD</v>
          </cell>
          <cell r="F1079">
            <v>50</v>
          </cell>
          <cell r="G1079" t="str">
            <v>x</v>
          </cell>
          <cell r="J1079" t="str">
            <v>CDAO150</v>
          </cell>
        </row>
        <row r="1080">
          <cell r="A1080" t="str">
            <v>CDAO200</v>
          </cell>
          <cell r="B1080" t="str">
            <v>02.8401</v>
          </cell>
          <cell r="C1080" t="str">
            <v>Cầu dao 200A - 600V</v>
          </cell>
          <cell r="D1080" t="str">
            <v>cái</v>
          </cell>
          <cell r="E1080" t="str">
            <v>CD</v>
          </cell>
          <cell r="F1080">
            <v>50</v>
          </cell>
          <cell r="G1080" t="str">
            <v>x</v>
          </cell>
          <cell r="J1080" t="str">
            <v>CDAO200</v>
          </cell>
        </row>
        <row r="1081">
          <cell r="A1081" t="str">
            <v>CDAO250</v>
          </cell>
          <cell r="B1081" t="str">
            <v>02.8401</v>
          </cell>
          <cell r="C1081" t="str">
            <v>Cầu dao 250A - 600V</v>
          </cell>
          <cell r="D1081" t="str">
            <v>cái</v>
          </cell>
          <cell r="E1081" t="str">
            <v>CD</v>
          </cell>
          <cell r="F1081">
            <v>50</v>
          </cell>
          <cell r="G1081" t="str">
            <v>x</v>
          </cell>
          <cell r="J1081" t="str">
            <v>CDAO250</v>
          </cell>
        </row>
        <row r="1082">
          <cell r="A1082" t="str">
            <v>CDAO300</v>
          </cell>
          <cell r="B1082" t="str">
            <v>02.8401</v>
          </cell>
          <cell r="C1082" t="str">
            <v>Cầu dao 300A - 600V</v>
          </cell>
          <cell r="D1082" t="str">
            <v>cái</v>
          </cell>
          <cell r="E1082" t="str">
            <v>CD</v>
          </cell>
          <cell r="F1082">
            <v>50</v>
          </cell>
          <cell r="G1082" t="str">
            <v>x</v>
          </cell>
          <cell r="J1082" t="str">
            <v>CDAO300</v>
          </cell>
        </row>
        <row r="1083">
          <cell r="A1083" t="str">
            <v>PVC200</v>
          </cell>
          <cell r="C1083" t="str">
            <v>Ống PVC D200 dày 9,6mm</v>
          </cell>
          <cell r="D1083" t="str">
            <v>m</v>
          </cell>
          <cell r="E1083" t="str">
            <v>PV</v>
          </cell>
          <cell r="F1083">
            <v>50</v>
          </cell>
          <cell r="G1083" t="str">
            <v>x</v>
          </cell>
          <cell r="J1083" t="str">
            <v>PVC200</v>
          </cell>
        </row>
        <row r="1084">
          <cell r="A1084" t="str">
            <v>PVC168</v>
          </cell>
          <cell r="C1084" t="str">
            <v>Ống PVC D168 dày 7,0mm</v>
          </cell>
          <cell r="D1084" t="str">
            <v>m</v>
          </cell>
          <cell r="E1084" t="str">
            <v>PV</v>
          </cell>
          <cell r="F1084">
            <v>50</v>
          </cell>
          <cell r="G1084" t="str">
            <v>x</v>
          </cell>
          <cell r="J1084" t="str">
            <v>PVC168</v>
          </cell>
        </row>
        <row r="1085">
          <cell r="A1085" t="str">
            <v>PVC140</v>
          </cell>
          <cell r="C1085" t="str">
            <v>Ống PVC D140x6,7mm</v>
          </cell>
          <cell r="D1085" t="str">
            <v>m</v>
          </cell>
          <cell r="E1085" t="str">
            <v>PV</v>
          </cell>
          <cell r="F1085">
            <v>50</v>
          </cell>
          <cell r="G1085" t="str">
            <v>x</v>
          </cell>
          <cell r="J1085" t="str">
            <v>PVC140</v>
          </cell>
        </row>
        <row r="1086">
          <cell r="A1086" t="str">
            <v>PVC114</v>
          </cell>
          <cell r="C1086" t="str">
            <v xml:space="preserve">Ống PVC D114x4,9mm </v>
          </cell>
          <cell r="D1086" t="str">
            <v>m</v>
          </cell>
          <cell r="E1086" t="str">
            <v>PV</v>
          </cell>
          <cell r="F1086">
            <v>50</v>
          </cell>
          <cell r="G1086" t="str">
            <v>x</v>
          </cell>
          <cell r="J1086" t="str">
            <v>PVC114</v>
          </cell>
        </row>
        <row r="1087">
          <cell r="A1087" t="str">
            <v>PVC90</v>
          </cell>
          <cell r="B1087" t="str">
            <v>04.8003</v>
          </cell>
          <cell r="C1087" t="str">
            <v xml:space="preserve">Ống PVC D90x3,8mm </v>
          </cell>
          <cell r="D1087" t="str">
            <v>m</v>
          </cell>
          <cell r="E1087" t="str">
            <v>PV</v>
          </cell>
          <cell r="F1087">
            <v>50</v>
          </cell>
          <cell r="G1087" t="str">
            <v>x</v>
          </cell>
          <cell r="J1087" t="str">
            <v>PVC90</v>
          </cell>
        </row>
        <row r="1088">
          <cell r="A1088" t="str">
            <v>PVC60</v>
          </cell>
          <cell r="B1088" t="str">
            <v>07.2404</v>
          </cell>
          <cell r="C1088" t="str">
            <v>Ống PVC D60x2,8mm</v>
          </cell>
          <cell r="D1088" t="str">
            <v>m</v>
          </cell>
          <cell r="E1088" t="str">
            <v>PV</v>
          </cell>
          <cell r="F1088">
            <v>50</v>
          </cell>
          <cell r="G1088" t="str">
            <v>x</v>
          </cell>
          <cell r="J1088" t="str">
            <v>PVC60</v>
          </cell>
        </row>
        <row r="1089">
          <cell r="A1089" t="str">
            <v>PVC49</v>
          </cell>
          <cell r="B1089" t="str">
            <v>07.2403</v>
          </cell>
          <cell r="C1089" t="str">
            <v>Ống PVC D49x2,4mm</v>
          </cell>
          <cell r="D1089" t="str">
            <v>m</v>
          </cell>
          <cell r="E1089" t="str">
            <v>PV</v>
          </cell>
          <cell r="F1089">
            <v>50</v>
          </cell>
          <cell r="G1089" t="str">
            <v>x</v>
          </cell>
          <cell r="J1089" t="str">
            <v>PVC49</v>
          </cell>
        </row>
        <row r="1090">
          <cell r="A1090" t="str">
            <v>PVC42</v>
          </cell>
          <cell r="B1090" t="str">
            <v>07.2403</v>
          </cell>
          <cell r="C1090" t="str">
            <v>Ống PVC D42x2,1mm</v>
          </cell>
          <cell r="D1090" t="str">
            <v>m</v>
          </cell>
          <cell r="E1090" t="str">
            <v>PV</v>
          </cell>
          <cell r="F1090">
            <v>50</v>
          </cell>
          <cell r="G1090" t="str">
            <v>x</v>
          </cell>
          <cell r="J1090" t="str">
            <v>PVC42</v>
          </cell>
        </row>
        <row r="1091">
          <cell r="A1091" t="str">
            <v>PVC21</v>
          </cell>
          <cell r="B1091" t="str">
            <v>07.2403</v>
          </cell>
          <cell r="C1091" t="str">
            <v xml:space="preserve">Ống PVC D21x1,6mm </v>
          </cell>
          <cell r="D1091" t="str">
            <v>m</v>
          </cell>
          <cell r="E1091" t="str">
            <v>PV</v>
          </cell>
          <cell r="F1091">
            <v>50</v>
          </cell>
          <cell r="G1091" t="str">
            <v>x</v>
          </cell>
          <cell r="J1091" t="str">
            <v>PVC21</v>
          </cell>
        </row>
        <row r="1092">
          <cell r="A1092" t="str">
            <v>ODH42</v>
          </cell>
          <cell r="C1092" t="str">
            <v>Ống nhựa đàn hồi</v>
          </cell>
          <cell r="D1092" t="str">
            <v>mét</v>
          </cell>
          <cell r="E1092" t="str">
            <v>OD</v>
          </cell>
          <cell r="F1092">
            <v>50</v>
          </cell>
          <cell r="G1092" t="str">
            <v>x</v>
          </cell>
          <cell r="J1092" t="str">
            <v>ODH42</v>
          </cell>
        </row>
        <row r="1093">
          <cell r="A1093" t="str">
            <v>ONGDH168</v>
          </cell>
          <cell r="B1093" t="str">
            <v>04.8103</v>
          </cell>
          <cell r="C1093" t="str">
            <v>Ống đàn hồi 168</v>
          </cell>
          <cell r="D1093" t="str">
            <v>m</v>
          </cell>
          <cell r="E1093" t="str">
            <v>ON</v>
          </cell>
          <cell r="F1093">
            <v>50</v>
          </cell>
          <cell r="G1093" t="str">
            <v>x</v>
          </cell>
          <cell r="J1093" t="str">
            <v>ONGDH168</v>
          </cell>
        </row>
        <row r="1094">
          <cell r="A1094" t="str">
            <v>ONGDH42</v>
          </cell>
          <cell r="B1094" t="str">
            <v>04.8103</v>
          </cell>
          <cell r="C1094" t="str">
            <v>Ống đàn hồi 42</v>
          </cell>
          <cell r="D1094" t="str">
            <v>m</v>
          </cell>
          <cell r="E1094" t="str">
            <v>ON</v>
          </cell>
          <cell r="F1094">
            <v>50</v>
          </cell>
          <cell r="G1094" t="str">
            <v>x</v>
          </cell>
          <cell r="J1094" t="str">
            <v>ONGDH42</v>
          </cell>
        </row>
        <row r="1095">
          <cell r="A1095" t="str">
            <v>ONGDH114</v>
          </cell>
          <cell r="B1095" t="str">
            <v>04.8103</v>
          </cell>
          <cell r="C1095" t="str">
            <v>Ống đàn hồi 114</v>
          </cell>
          <cell r="D1095" t="str">
            <v>m</v>
          </cell>
          <cell r="E1095" t="str">
            <v>ON</v>
          </cell>
          <cell r="F1095">
            <v>50</v>
          </cell>
          <cell r="G1095" t="str">
            <v>x</v>
          </cell>
          <cell r="J1095" t="str">
            <v>ONGDH114</v>
          </cell>
        </row>
        <row r="1096">
          <cell r="A1096" t="str">
            <v>CUT21</v>
          </cell>
          <cell r="C1096" t="str">
            <v>Cut PVC 21</v>
          </cell>
          <cell r="D1096" t="str">
            <v>cái</v>
          </cell>
          <cell r="E1096" t="str">
            <v>CU</v>
          </cell>
          <cell r="F1096">
            <v>50</v>
          </cell>
          <cell r="G1096" t="str">
            <v>x</v>
          </cell>
          <cell r="J1096" t="str">
            <v>CUT21</v>
          </cell>
        </row>
        <row r="1097">
          <cell r="A1097" t="str">
            <v>CUT4245</v>
          </cell>
          <cell r="C1097" t="str">
            <v>Co 45 độ PVC 42</v>
          </cell>
          <cell r="D1097" t="str">
            <v>cái</v>
          </cell>
          <cell r="E1097" t="str">
            <v>CU</v>
          </cell>
          <cell r="F1097">
            <v>50</v>
          </cell>
          <cell r="G1097" t="str">
            <v>x</v>
          </cell>
          <cell r="J1097" t="str">
            <v>CUT4245</v>
          </cell>
        </row>
        <row r="1098">
          <cell r="A1098" t="str">
            <v>CUT42</v>
          </cell>
          <cell r="C1098" t="str">
            <v>Co 90 độ PVC 42</v>
          </cell>
          <cell r="D1098" t="str">
            <v>cái</v>
          </cell>
          <cell r="E1098" t="str">
            <v>CU</v>
          </cell>
          <cell r="F1098">
            <v>50</v>
          </cell>
          <cell r="G1098" t="str">
            <v>x</v>
          </cell>
          <cell r="J1098" t="str">
            <v>CUT42</v>
          </cell>
        </row>
        <row r="1099">
          <cell r="A1099" t="str">
            <v>CUT42T</v>
          </cell>
          <cell r="C1099" t="str">
            <v>Co chữ T ống PVC 42</v>
          </cell>
          <cell r="D1099" t="str">
            <v>cái</v>
          </cell>
          <cell r="E1099" t="str">
            <v>CU</v>
          </cell>
          <cell r="F1099">
            <v>50</v>
          </cell>
          <cell r="G1099" t="str">
            <v>x</v>
          </cell>
          <cell r="J1099" t="str">
            <v>CUT42T</v>
          </cell>
        </row>
        <row r="1100">
          <cell r="A1100" t="str">
            <v>CUT60</v>
          </cell>
          <cell r="C1100" t="str">
            <v>Co 90 độ PVC 60</v>
          </cell>
          <cell r="D1100" t="str">
            <v>cái</v>
          </cell>
          <cell r="E1100" t="str">
            <v>CU</v>
          </cell>
          <cell r="F1100">
            <v>50</v>
          </cell>
          <cell r="G1100" t="str">
            <v>x</v>
          </cell>
          <cell r="J1100" t="str">
            <v>CUT60</v>
          </cell>
        </row>
        <row r="1101">
          <cell r="A1101" t="str">
            <v>CUT60135</v>
          </cell>
          <cell r="C1101" t="str">
            <v>Co 135 độ PVC 60</v>
          </cell>
          <cell r="D1101" t="str">
            <v>cái</v>
          </cell>
          <cell r="E1101" t="str">
            <v>CU</v>
          </cell>
          <cell r="F1101">
            <v>50</v>
          </cell>
          <cell r="G1101" t="str">
            <v>x</v>
          </cell>
          <cell r="J1101" t="str">
            <v>CUT60135</v>
          </cell>
        </row>
        <row r="1102">
          <cell r="A1102" t="str">
            <v>CUT90</v>
          </cell>
          <cell r="C1102" t="str">
            <v>Co sừng 90 độ PVC 90</v>
          </cell>
          <cell r="D1102" t="str">
            <v>cái</v>
          </cell>
          <cell r="E1102" t="str">
            <v>CU</v>
          </cell>
          <cell r="F1102">
            <v>50</v>
          </cell>
          <cell r="G1102" t="str">
            <v>x</v>
          </cell>
          <cell r="J1102" t="str">
            <v>CUT90</v>
          </cell>
        </row>
        <row r="1103">
          <cell r="A1103" t="str">
            <v>CUT90135</v>
          </cell>
          <cell r="C1103" t="str">
            <v>Co 135 độ PVC 90</v>
          </cell>
          <cell r="D1103" t="str">
            <v>cái</v>
          </cell>
          <cell r="E1103" t="str">
            <v>CU</v>
          </cell>
          <cell r="F1103">
            <v>50</v>
          </cell>
          <cell r="G1103" t="str">
            <v>x</v>
          </cell>
          <cell r="J1103" t="str">
            <v>CUT90135</v>
          </cell>
        </row>
        <row r="1104">
          <cell r="A1104" t="str">
            <v>CUT90T</v>
          </cell>
          <cell r="C1104" t="str">
            <v>Co  90 độ PVC 90</v>
          </cell>
          <cell r="D1104" t="str">
            <v>cái</v>
          </cell>
          <cell r="E1104" t="str">
            <v>CU</v>
          </cell>
          <cell r="F1104">
            <v>50</v>
          </cell>
          <cell r="G1104" t="str">
            <v>x</v>
          </cell>
          <cell r="J1104" t="str">
            <v>CUT90T</v>
          </cell>
        </row>
        <row r="1105">
          <cell r="A1105" t="str">
            <v>CUT114T</v>
          </cell>
          <cell r="C1105" t="str">
            <v>Co  90 độ PVC 114</v>
          </cell>
          <cell r="D1105" t="str">
            <v>cái</v>
          </cell>
          <cell r="E1105" t="str">
            <v>CU</v>
          </cell>
          <cell r="F1105">
            <v>50</v>
          </cell>
          <cell r="G1105" t="str">
            <v>x</v>
          </cell>
          <cell r="J1105" t="str">
            <v>CUT114T</v>
          </cell>
        </row>
        <row r="1106">
          <cell r="A1106" t="str">
            <v>CUT114L</v>
          </cell>
          <cell r="C1106" t="str">
            <v>Co 135 độ PVC 114</v>
          </cell>
          <cell r="D1106" t="str">
            <v>cái</v>
          </cell>
          <cell r="E1106" t="str">
            <v>CU</v>
          </cell>
          <cell r="F1106">
            <v>50</v>
          </cell>
          <cell r="G1106" t="str">
            <v>x</v>
          </cell>
          <cell r="J1106" t="str">
            <v>CUT114L</v>
          </cell>
        </row>
        <row r="1107">
          <cell r="A1107" t="str">
            <v>CUT114</v>
          </cell>
          <cell r="C1107" t="str">
            <v>Co sừng 90 độ PVC 114</v>
          </cell>
          <cell r="D1107" t="str">
            <v>cái</v>
          </cell>
          <cell r="E1107" t="str">
            <v>CU</v>
          </cell>
          <cell r="F1107">
            <v>50</v>
          </cell>
          <cell r="G1107" t="str">
            <v>x</v>
          </cell>
          <cell r="J1107" t="str">
            <v>CUT114</v>
          </cell>
        </row>
        <row r="1108">
          <cell r="A1108" t="str">
            <v>CUT140t</v>
          </cell>
          <cell r="C1108" t="str">
            <v>Co 90 độ PVC 140</v>
          </cell>
          <cell r="D1108" t="str">
            <v>cái</v>
          </cell>
          <cell r="E1108" t="str">
            <v>CU</v>
          </cell>
          <cell r="F1108">
            <v>50</v>
          </cell>
          <cell r="G1108" t="str">
            <v>x</v>
          </cell>
          <cell r="J1108" t="str">
            <v>CUT140t</v>
          </cell>
        </row>
        <row r="1109">
          <cell r="A1109" t="str">
            <v>CUT140</v>
          </cell>
          <cell r="C1109" t="str">
            <v>Co sừng 90 độ PVC 140</v>
          </cell>
          <cell r="D1109" t="str">
            <v>cái</v>
          </cell>
          <cell r="E1109" t="str">
            <v>CU</v>
          </cell>
          <cell r="F1109">
            <v>50</v>
          </cell>
          <cell r="G1109" t="str">
            <v>x</v>
          </cell>
          <cell r="J1109" t="str">
            <v>CUT140</v>
          </cell>
        </row>
        <row r="1110">
          <cell r="A1110" t="str">
            <v>CUT168</v>
          </cell>
          <cell r="C1110" t="str">
            <v>Co sừng 90 độ PVC 168</v>
          </cell>
          <cell r="D1110" t="str">
            <v>cái</v>
          </cell>
          <cell r="E1110" t="str">
            <v>CU</v>
          </cell>
          <cell r="F1110">
            <v>50</v>
          </cell>
          <cell r="G1110" t="str">
            <v>x</v>
          </cell>
          <cell r="J1110" t="str">
            <v>CUT168</v>
          </cell>
        </row>
        <row r="1111">
          <cell r="A1111" t="str">
            <v>NPVC114</v>
          </cell>
          <cell r="C1111" t="str">
            <v>Nối ống PVC 114</v>
          </cell>
          <cell r="D1111" t="str">
            <v>cái</v>
          </cell>
          <cell r="E1111" t="str">
            <v>NP</v>
          </cell>
          <cell r="F1111">
            <v>50</v>
          </cell>
          <cell r="G1111" t="str">
            <v>x</v>
          </cell>
          <cell r="J1111" t="str">
            <v>NPVC114</v>
          </cell>
        </row>
        <row r="1112">
          <cell r="A1112" t="str">
            <v>NPVC140</v>
          </cell>
          <cell r="C1112" t="str">
            <v>Nối ống PVC 140</v>
          </cell>
          <cell r="D1112" t="str">
            <v>cái</v>
          </cell>
          <cell r="E1112" t="str">
            <v>NP</v>
          </cell>
          <cell r="F1112">
            <v>50</v>
          </cell>
          <cell r="G1112" t="str">
            <v>x</v>
          </cell>
          <cell r="J1112" t="str">
            <v>NPVC140</v>
          </cell>
        </row>
        <row r="1113">
          <cell r="A1113" t="str">
            <v>NPVC114-90</v>
          </cell>
          <cell r="C1113" t="str">
            <v>Nối ống PVC 114 - 90</v>
          </cell>
          <cell r="D1113" t="str">
            <v>cái</v>
          </cell>
          <cell r="E1113" t="str">
            <v>NP</v>
          </cell>
          <cell r="F1113">
            <v>50</v>
          </cell>
          <cell r="G1113" t="str">
            <v>x</v>
          </cell>
          <cell r="J1113" t="str">
            <v>NPVC114-90</v>
          </cell>
        </row>
        <row r="1114">
          <cell r="A1114" t="str">
            <v>NPVC90</v>
          </cell>
          <cell r="C1114" t="str">
            <v xml:space="preserve">Nối thẳng ống PVC 90 </v>
          </cell>
          <cell r="D1114" t="str">
            <v>cái</v>
          </cell>
          <cell r="E1114" t="str">
            <v>NP</v>
          </cell>
          <cell r="F1114">
            <v>50</v>
          </cell>
          <cell r="G1114" t="str">
            <v>x</v>
          </cell>
          <cell r="J1114" t="str">
            <v>NPVC90</v>
          </cell>
        </row>
        <row r="1115">
          <cell r="A1115" t="str">
            <v>NPVC42</v>
          </cell>
          <cell r="C1115" t="str">
            <v>Nối thẳng ống PVC 42</v>
          </cell>
          <cell r="D1115" t="str">
            <v>cái</v>
          </cell>
          <cell r="E1115" t="str">
            <v>NP</v>
          </cell>
          <cell r="F1115">
            <v>50</v>
          </cell>
          <cell r="G1115" t="str">
            <v>x</v>
          </cell>
          <cell r="J1115" t="str">
            <v>NPVC42</v>
          </cell>
        </row>
        <row r="1116">
          <cell r="A1116" t="str">
            <v>NPVC21</v>
          </cell>
          <cell r="C1116" t="str">
            <v>Nối thẳng ống PVC 21</v>
          </cell>
          <cell r="D1116" t="str">
            <v>cái</v>
          </cell>
          <cell r="E1116" t="str">
            <v>NP</v>
          </cell>
          <cell r="F1116">
            <v>50</v>
          </cell>
          <cell r="G1116" t="str">
            <v>x</v>
          </cell>
          <cell r="J1116" t="str">
            <v>NPVC21</v>
          </cell>
        </row>
        <row r="1117">
          <cell r="A1117" t="str">
            <v>NT42</v>
          </cell>
          <cell r="C1117" t="str">
            <v>Nối ống PVC 42 chữ T</v>
          </cell>
          <cell r="D1117" t="str">
            <v>cái</v>
          </cell>
          <cell r="E1117" t="str">
            <v>NT</v>
          </cell>
          <cell r="F1117">
            <v>50</v>
          </cell>
          <cell r="G1117" t="str">
            <v>x</v>
          </cell>
          <cell r="J1117" t="str">
            <v>NT42</v>
          </cell>
        </row>
        <row r="1118">
          <cell r="A1118" t="str">
            <v>BAKE6200</v>
          </cell>
          <cell r="C1118" t="str">
            <v>Tấm bakelit hay nhựa cách điện 600V (200x60x6)</v>
          </cell>
          <cell r="D1118" t="str">
            <v>cái</v>
          </cell>
          <cell r="E1118" t="str">
            <v>BA</v>
          </cell>
          <cell r="F1118">
            <v>50</v>
          </cell>
          <cell r="G1118" t="str">
            <v>x</v>
          </cell>
          <cell r="J1118" t="str">
            <v>BAKE6200</v>
          </cell>
        </row>
        <row r="1119">
          <cell r="A1119" t="str">
            <v>BAKE</v>
          </cell>
          <cell r="C1119" t="str">
            <v xml:space="preserve">Bakelit 550x450 dầy 10mm </v>
          </cell>
          <cell r="D1119" t="str">
            <v>cái</v>
          </cell>
          <cell r="E1119" t="str">
            <v>BA</v>
          </cell>
          <cell r="F1119">
            <v>50</v>
          </cell>
          <cell r="G1119" t="str">
            <v>x</v>
          </cell>
          <cell r="J1119" t="str">
            <v>BAKE</v>
          </cell>
        </row>
        <row r="1120">
          <cell r="A1120" t="str">
            <v>BAKEDKDT</v>
          </cell>
          <cell r="C1120" t="str">
            <v>Bakelit 350x510 dầy 5mm</v>
          </cell>
          <cell r="D1120" t="str">
            <v>cái</v>
          </cell>
          <cell r="E1120" t="str">
            <v>BA</v>
          </cell>
          <cell r="F1120">
            <v>50</v>
          </cell>
          <cell r="G1120" t="str">
            <v>x</v>
          </cell>
          <cell r="J1120" t="str">
            <v>BAKEDKDT</v>
          </cell>
        </row>
        <row r="1121">
          <cell r="A1121" t="str">
            <v>BAKETu</v>
          </cell>
          <cell r="C1121" t="str">
            <v xml:space="preserve">Bakelit 300x200 dầy 5mm </v>
          </cell>
          <cell r="D1121" t="str">
            <v>cái</v>
          </cell>
          <cell r="E1121" t="str">
            <v>BA</v>
          </cell>
          <cell r="F1121">
            <v>50</v>
          </cell>
          <cell r="G1121" t="str">
            <v>x</v>
          </cell>
          <cell r="J1121" t="str">
            <v>BAKETu</v>
          </cell>
        </row>
        <row r="1122">
          <cell r="A1122" t="str">
            <v>BANGG</v>
          </cell>
          <cell r="C1122" t="str">
            <v>Bảng gắn aptomat và điện kế dày 15mm</v>
          </cell>
          <cell r="D1122" t="str">
            <v>cái</v>
          </cell>
          <cell r="E1122" t="str">
            <v>BA</v>
          </cell>
          <cell r="F1122">
            <v>50</v>
          </cell>
          <cell r="G1122" t="str">
            <v>x</v>
          </cell>
          <cell r="J1122" t="str">
            <v>BANGG</v>
          </cell>
        </row>
        <row r="1123">
          <cell r="A1123" t="str">
            <v>BANGNHUA</v>
          </cell>
          <cell r="C1123" t="str">
            <v>Bảng nhựa gắn tủ điện kế điện tử</v>
          </cell>
          <cell r="D1123" t="str">
            <v>cái</v>
          </cell>
          <cell r="E1123" t="str">
            <v>BA</v>
          </cell>
          <cell r="F1123">
            <v>50</v>
          </cell>
          <cell r="G1123" t="str">
            <v>x</v>
          </cell>
          <cell r="J1123" t="str">
            <v>BANGNHUA</v>
          </cell>
        </row>
        <row r="1124">
          <cell r="A1124" t="str">
            <v>BANGKEO</v>
          </cell>
          <cell r="C1124" t="str">
            <v>Băng keo cách điện</v>
          </cell>
          <cell r="D1124" t="str">
            <v>cuộn</v>
          </cell>
          <cell r="E1124" t="str">
            <v>BA</v>
          </cell>
          <cell r="F1124">
            <v>50</v>
          </cell>
          <cell r="G1124" t="str">
            <v>x</v>
          </cell>
          <cell r="J1124" t="str">
            <v>BANGKEO</v>
          </cell>
        </row>
        <row r="1125">
          <cell r="A1125" t="str">
            <v>BANGKEOt</v>
          </cell>
          <cell r="C1125" t="str">
            <v>Băng keo cách điện trung thế</v>
          </cell>
          <cell r="D1125" t="str">
            <v>cuộn</v>
          </cell>
          <cell r="E1125" t="str">
            <v>BA</v>
          </cell>
          <cell r="F1125">
            <v>50</v>
          </cell>
          <cell r="G1125" t="str">
            <v>x</v>
          </cell>
          <cell r="J1125" t="str">
            <v>BANGKEOt</v>
          </cell>
        </row>
        <row r="1126">
          <cell r="A1126" t="str">
            <v>BAKE16-200X200</v>
          </cell>
          <cell r="C1126" t="str">
            <v>Bake D16 - 200x200</v>
          </cell>
          <cell r="D1126" t="str">
            <v>cái</v>
          </cell>
          <cell r="E1126" t="str">
            <v>BA</v>
          </cell>
          <cell r="F1126">
            <v>50</v>
          </cell>
          <cell r="G1126" t="str">
            <v>x</v>
          </cell>
          <cell r="J1126" t="str">
            <v>BAKE16-200X200</v>
          </cell>
        </row>
        <row r="1127">
          <cell r="A1127" t="str">
            <v>KEOBIT</v>
          </cell>
          <cell r="C1127" t="str">
            <v>Keo silicon bít miệng ống</v>
          </cell>
          <cell r="D1127" t="str">
            <v>ống</v>
          </cell>
          <cell r="E1127" t="str">
            <v>KE</v>
          </cell>
          <cell r="F1127">
            <v>50</v>
          </cell>
          <cell r="G1127" t="str">
            <v>x</v>
          </cell>
          <cell r="J1127" t="str">
            <v>KEOBIT</v>
          </cell>
        </row>
        <row r="1128">
          <cell r="A1128" t="str">
            <v>KEM</v>
          </cell>
          <cell r="C1128" t="str">
            <v>Kẽm</v>
          </cell>
          <cell r="D1128" t="str">
            <v>kg</v>
          </cell>
          <cell r="E1128" t="str">
            <v>KE</v>
          </cell>
          <cell r="F1128">
            <v>50</v>
          </cell>
          <cell r="G1128" t="str">
            <v>x</v>
          </cell>
          <cell r="J1128" t="str">
            <v>KEM</v>
          </cell>
        </row>
        <row r="1129">
          <cell r="A1129" t="str">
            <v>keodan</v>
          </cell>
          <cell r="C1129" t="str">
            <v>Keo dán ống PVC (100gr)</v>
          </cell>
          <cell r="D1129" t="str">
            <v>tuýp</v>
          </cell>
          <cell r="E1129" t="str">
            <v>ke</v>
          </cell>
          <cell r="F1129">
            <v>50</v>
          </cell>
          <cell r="G1129" t="str">
            <v>x</v>
          </cell>
          <cell r="J1129" t="str">
            <v>keodan</v>
          </cell>
        </row>
        <row r="1130">
          <cell r="A1130" t="str">
            <v>KEO</v>
          </cell>
          <cell r="C1130" t="str">
            <v>Keo dán ống PVC (500gr)</v>
          </cell>
          <cell r="D1130" t="str">
            <v>lon</v>
          </cell>
          <cell r="E1130" t="str">
            <v>KE</v>
          </cell>
          <cell r="F1130">
            <v>50</v>
          </cell>
          <cell r="G1130" t="str">
            <v>x</v>
          </cell>
          <cell r="J1130" t="str">
            <v>KEO</v>
          </cell>
        </row>
        <row r="1131">
          <cell r="A1131" t="str">
            <v>KVRT42</v>
          </cell>
          <cell r="C1131" t="str">
            <v>Khâu ven răng trong D42</v>
          </cell>
          <cell r="D1131" t="str">
            <v>cái</v>
          </cell>
          <cell r="E1131" t="str">
            <v>KV</v>
          </cell>
          <cell r="F1131">
            <v>50</v>
          </cell>
          <cell r="G1131" t="str">
            <v>x</v>
          </cell>
          <cell r="J1131" t="str">
            <v>KVRT42</v>
          </cell>
        </row>
        <row r="1132">
          <cell r="A1132" t="str">
            <v>KVRT90</v>
          </cell>
          <cell r="C1132" t="str">
            <v>Khâu ven răng trong D90</v>
          </cell>
          <cell r="D1132" t="str">
            <v>cái</v>
          </cell>
          <cell r="E1132" t="str">
            <v>KV</v>
          </cell>
          <cell r="F1132">
            <v>50</v>
          </cell>
          <cell r="G1132" t="str">
            <v>x</v>
          </cell>
          <cell r="J1132" t="str">
            <v>KVRT90</v>
          </cell>
        </row>
        <row r="1133">
          <cell r="A1133" t="str">
            <v>KVRT114</v>
          </cell>
          <cell r="C1133" t="str">
            <v>Khâu ven răng trong D114</v>
          </cell>
          <cell r="D1133" t="str">
            <v>cái</v>
          </cell>
          <cell r="E1133" t="str">
            <v>KV</v>
          </cell>
          <cell r="F1133">
            <v>50</v>
          </cell>
          <cell r="G1133" t="str">
            <v>x</v>
          </cell>
          <cell r="J1133" t="str">
            <v>KVRT114</v>
          </cell>
        </row>
        <row r="1134">
          <cell r="A1134" t="str">
            <v>KVRT140</v>
          </cell>
          <cell r="C1134" t="str">
            <v>Khâu ven răng trong D140</v>
          </cell>
          <cell r="D1134" t="str">
            <v>cái</v>
          </cell>
          <cell r="E1134" t="str">
            <v>KV</v>
          </cell>
          <cell r="F1134">
            <v>50</v>
          </cell>
          <cell r="G1134" t="str">
            <v>x</v>
          </cell>
          <cell r="J1134" t="str">
            <v>KVRT140</v>
          </cell>
        </row>
        <row r="1135">
          <cell r="A1135" t="str">
            <v>KVRN42</v>
          </cell>
          <cell r="C1135" t="str">
            <v>Khâu ven răng ngoài D42</v>
          </cell>
          <cell r="D1135" t="str">
            <v>cái</v>
          </cell>
          <cell r="E1135" t="str">
            <v>KV</v>
          </cell>
          <cell r="F1135">
            <v>50</v>
          </cell>
          <cell r="G1135" t="str">
            <v>x</v>
          </cell>
          <cell r="J1135" t="str">
            <v>KVRN42</v>
          </cell>
        </row>
        <row r="1136">
          <cell r="A1136" t="str">
            <v>KVRN90</v>
          </cell>
          <cell r="C1136" t="str">
            <v>Khâu ven răng ngoài D90</v>
          </cell>
          <cell r="D1136" t="str">
            <v>cái</v>
          </cell>
          <cell r="E1136" t="str">
            <v>KV</v>
          </cell>
          <cell r="F1136">
            <v>50</v>
          </cell>
          <cell r="G1136" t="str">
            <v>x</v>
          </cell>
          <cell r="J1136" t="str">
            <v>KVRN90</v>
          </cell>
        </row>
        <row r="1137">
          <cell r="A1137" t="str">
            <v>KVRN114</v>
          </cell>
          <cell r="C1137" t="str">
            <v>Khâu ven răng ngoài D114</v>
          </cell>
          <cell r="D1137" t="str">
            <v>cái</v>
          </cell>
          <cell r="E1137" t="str">
            <v>KV</v>
          </cell>
          <cell r="F1137">
            <v>50</v>
          </cell>
          <cell r="G1137" t="str">
            <v>x</v>
          </cell>
          <cell r="J1137" t="str">
            <v>KVRN114</v>
          </cell>
        </row>
        <row r="1138">
          <cell r="A1138" t="str">
            <v>KVRN140</v>
          </cell>
          <cell r="C1138" t="str">
            <v>Khâu ven răng ngoài D140</v>
          </cell>
          <cell r="D1138" t="str">
            <v>cái</v>
          </cell>
          <cell r="E1138" t="str">
            <v>KV</v>
          </cell>
          <cell r="F1138">
            <v>50</v>
          </cell>
          <cell r="G1138" t="str">
            <v>x</v>
          </cell>
          <cell r="J1138" t="str">
            <v>KVRN140</v>
          </cell>
        </row>
        <row r="1139">
          <cell r="A1139" t="str">
            <v>OXC1/0</v>
          </cell>
          <cell r="B1139" t="str">
            <v>04.3107</v>
          </cell>
          <cell r="C1139" t="str">
            <v>Ốc siết cáp Cu - Al 1/0</v>
          </cell>
          <cell r="D1139" t="str">
            <v>cái</v>
          </cell>
          <cell r="E1139" t="str">
            <v>OX</v>
          </cell>
          <cell r="F1139">
            <v>50</v>
          </cell>
          <cell r="G1139" t="str">
            <v>x</v>
          </cell>
          <cell r="J1139" t="str">
            <v>OXC1/0</v>
          </cell>
        </row>
        <row r="1140">
          <cell r="A1140" t="str">
            <v>OXC2/0</v>
          </cell>
          <cell r="B1140" t="str">
            <v>04.3107</v>
          </cell>
          <cell r="C1140" t="str">
            <v>Ốc siết cáp Cu - Al 2/0</v>
          </cell>
          <cell r="D1140" t="str">
            <v>cái</v>
          </cell>
          <cell r="E1140" t="str">
            <v>OX</v>
          </cell>
          <cell r="F1140">
            <v>50</v>
          </cell>
          <cell r="G1140" t="str">
            <v>x</v>
          </cell>
          <cell r="J1140" t="str">
            <v>OXC2/0</v>
          </cell>
        </row>
        <row r="1141">
          <cell r="A1141" t="str">
            <v>OXCth</v>
          </cell>
          <cell r="B1141" t="str">
            <v>04.3107</v>
          </cell>
          <cell r="C1141" t="str">
            <v xml:space="preserve">Ốc siết cáp Cu-AL cở thích hợp </v>
          </cell>
          <cell r="D1141" t="str">
            <v>cái</v>
          </cell>
          <cell r="E1141" t="str">
            <v>OX</v>
          </cell>
          <cell r="F1141">
            <v>50</v>
          </cell>
          <cell r="G1141" t="str">
            <v>x</v>
          </cell>
          <cell r="J1141" t="str">
            <v>OXCth</v>
          </cell>
        </row>
        <row r="1142">
          <cell r="A1142" t="str">
            <v>OXC11</v>
          </cell>
          <cell r="B1142" t="str">
            <v>04.3107</v>
          </cell>
          <cell r="C1142" t="str">
            <v xml:space="preserve">Ốc siết cáp cỡ 11mm2 </v>
          </cell>
          <cell r="D1142" t="str">
            <v>cái</v>
          </cell>
          <cell r="E1142" t="str">
            <v>OX</v>
          </cell>
          <cell r="F1142">
            <v>50</v>
          </cell>
          <cell r="G1142" t="str">
            <v>x</v>
          </cell>
          <cell r="J1142" t="str">
            <v>OXC11</v>
          </cell>
        </row>
        <row r="1143">
          <cell r="A1143" t="str">
            <v>OXC22</v>
          </cell>
          <cell r="B1143" t="str">
            <v>04.3107</v>
          </cell>
          <cell r="C1143" t="str">
            <v xml:space="preserve">Ốc siết cáp cỡ 22mm2 </v>
          </cell>
          <cell r="D1143" t="str">
            <v>cái</v>
          </cell>
          <cell r="E1143" t="str">
            <v>OX</v>
          </cell>
          <cell r="F1143">
            <v>50</v>
          </cell>
          <cell r="G1143" t="str">
            <v>x</v>
          </cell>
          <cell r="J1143" t="str">
            <v>OXC22</v>
          </cell>
        </row>
        <row r="1144">
          <cell r="A1144" t="str">
            <v>OXC25</v>
          </cell>
          <cell r="B1144" t="str">
            <v>04.3107</v>
          </cell>
          <cell r="C1144" t="str">
            <v>Ốc siết cáp cỡ 25mm2</v>
          </cell>
          <cell r="D1144" t="str">
            <v>cái</v>
          </cell>
          <cell r="E1144" t="str">
            <v>OX</v>
          </cell>
          <cell r="F1144">
            <v>50</v>
          </cell>
          <cell r="G1144" t="str">
            <v>x</v>
          </cell>
          <cell r="J1144" t="str">
            <v>OXC25</v>
          </cell>
        </row>
        <row r="1145">
          <cell r="A1145" t="str">
            <v>OXC38</v>
          </cell>
          <cell r="B1145" t="str">
            <v>04.3107</v>
          </cell>
          <cell r="C1145" t="str">
            <v xml:space="preserve">Ốc siết cáp cỡ 38mm2 </v>
          </cell>
          <cell r="D1145" t="str">
            <v>cái</v>
          </cell>
          <cell r="E1145" t="str">
            <v>OX</v>
          </cell>
          <cell r="F1145">
            <v>50</v>
          </cell>
          <cell r="G1145" t="str">
            <v>x</v>
          </cell>
          <cell r="J1145" t="str">
            <v>OXC38</v>
          </cell>
        </row>
        <row r="1146">
          <cell r="A1146" t="str">
            <v>OXC50</v>
          </cell>
          <cell r="B1146" t="str">
            <v>04.3107</v>
          </cell>
          <cell r="C1146" t="str">
            <v xml:space="preserve">Ốc siết cáp cỡ 50mm2 </v>
          </cell>
          <cell r="D1146" t="str">
            <v>cái</v>
          </cell>
          <cell r="E1146" t="str">
            <v>OX</v>
          </cell>
          <cell r="F1146">
            <v>50</v>
          </cell>
          <cell r="G1146" t="str">
            <v>x</v>
          </cell>
          <cell r="J1146" t="str">
            <v>OXC50</v>
          </cell>
        </row>
        <row r="1147">
          <cell r="A1147" t="str">
            <v>OXC70</v>
          </cell>
          <cell r="B1147" t="str">
            <v>04.3107</v>
          </cell>
          <cell r="C1147" t="str">
            <v xml:space="preserve">Ốc siết cáp cỡ 70mm2 </v>
          </cell>
          <cell r="D1147" t="str">
            <v>cái</v>
          </cell>
          <cell r="E1147" t="str">
            <v>OX</v>
          </cell>
          <cell r="F1147">
            <v>50</v>
          </cell>
          <cell r="G1147" t="str">
            <v>x</v>
          </cell>
          <cell r="J1147" t="str">
            <v>OXC70</v>
          </cell>
        </row>
        <row r="1148">
          <cell r="A1148" t="str">
            <v>OXC95</v>
          </cell>
          <cell r="B1148" t="str">
            <v>04.3107</v>
          </cell>
          <cell r="C1148" t="str">
            <v xml:space="preserve">Ốc siết cáp cỡ 95mm2 </v>
          </cell>
          <cell r="D1148" t="str">
            <v>cái</v>
          </cell>
          <cell r="E1148" t="str">
            <v>OX</v>
          </cell>
          <cell r="F1148">
            <v>50</v>
          </cell>
          <cell r="G1148" t="str">
            <v>x</v>
          </cell>
          <cell r="J1148" t="str">
            <v>OXC95</v>
          </cell>
        </row>
        <row r="1149">
          <cell r="A1149" t="str">
            <v>OXC120</v>
          </cell>
          <cell r="B1149" t="str">
            <v>04.3107</v>
          </cell>
          <cell r="C1149" t="str">
            <v xml:space="preserve">Ốc siết cáp cỡ 120mm2 </v>
          </cell>
          <cell r="D1149" t="str">
            <v>cái</v>
          </cell>
          <cell r="E1149" t="str">
            <v>OX</v>
          </cell>
          <cell r="F1149">
            <v>50</v>
          </cell>
          <cell r="G1149" t="str">
            <v>x</v>
          </cell>
          <cell r="J1149" t="str">
            <v>OXC120</v>
          </cell>
        </row>
        <row r="1150">
          <cell r="A1150" t="str">
            <v>OXC150</v>
          </cell>
          <cell r="B1150" t="str">
            <v>04.3107</v>
          </cell>
          <cell r="C1150" t="str">
            <v>Ốc siết cáp cỡ 150mm2</v>
          </cell>
          <cell r="D1150" t="str">
            <v>cái</v>
          </cell>
          <cell r="E1150" t="str">
            <v>OX</v>
          </cell>
          <cell r="F1150">
            <v>50</v>
          </cell>
          <cell r="G1150" t="str">
            <v>x</v>
          </cell>
          <cell r="J1150" t="str">
            <v>OXC150</v>
          </cell>
        </row>
        <row r="1151">
          <cell r="A1151" t="str">
            <v>OXC185</v>
          </cell>
          <cell r="B1151" t="str">
            <v>04.3107</v>
          </cell>
          <cell r="C1151" t="str">
            <v>Ốc siết cáp cỡ 185mm2</v>
          </cell>
          <cell r="D1151" t="str">
            <v>cái</v>
          </cell>
          <cell r="E1151" t="str">
            <v>OX</v>
          </cell>
          <cell r="F1151">
            <v>50</v>
          </cell>
          <cell r="G1151" t="str">
            <v>x</v>
          </cell>
          <cell r="J1151" t="str">
            <v>OXC185</v>
          </cell>
        </row>
        <row r="1152">
          <cell r="A1152" t="str">
            <v>OXC240</v>
          </cell>
          <cell r="B1152" t="str">
            <v>04.3107</v>
          </cell>
          <cell r="C1152" t="str">
            <v>Ốc siết cáp cỡ 240mm2</v>
          </cell>
          <cell r="D1152" t="str">
            <v>cái</v>
          </cell>
          <cell r="E1152" t="str">
            <v>OX</v>
          </cell>
          <cell r="F1152">
            <v>50</v>
          </cell>
          <cell r="G1152" t="str">
            <v>x</v>
          </cell>
          <cell r="J1152" t="str">
            <v>OXC240</v>
          </cell>
        </row>
        <row r="1153">
          <cell r="A1153" t="str">
            <v>KHOA</v>
          </cell>
          <cell r="C1153" t="str">
            <v>Ổ khóa</v>
          </cell>
          <cell r="D1153" t="str">
            <v>cái</v>
          </cell>
          <cell r="E1153" t="str">
            <v>KH</v>
          </cell>
          <cell r="F1153">
            <v>50</v>
          </cell>
          <cell r="G1153" t="str">
            <v>x</v>
          </cell>
          <cell r="J1153" t="str">
            <v>KHOA</v>
          </cell>
        </row>
        <row r="1154">
          <cell r="A1154" t="str">
            <v>oxy</v>
          </cell>
          <cell r="C1154" t="str">
            <v>Ô xy gió</v>
          </cell>
          <cell r="D1154" t="str">
            <v>m3</v>
          </cell>
          <cell r="E1154" t="str">
            <v>ox</v>
          </cell>
          <cell r="F1154">
            <v>50</v>
          </cell>
          <cell r="G1154" t="str">
            <v>x</v>
          </cell>
          <cell r="J1154" t="str">
            <v>oxy</v>
          </cell>
        </row>
        <row r="1155">
          <cell r="A1155" t="str">
            <v>LCbh9</v>
          </cell>
          <cell r="B1155" t="str">
            <v>NB.1110</v>
          </cell>
          <cell r="C1155" t="str">
            <v>Gia công và lắp dựng cột báo hiệu cao 9m</v>
          </cell>
          <cell r="D1155" t="str">
            <v>Tấn</v>
          </cell>
          <cell r="E1155" t="str">
            <v>LC</v>
          </cell>
          <cell r="F1155">
            <v>50</v>
          </cell>
          <cell r="J1155" t="str">
            <v>LCbh9</v>
          </cell>
        </row>
        <row r="1156">
          <cell r="A1156" t="str">
            <v>LBbh</v>
          </cell>
          <cell r="B1156" t="str">
            <v>NB.1710</v>
          </cell>
          <cell r="C1156" t="str">
            <v>Gia công và lắp dựng bảng báo hiệu</v>
          </cell>
          <cell r="D1156" t="str">
            <v>Tấn</v>
          </cell>
          <cell r="E1156" t="str">
            <v>LB</v>
          </cell>
          <cell r="F1156">
            <v>50</v>
          </cell>
          <cell r="J1156" t="str">
            <v>LBbh</v>
          </cell>
        </row>
        <row r="1157">
          <cell r="A1157" t="str">
            <v>LTC</v>
          </cell>
          <cell r="C1157" t="str">
            <v>Gia công và lắp thanh cái và phụ kiện trong tủ</v>
          </cell>
          <cell r="D1157" t="str">
            <v>tủ</v>
          </cell>
          <cell r="E1157" t="str">
            <v>LT</v>
          </cell>
          <cell r="F1157">
            <v>50</v>
          </cell>
          <cell r="J1157" t="str">
            <v>LTC</v>
          </cell>
        </row>
        <row r="1158">
          <cell r="A1158" t="str">
            <v>SonCBH</v>
          </cell>
          <cell r="B1158" t="str">
            <v>S2.118</v>
          </cell>
          <cell r="C1158" t="str">
            <v>Sơn cột báo hiệu</v>
          </cell>
          <cell r="D1158" t="str">
            <v>m2</v>
          </cell>
          <cell r="E1158" t="str">
            <v>So</v>
          </cell>
          <cell r="F1158">
            <v>50</v>
          </cell>
          <cell r="J1158" t="str">
            <v>SonCBH</v>
          </cell>
        </row>
        <row r="1159">
          <cell r="A1159" t="str">
            <v>SonBBH</v>
          </cell>
          <cell r="B1159" t="str">
            <v>S2.118</v>
          </cell>
          <cell r="C1159" t="str">
            <v>Sơn biển báo hiệu</v>
          </cell>
          <cell r="D1159" t="str">
            <v>m2</v>
          </cell>
          <cell r="E1159" t="str">
            <v>So</v>
          </cell>
          <cell r="F1159">
            <v>50</v>
          </cell>
          <cell r="J1159" t="str">
            <v>SonBBH</v>
          </cell>
        </row>
        <row r="1160">
          <cell r="A1160" t="str">
            <v>VCT</v>
          </cell>
          <cell r="B1160" t="str">
            <v>021351</v>
          </cell>
          <cell r="C1160" t="str">
            <v>Vận Chuyển thép</v>
          </cell>
          <cell r="D1160" t="str">
            <v>Tấn</v>
          </cell>
          <cell r="E1160" t="str">
            <v>VC</v>
          </cell>
          <cell r="F1160">
            <v>2000</v>
          </cell>
          <cell r="J1160" t="str">
            <v>VCT</v>
          </cell>
        </row>
        <row r="1161">
          <cell r="A1161" t="str">
            <v>U16-280</v>
          </cell>
          <cell r="B1161" t="str">
            <v>05.6105</v>
          </cell>
          <cell r="C1161" t="str">
            <v>Đà U160x68x5x2800 đỡ MBA</v>
          </cell>
          <cell r="D1161" t="str">
            <v>cái</v>
          </cell>
          <cell r="E1161" t="str">
            <v>U1</v>
          </cell>
          <cell r="F1161">
            <v>50</v>
          </cell>
          <cell r="G1161" t="str">
            <v>x</v>
          </cell>
          <cell r="J1161" t="str">
            <v>U16-280</v>
          </cell>
        </row>
        <row r="1162">
          <cell r="A1162" t="str">
            <v>U20-280</v>
          </cell>
          <cell r="B1162" t="str">
            <v>05.6105</v>
          </cell>
          <cell r="C1162" t="str">
            <v>Đà U200x80x5x2800 đỡ MBA</v>
          </cell>
          <cell r="D1162" t="str">
            <v>cái</v>
          </cell>
          <cell r="E1162" t="str">
            <v>U2</v>
          </cell>
          <cell r="F1162">
            <v>50</v>
          </cell>
          <cell r="G1162" t="str">
            <v>x</v>
          </cell>
          <cell r="J1162" t="str">
            <v>U20-280</v>
          </cell>
        </row>
        <row r="1163">
          <cell r="A1163" t="str">
            <v>U1008</v>
          </cell>
          <cell r="B1163" t="str">
            <v>05.6101</v>
          </cell>
          <cell r="C1163" t="str">
            <v xml:space="preserve">Đà U100x46x5x800 </v>
          </cell>
          <cell r="D1163" t="str">
            <v>cái</v>
          </cell>
          <cell r="E1163" t="str">
            <v>U1</v>
          </cell>
          <cell r="F1163">
            <v>50</v>
          </cell>
          <cell r="G1163" t="str">
            <v>x</v>
          </cell>
          <cell r="J1163" t="str">
            <v>U1008</v>
          </cell>
        </row>
        <row r="1164">
          <cell r="A1164" t="str">
            <v>U8034</v>
          </cell>
          <cell r="B1164" t="str">
            <v>04.8105</v>
          </cell>
          <cell r="C1164" t="str">
            <v>Đà sắt U80x340</v>
          </cell>
          <cell r="D1164" t="str">
            <v>kg</v>
          </cell>
          <cell r="E1164" t="str">
            <v>U8</v>
          </cell>
          <cell r="F1164">
            <v>50</v>
          </cell>
          <cell r="G1164" t="str">
            <v>x</v>
          </cell>
          <cell r="J1164" t="str">
            <v>U8034</v>
          </cell>
        </row>
        <row r="1165">
          <cell r="A1165" t="str">
            <v>U1004</v>
          </cell>
          <cell r="B1165" t="str">
            <v>05.6101</v>
          </cell>
          <cell r="C1165" t="str">
            <v xml:space="preserve">Đà U100x46x4.5x400 </v>
          </cell>
          <cell r="D1165" t="str">
            <v>cái</v>
          </cell>
          <cell r="E1165" t="str">
            <v>U1</v>
          </cell>
          <cell r="F1165">
            <v>50</v>
          </cell>
          <cell r="G1165" t="str">
            <v>x</v>
          </cell>
          <cell r="J1165" t="str">
            <v>U1004</v>
          </cell>
        </row>
        <row r="1166">
          <cell r="A1166" t="str">
            <v>U100-500</v>
          </cell>
          <cell r="C1166" t="str">
            <v>Đà U100x46x4.5x500</v>
          </cell>
          <cell r="D1166" t="str">
            <v>cái</v>
          </cell>
          <cell r="E1166" t="str">
            <v>U1</v>
          </cell>
          <cell r="F1166">
            <v>50</v>
          </cell>
          <cell r="G1166" t="str">
            <v>x</v>
          </cell>
          <cell r="H1166">
            <v>500</v>
          </cell>
          <cell r="J1166" t="str">
            <v>U100-500</v>
          </cell>
        </row>
        <row r="1167">
          <cell r="A1167" t="str">
            <v>U100-700</v>
          </cell>
          <cell r="C1167" t="str">
            <v>Đà U100x46x4.5x700</v>
          </cell>
          <cell r="D1167" t="str">
            <v>cái</v>
          </cell>
          <cell r="E1167" t="str">
            <v>U1</v>
          </cell>
          <cell r="F1167">
            <v>50</v>
          </cell>
          <cell r="G1167" t="str">
            <v>x</v>
          </cell>
          <cell r="H1167">
            <v>700</v>
          </cell>
          <cell r="J1167" t="str">
            <v>U100-700</v>
          </cell>
        </row>
        <row r="1168">
          <cell r="A1168" t="str">
            <v>U160-740</v>
          </cell>
          <cell r="C1168" t="str">
            <v>Đà U100x68x5x740</v>
          </cell>
          <cell r="D1168" t="str">
            <v>cái</v>
          </cell>
          <cell r="E1168" t="str">
            <v>U1</v>
          </cell>
          <cell r="F1168">
            <v>50</v>
          </cell>
          <cell r="G1168" t="str">
            <v>x</v>
          </cell>
          <cell r="H1168">
            <v>740</v>
          </cell>
          <cell r="J1168" t="str">
            <v>U160-740</v>
          </cell>
        </row>
        <row r="1169">
          <cell r="A1169" t="str">
            <v>U160-1100</v>
          </cell>
          <cell r="C1169" t="str">
            <v>Đà U100x68x5x1100</v>
          </cell>
          <cell r="D1169" t="str">
            <v>cái</v>
          </cell>
          <cell r="E1169" t="str">
            <v>U1</v>
          </cell>
          <cell r="F1169">
            <v>50</v>
          </cell>
          <cell r="G1169" t="str">
            <v>x</v>
          </cell>
          <cell r="H1169">
            <v>1100</v>
          </cell>
          <cell r="J1169" t="str">
            <v>U160-1100</v>
          </cell>
        </row>
        <row r="1170">
          <cell r="A1170" t="str">
            <v>U160-1449</v>
          </cell>
          <cell r="C1170" t="str">
            <v>Đà U100x68x5x1449</v>
          </cell>
          <cell r="D1170" t="str">
            <v>cái</v>
          </cell>
          <cell r="E1170" t="str">
            <v>U1</v>
          </cell>
          <cell r="F1170">
            <v>50</v>
          </cell>
          <cell r="G1170" t="str">
            <v>x</v>
          </cell>
          <cell r="H1170">
            <v>1449</v>
          </cell>
          <cell r="J1170" t="str">
            <v>U160-1449</v>
          </cell>
        </row>
        <row r="1171">
          <cell r="A1171" t="str">
            <v>U160-1700</v>
          </cell>
          <cell r="C1171" t="str">
            <v>Đà U100x68x5x1700</v>
          </cell>
          <cell r="D1171" t="str">
            <v>cái</v>
          </cell>
          <cell r="E1171" t="str">
            <v>U1</v>
          </cell>
          <cell r="F1171">
            <v>50</v>
          </cell>
          <cell r="G1171" t="str">
            <v>x</v>
          </cell>
          <cell r="H1171">
            <v>1700</v>
          </cell>
          <cell r="J1171" t="str">
            <v>U160-1700</v>
          </cell>
        </row>
        <row r="1172">
          <cell r="A1172" t="str">
            <v>U160-2100</v>
          </cell>
          <cell r="C1172" t="str">
            <v>Đà U100x68x5x2100</v>
          </cell>
          <cell r="D1172" t="str">
            <v>cái</v>
          </cell>
          <cell r="E1172" t="str">
            <v>U1</v>
          </cell>
          <cell r="F1172">
            <v>50</v>
          </cell>
          <cell r="G1172" t="str">
            <v>x</v>
          </cell>
          <cell r="H1172">
            <v>2100</v>
          </cell>
          <cell r="J1172" t="str">
            <v>U160-2100</v>
          </cell>
        </row>
        <row r="1173">
          <cell r="A1173" t="str">
            <v>XATUTI</v>
          </cell>
          <cell r="B1173" t="str">
            <v>05.6101</v>
          </cell>
          <cell r="C1173" t="str">
            <v>Xà kẹp TU, TI U50x32x4 350</v>
          </cell>
          <cell r="D1173" t="str">
            <v>Bộ</v>
          </cell>
          <cell r="E1173" t="str">
            <v>XA</v>
          </cell>
          <cell r="F1173">
            <v>50</v>
          </cell>
          <cell r="G1173" t="str">
            <v>x</v>
          </cell>
          <cell r="J1173" t="str">
            <v>XATUTI</v>
          </cell>
        </row>
        <row r="1174">
          <cell r="A1174" t="str">
            <v>AK1</v>
          </cell>
          <cell r="C1174" t="str">
            <v xml:space="preserve">Ampe kế 100/5A-600v +AS </v>
          </cell>
          <cell r="D1174" t="str">
            <v>Bộ</v>
          </cell>
          <cell r="E1174" t="str">
            <v>AK</v>
          </cell>
          <cell r="F1174">
            <v>50</v>
          </cell>
          <cell r="G1174" t="str">
            <v>x</v>
          </cell>
          <cell r="J1174" t="str">
            <v>AK1</v>
          </cell>
        </row>
        <row r="1175">
          <cell r="A1175" t="str">
            <v>VK1</v>
          </cell>
          <cell r="C1175" t="str">
            <v>Volt kế 500V + VS + 2xChì ống 1A-230V</v>
          </cell>
          <cell r="D1175" t="str">
            <v>Bộ</v>
          </cell>
          <cell r="E1175" t="str">
            <v>VK</v>
          </cell>
          <cell r="F1175">
            <v>50</v>
          </cell>
          <cell r="G1175" t="str">
            <v>x</v>
          </cell>
          <cell r="J1175" t="str">
            <v>VK1</v>
          </cell>
        </row>
        <row r="1176">
          <cell r="A1176" t="str">
            <v>AVK1</v>
          </cell>
          <cell r="C1176" t="str">
            <v>Bộ Ampe kế + Volt kế (trạm 1 pha)</v>
          </cell>
          <cell r="D1176" t="str">
            <v>Bộ</v>
          </cell>
          <cell r="E1176" t="str">
            <v>AV</v>
          </cell>
          <cell r="F1176">
            <v>50</v>
          </cell>
          <cell r="G1176" t="str">
            <v>x</v>
          </cell>
          <cell r="J1176" t="str">
            <v>AVK1</v>
          </cell>
        </row>
        <row r="1177">
          <cell r="A1177" t="str">
            <v>AVK3</v>
          </cell>
          <cell r="C1177" t="str">
            <v>Bộ Ampe kế + Volt kế (trạm 3 pha)</v>
          </cell>
          <cell r="D1177" t="str">
            <v>Bộ</v>
          </cell>
          <cell r="E1177" t="str">
            <v>AV</v>
          </cell>
          <cell r="F1177">
            <v>50</v>
          </cell>
          <cell r="G1177" t="str">
            <v>x</v>
          </cell>
          <cell r="J1177" t="str">
            <v>AVK3</v>
          </cell>
        </row>
        <row r="1178">
          <cell r="A1178" t="str">
            <v>axetylen</v>
          </cell>
          <cell r="C1178" t="str">
            <v>Hơi Axetylen</v>
          </cell>
          <cell r="D1178" t="str">
            <v>m3</v>
          </cell>
          <cell r="E1178" t="str">
            <v>ax</v>
          </cell>
          <cell r="F1178">
            <v>50</v>
          </cell>
          <cell r="G1178" t="str">
            <v>x</v>
          </cell>
          <cell r="J1178" t="str">
            <v>axetylen</v>
          </cell>
        </row>
        <row r="1179">
          <cell r="A1179" t="str">
            <v>GIP11-11</v>
          </cell>
          <cell r="C1179" t="str">
            <v>Ghíp nối IPC 11-11</v>
          </cell>
          <cell r="D1179" t="str">
            <v>cái</v>
          </cell>
          <cell r="E1179" t="str">
            <v>GI</v>
          </cell>
          <cell r="F1179">
            <v>50</v>
          </cell>
          <cell r="G1179" t="str">
            <v>x</v>
          </cell>
          <cell r="J1179" t="str">
            <v>GIP11-11</v>
          </cell>
        </row>
        <row r="1180">
          <cell r="A1180" t="str">
            <v>GIP22-11</v>
          </cell>
          <cell r="C1180" t="str">
            <v>Ghíp nối IPC 22-11</v>
          </cell>
          <cell r="D1180" t="str">
            <v>cái</v>
          </cell>
          <cell r="E1180" t="str">
            <v>GI</v>
          </cell>
          <cell r="F1180">
            <v>50</v>
          </cell>
          <cell r="G1180" t="str">
            <v>x</v>
          </cell>
          <cell r="J1180" t="str">
            <v>GIP22-11</v>
          </cell>
        </row>
        <row r="1181">
          <cell r="A1181" t="str">
            <v>GIP22-22</v>
          </cell>
          <cell r="C1181" t="str">
            <v>Ghíp nối IPC 22-22</v>
          </cell>
          <cell r="D1181" t="str">
            <v>cái</v>
          </cell>
          <cell r="E1181" t="str">
            <v>GI</v>
          </cell>
          <cell r="F1181">
            <v>50</v>
          </cell>
          <cell r="G1181" t="str">
            <v>x</v>
          </cell>
          <cell r="J1181" t="str">
            <v>GIP22-22</v>
          </cell>
        </row>
        <row r="1182">
          <cell r="A1182" t="str">
            <v>GIP35-35</v>
          </cell>
          <cell r="C1182" t="str">
            <v>Ghíp nối IPC 35-35</v>
          </cell>
          <cell r="D1182" t="str">
            <v>cái</v>
          </cell>
          <cell r="E1182" t="str">
            <v>GI</v>
          </cell>
          <cell r="F1182">
            <v>50</v>
          </cell>
          <cell r="G1182" t="str">
            <v>x</v>
          </cell>
          <cell r="J1182" t="str">
            <v>GIP35-35</v>
          </cell>
        </row>
        <row r="1183">
          <cell r="A1183" t="str">
            <v>GIP50-25</v>
          </cell>
          <cell r="C1183" t="str">
            <v>Ghíp nối IPC 50-25 1 bulong</v>
          </cell>
          <cell r="D1183" t="str">
            <v>cái</v>
          </cell>
          <cell r="E1183" t="str">
            <v>GI</v>
          </cell>
          <cell r="F1183">
            <v>50</v>
          </cell>
          <cell r="G1183" t="str">
            <v>x</v>
          </cell>
          <cell r="J1183" t="str">
            <v>GIP50-25</v>
          </cell>
        </row>
        <row r="1184">
          <cell r="A1184" t="str">
            <v>GIP50-35</v>
          </cell>
          <cell r="C1184" t="str">
            <v>Ghíp nối IPC 50-35</v>
          </cell>
          <cell r="D1184" t="str">
            <v>cái</v>
          </cell>
          <cell r="E1184" t="str">
            <v>GI</v>
          </cell>
          <cell r="F1184">
            <v>50</v>
          </cell>
          <cell r="G1184" t="str">
            <v>x</v>
          </cell>
          <cell r="J1184" t="str">
            <v>GIP50-35</v>
          </cell>
        </row>
        <row r="1185">
          <cell r="A1185" t="str">
            <v>GIP70-35</v>
          </cell>
          <cell r="C1185" t="str">
            <v>Ghíp nối IPC 70-35</v>
          </cell>
          <cell r="D1185" t="str">
            <v>cái</v>
          </cell>
          <cell r="E1185" t="str">
            <v>GI</v>
          </cell>
          <cell r="F1185">
            <v>50</v>
          </cell>
          <cell r="G1185" t="str">
            <v>x</v>
          </cell>
          <cell r="J1185" t="str">
            <v>GIP70-35</v>
          </cell>
        </row>
        <row r="1186">
          <cell r="A1186" t="str">
            <v>GIP95-25</v>
          </cell>
          <cell r="C1186" t="str">
            <v>Ghíp nối IPC 95-25 (2 bulong)</v>
          </cell>
          <cell r="D1186" t="str">
            <v>cái</v>
          </cell>
          <cell r="E1186" t="str">
            <v>GI</v>
          </cell>
          <cell r="F1186">
            <v>50</v>
          </cell>
          <cell r="G1186" t="str">
            <v>x</v>
          </cell>
          <cell r="J1186" t="str">
            <v>GIP95-25</v>
          </cell>
        </row>
        <row r="1187">
          <cell r="A1187" t="str">
            <v>GIP95-35</v>
          </cell>
          <cell r="C1187" t="str">
            <v>Ghíp nối IPC 95-35</v>
          </cell>
          <cell r="D1187" t="str">
            <v>cái</v>
          </cell>
          <cell r="E1187" t="str">
            <v>GI</v>
          </cell>
          <cell r="F1187">
            <v>50</v>
          </cell>
          <cell r="G1187" t="str">
            <v>x</v>
          </cell>
          <cell r="J1187" t="str">
            <v>GIP95-35</v>
          </cell>
        </row>
        <row r="1188">
          <cell r="A1188" t="str">
            <v>GIP120-35</v>
          </cell>
          <cell r="C1188" t="str">
            <v>Ghíp nối IPC 120-35</v>
          </cell>
          <cell r="D1188" t="str">
            <v>cái</v>
          </cell>
          <cell r="E1188" t="str">
            <v>GI</v>
          </cell>
          <cell r="F1188">
            <v>50</v>
          </cell>
          <cell r="G1188" t="str">
            <v>x</v>
          </cell>
          <cell r="J1188" t="str">
            <v>GIP120-35</v>
          </cell>
        </row>
        <row r="1189">
          <cell r="A1189" t="str">
            <v>GIP50-50</v>
          </cell>
          <cell r="C1189" t="str">
            <v>Ghíp nối IPC 50-50 1 bulong</v>
          </cell>
          <cell r="D1189" t="str">
            <v>cái</v>
          </cell>
          <cell r="E1189" t="str">
            <v>GI</v>
          </cell>
          <cell r="F1189">
            <v>50</v>
          </cell>
          <cell r="G1189" t="str">
            <v>x</v>
          </cell>
          <cell r="J1189" t="str">
            <v>GIP50-50</v>
          </cell>
        </row>
        <row r="1190">
          <cell r="A1190" t="str">
            <v>GIP70-50</v>
          </cell>
          <cell r="C1190" t="str">
            <v>Ghíp nối IPC 70-50 1 bulong</v>
          </cell>
          <cell r="D1190" t="str">
            <v>cái</v>
          </cell>
          <cell r="E1190" t="str">
            <v>GI</v>
          </cell>
          <cell r="F1190">
            <v>50</v>
          </cell>
          <cell r="G1190" t="str">
            <v>x</v>
          </cell>
          <cell r="J1190" t="str">
            <v>GIP70-50</v>
          </cell>
        </row>
        <row r="1191">
          <cell r="A1191" t="str">
            <v>GIP95-50</v>
          </cell>
          <cell r="C1191" t="str">
            <v>Ghíp nối IPC 95-50 1 bulong</v>
          </cell>
          <cell r="D1191" t="str">
            <v>cái</v>
          </cell>
          <cell r="E1191" t="str">
            <v>GI</v>
          </cell>
          <cell r="F1191">
            <v>50</v>
          </cell>
          <cell r="G1191" t="str">
            <v>x</v>
          </cell>
          <cell r="J1191" t="str">
            <v>GIP95-50</v>
          </cell>
        </row>
        <row r="1192">
          <cell r="A1192" t="str">
            <v>GIP120-50</v>
          </cell>
          <cell r="C1192" t="str">
            <v>Ghíp nối IPC 120-50</v>
          </cell>
          <cell r="D1192" t="str">
            <v>cái</v>
          </cell>
          <cell r="E1192" t="str">
            <v>GI</v>
          </cell>
          <cell r="F1192">
            <v>50</v>
          </cell>
          <cell r="G1192" t="str">
            <v>x</v>
          </cell>
          <cell r="J1192" t="str">
            <v>GIP120-50</v>
          </cell>
        </row>
        <row r="1193">
          <cell r="A1193" t="str">
            <v>GIP150-50</v>
          </cell>
          <cell r="C1193" t="str">
            <v>Ghíp nối IPC 150-50</v>
          </cell>
          <cell r="D1193" t="str">
            <v>cái</v>
          </cell>
          <cell r="E1193" t="str">
            <v>GI</v>
          </cell>
          <cell r="F1193">
            <v>50</v>
          </cell>
          <cell r="G1193" t="str">
            <v>x</v>
          </cell>
          <cell r="J1193" t="str">
            <v>GIP150-50</v>
          </cell>
        </row>
        <row r="1194">
          <cell r="A1194" t="str">
            <v>GIP70-70</v>
          </cell>
          <cell r="C1194" t="str">
            <v>Ghíp nối IPC 70-70</v>
          </cell>
          <cell r="D1194" t="str">
            <v>cái</v>
          </cell>
          <cell r="E1194" t="str">
            <v>GI</v>
          </cell>
          <cell r="F1194">
            <v>50</v>
          </cell>
          <cell r="G1194" t="str">
            <v>x</v>
          </cell>
          <cell r="J1194" t="str">
            <v>GIP70-70</v>
          </cell>
        </row>
        <row r="1195">
          <cell r="A1195" t="str">
            <v>GIP95-70</v>
          </cell>
          <cell r="C1195" t="str">
            <v>Ghíp nối IPC 95-70</v>
          </cell>
          <cell r="D1195" t="str">
            <v>cái</v>
          </cell>
          <cell r="E1195" t="str">
            <v>GI</v>
          </cell>
          <cell r="F1195">
            <v>50</v>
          </cell>
          <cell r="G1195" t="str">
            <v>x</v>
          </cell>
          <cell r="J1195" t="str">
            <v>GIP95-70</v>
          </cell>
        </row>
        <row r="1196">
          <cell r="A1196" t="str">
            <v>GIP120-70</v>
          </cell>
          <cell r="C1196" t="str">
            <v>Ghíp nối IPC 120-70</v>
          </cell>
          <cell r="D1196" t="str">
            <v>cái</v>
          </cell>
          <cell r="E1196" t="str">
            <v>GI</v>
          </cell>
          <cell r="F1196">
            <v>50</v>
          </cell>
          <cell r="G1196" t="str">
            <v>x</v>
          </cell>
          <cell r="J1196" t="str">
            <v>GIP120-70</v>
          </cell>
        </row>
        <row r="1197">
          <cell r="A1197" t="str">
            <v>GIP150-70</v>
          </cell>
          <cell r="C1197" t="str">
            <v>Ghíp nối IPC 150-70</v>
          </cell>
          <cell r="D1197" t="str">
            <v>cái</v>
          </cell>
          <cell r="E1197" t="str">
            <v>GI</v>
          </cell>
          <cell r="F1197">
            <v>50</v>
          </cell>
          <cell r="G1197" t="str">
            <v>x</v>
          </cell>
          <cell r="J1197" t="str">
            <v>GIP150-70</v>
          </cell>
        </row>
        <row r="1198">
          <cell r="A1198" t="str">
            <v>GIP95-95</v>
          </cell>
          <cell r="C1198" t="str">
            <v>Ghíp nối IPC 95-95</v>
          </cell>
          <cell r="D1198" t="str">
            <v>cái</v>
          </cell>
          <cell r="E1198" t="str">
            <v>GI</v>
          </cell>
          <cell r="F1198">
            <v>50</v>
          </cell>
          <cell r="G1198" t="str">
            <v>x</v>
          </cell>
          <cell r="J1198" t="str">
            <v>GIP95-95</v>
          </cell>
        </row>
        <row r="1199">
          <cell r="A1199" t="str">
            <v>GIP95-120</v>
          </cell>
          <cell r="C1199" t="str">
            <v>Ghíp nối IPC 95-120</v>
          </cell>
          <cell r="D1199" t="str">
            <v>cái</v>
          </cell>
          <cell r="E1199" t="str">
            <v>GI</v>
          </cell>
          <cell r="F1199">
            <v>50</v>
          </cell>
          <cell r="G1199" t="str">
            <v>x</v>
          </cell>
          <cell r="J1199" t="str">
            <v>GIP95-120</v>
          </cell>
        </row>
        <row r="1200">
          <cell r="A1200" t="str">
            <v>GIP95-150</v>
          </cell>
          <cell r="C1200" t="str">
            <v>Ghíp nối IPC 95-150</v>
          </cell>
          <cell r="D1200" t="str">
            <v>cái</v>
          </cell>
          <cell r="E1200" t="str">
            <v>GI</v>
          </cell>
          <cell r="F1200">
            <v>50</v>
          </cell>
          <cell r="G1200" t="str">
            <v>x</v>
          </cell>
          <cell r="J1200" t="str">
            <v>GIP95-150</v>
          </cell>
        </row>
        <row r="1201">
          <cell r="A1201" t="str">
            <v>KQDUPLEX35</v>
          </cell>
          <cell r="B1201" t="str">
            <v>06.7003</v>
          </cell>
          <cell r="C1201" t="str">
            <v>Kéo dây quadruplex CV-4x35-0.6/1kV</v>
          </cell>
          <cell r="D1201" t="str">
            <v>km</v>
          </cell>
          <cell r="E1201" t="str">
            <v>KQ</v>
          </cell>
          <cell r="F1201">
            <v>50</v>
          </cell>
          <cell r="J1201" t="str">
            <v>KQDUPLEX35</v>
          </cell>
        </row>
        <row r="1202">
          <cell r="A1202" t="str">
            <v>KQDUPLEX22</v>
          </cell>
          <cell r="B1202" t="str">
            <v>06.7002</v>
          </cell>
          <cell r="C1202" t="str">
            <v>Kéo dây quadruplex CV-4x22-0.6/1kV</v>
          </cell>
          <cell r="D1202" t="str">
            <v>km</v>
          </cell>
          <cell r="E1202" t="str">
            <v>KQ</v>
          </cell>
          <cell r="F1202">
            <v>50</v>
          </cell>
          <cell r="J1202" t="str">
            <v>KQDUPLEX22</v>
          </cell>
        </row>
        <row r="1203">
          <cell r="A1203" t="str">
            <v>KQDUPLEX16</v>
          </cell>
          <cell r="B1203" t="str">
            <v>06.7001</v>
          </cell>
          <cell r="C1203" t="str">
            <v>Kéo dây quadruplex CV-4x16-0.6/1kV</v>
          </cell>
          <cell r="D1203" t="str">
            <v>km</v>
          </cell>
          <cell r="E1203" t="str">
            <v>KQ</v>
          </cell>
          <cell r="F1203">
            <v>50</v>
          </cell>
          <cell r="J1203" t="str">
            <v>KQDUPLEX16</v>
          </cell>
        </row>
        <row r="1204">
          <cell r="A1204" t="str">
            <v>KQDUPLEX14</v>
          </cell>
          <cell r="B1204" t="str">
            <v>06.7001</v>
          </cell>
          <cell r="C1204" t="str">
            <v>Kéo dây quadruplex CV-4x14-0.6/1kV</v>
          </cell>
          <cell r="D1204" t="str">
            <v>km</v>
          </cell>
          <cell r="E1204" t="str">
            <v>KQ</v>
          </cell>
          <cell r="F1204">
            <v>50</v>
          </cell>
          <cell r="J1204" t="str">
            <v>KQDUPLEX14</v>
          </cell>
        </row>
        <row r="1205">
          <cell r="A1205" t="str">
            <v>KQDUPLEX11</v>
          </cell>
          <cell r="B1205" t="str">
            <v>06.7001</v>
          </cell>
          <cell r="C1205" t="str">
            <v>Kéo dây quadruplex CV-4x11-0.6/1kV</v>
          </cell>
          <cell r="D1205" t="str">
            <v>km</v>
          </cell>
          <cell r="E1205" t="str">
            <v>KQ</v>
          </cell>
          <cell r="F1205">
            <v>50</v>
          </cell>
          <cell r="J1205" t="str">
            <v>KQDUPLEX11</v>
          </cell>
        </row>
        <row r="1206">
          <cell r="A1206" t="str">
            <v>KTriplex16</v>
          </cell>
          <cell r="B1206" t="str">
            <v>06.7001</v>
          </cell>
          <cell r="C1206" t="str">
            <v>Kéo dây triplex CV-3x16-0.6/1kV</v>
          </cell>
          <cell r="D1206" t="str">
            <v>km</v>
          </cell>
          <cell r="E1206" t="str">
            <v>KT</v>
          </cell>
          <cell r="F1206">
            <v>50</v>
          </cell>
          <cell r="J1206" t="str">
            <v>KTriplex16</v>
          </cell>
        </row>
        <row r="1207">
          <cell r="A1207" t="str">
            <v>KDUPLEX11</v>
          </cell>
          <cell r="B1207" t="str">
            <v>06.7001</v>
          </cell>
          <cell r="C1207" t="str">
            <v>Kéo dây duplex CV-2x11-0.6/1kV</v>
          </cell>
          <cell r="D1207" t="str">
            <v>km</v>
          </cell>
          <cell r="E1207" t="str">
            <v>KD</v>
          </cell>
          <cell r="F1207">
            <v>50</v>
          </cell>
          <cell r="J1207" t="str">
            <v>KDUPLEX11</v>
          </cell>
        </row>
        <row r="1208">
          <cell r="A1208" t="str">
            <v>Diabaohieu</v>
          </cell>
          <cell r="C1208" t="str">
            <v>Đĩa sứ trắng báo hiệu cáp ngầm</v>
          </cell>
          <cell r="D1208" t="str">
            <v>cái</v>
          </cell>
          <cell r="E1208" t="str">
            <v>Di</v>
          </cell>
          <cell r="F1208">
            <v>50</v>
          </cell>
          <cell r="G1208" t="str">
            <v>x</v>
          </cell>
          <cell r="J1208" t="str">
            <v>Diabaohieu</v>
          </cell>
        </row>
        <row r="1209">
          <cell r="A1209" t="str">
            <v>Denbao</v>
          </cell>
          <cell r="C1209" t="str">
            <v>Đèn báo hiệu pha 5W-220V</v>
          </cell>
          <cell r="D1209" t="str">
            <v>cái</v>
          </cell>
          <cell r="E1209" t="str">
            <v>De</v>
          </cell>
          <cell r="F1209">
            <v>50</v>
          </cell>
          <cell r="G1209" t="str">
            <v>x</v>
          </cell>
          <cell r="J1209" t="str">
            <v>Denbao</v>
          </cell>
        </row>
        <row r="1210">
          <cell r="A1210" t="str">
            <v>Đơn giá chiếu sáng</v>
          </cell>
          <cell r="E1210" t="str">
            <v>Đơ</v>
          </cell>
          <cell r="F1210">
            <v>50</v>
          </cell>
          <cell r="G1210" t="str">
            <v>x</v>
          </cell>
          <cell r="J1210" t="str">
            <v>Đơn giá chiếu sáng</v>
          </cell>
        </row>
        <row r="1211">
          <cell r="A1211" t="str">
            <v>TUDKCS</v>
          </cell>
          <cell r="B1211" t="str">
            <v>CS4.09.021</v>
          </cell>
          <cell r="C1211" t="str">
            <v>Tủ điều khiển chiếu sáng</v>
          </cell>
          <cell r="D1211" t="str">
            <v>cái</v>
          </cell>
          <cell r="E1211" t="str">
            <v>TU</v>
          </cell>
          <cell r="F1211">
            <v>50</v>
          </cell>
          <cell r="G1211" t="str">
            <v>x</v>
          </cell>
          <cell r="J1211" t="str">
            <v>TUDKCS</v>
          </cell>
        </row>
        <row r="1212">
          <cell r="A1212" t="str">
            <v>TRTHEP6</v>
          </cell>
          <cell r="C1212" t="str">
            <v>Trụ thép tròn cao 6 mét</v>
          </cell>
          <cell r="D1212" t="str">
            <v>trụ</v>
          </cell>
          <cell r="E1212" t="str">
            <v>TR</v>
          </cell>
          <cell r="F1212">
            <v>16</v>
          </cell>
          <cell r="G1212" t="str">
            <v>x</v>
          </cell>
          <cell r="J1212" t="str">
            <v>TRTHEP6</v>
          </cell>
        </row>
        <row r="1213">
          <cell r="A1213" t="str">
            <v>TRTHEP7</v>
          </cell>
          <cell r="C1213" t="str">
            <v>Trụ thép tròn cao 7 mét</v>
          </cell>
          <cell r="D1213" t="str">
            <v>trụ</v>
          </cell>
          <cell r="E1213" t="str">
            <v>TR</v>
          </cell>
          <cell r="F1213">
            <v>16</v>
          </cell>
          <cell r="G1213" t="str">
            <v>x</v>
          </cell>
          <cell r="J1213" t="str">
            <v>TRTHEP7</v>
          </cell>
        </row>
        <row r="1214">
          <cell r="A1214" t="str">
            <v>D12 CS</v>
          </cell>
          <cell r="B1214" t="str">
            <v>04.3801</v>
          </cell>
          <cell r="C1214" t="str">
            <v>Đà cản BTCT 1,2m (Nhân công đã qui đổi sang ĐG chiếu sáng)</v>
          </cell>
          <cell r="D1214" t="str">
            <v>cái</v>
          </cell>
          <cell r="E1214" t="str">
            <v>D1</v>
          </cell>
          <cell r="F1214">
            <v>50</v>
          </cell>
          <cell r="G1214" t="str">
            <v>x</v>
          </cell>
          <cell r="J1214" t="str">
            <v>D12 CS</v>
          </cell>
        </row>
        <row r="1215">
          <cell r="A1215" t="str">
            <v>CDDON</v>
          </cell>
          <cell r="C1215" t="str">
            <v>Cần đèn STK D60 đơn cao 2m vươn 1,5m nghiêng 15 độ</v>
          </cell>
          <cell r="D1215" t="str">
            <v>cần</v>
          </cell>
          <cell r="E1215" t="str">
            <v>CD</v>
          </cell>
          <cell r="F1215">
            <v>50</v>
          </cell>
          <cell r="G1215" t="str">
            <v>x</v>
          </cell>
          <cell r="J1215" t="str">
            <v>CDDON</v>
          </cell>
        </row>
        <row r="1216">
          <cell r="A1216" t="str">
            <v>CDDOI</v>
          </cell>
          <cell r="C1216" t="str">
            <v>Cần đèn STK D60 đôi cao 2m vươn 1,5m nghiêng 15 độ</v>
          </cell>
          <cell r="D1216" t="str">
            <v>cần</v>
          </cell>
          <cell r="E1216" t="str">
            <v>CD</v>
          </cell>
          <cell r="F1216">
            <v>50</v>
          </cell>
          <cell r="G1216" t="str">
            <v>x</v>
          </cell>
          <cell r="J1216" t="str">
            <v>CDDOI</v>
          </cell>
        </row>
        <row r="1217">
          <cell r="A1217" t="str">
            <v>CD-Sonadezi</v>
          </cell>
          <cell r="C1217" t="str">
            <v>Cần đèn STK D60 đơn cao 1,7m vươn 2,8m (CĐT cung cấp)</v>
          </cell>
          <cell r="D1217" t="str">
            <v>cần</v>
          </cell>
          <cell r="E1217" t="str">
            <v>CD</v>
          </cell>
          <cell r="F1217">
            <v>50</v>
          </cell>
          <cell r="G1217" t="str">
            <v>x</v>
          </cell>
          <cell r="J1217" t="str">
            <v>CD-Sonadezi</v>
          </cell>
        </row>
        <row r="1218">
          <cell r="A1218" t="str">
            <v>CDDON+C</v>
          </cell>
          <cell r="C1218" t="str">
            <v>Cần đèn STK D60 đơn cao 1m vươn 1,8m nghiêng 15 độ + chụp đầu trụ</v>
          </cell>
          <cell r="D1218" t="str">
            <v>cần</v>
          </cell>
          <cell r="E1218" t="str">
            <v>CD</v>
          </cell>
          <cell r="F1218">
            <v>50</v>
          </cell>
          <cell r="G1218" t="str">
            <v>x</v>
          </cell>
          <cell r="J1218" t="str">
            <v>CDDON+C</v>
          </cell>
        </row>
        <row r="1219">
          <cell r="A1219" t="str">
            <v>CDDOI+C</v>
          </cell>
          <cell r="C1219" t="str">
            <v>Cần đèn STK D60 đôi cao 1m vươn 1,8m nghiêng 15 độ + chụp đầu trụ</v>
          </cell>
          <cell r="D1219" t="str">
            <v>cần</v>
          </cell>
          <cell r="E1219" t="str">
            <v>CD</v>
          </cell>
          <cell r="F1219">
            <v>50</v>
          </cell>
          <cell r="G1219" t="str">
            <v>x</v>
          </cell>
          <cell r="J1219" t="str">
            <v>CDDOI+C</v>
          </cell>
        </row>
        <row r="1220">
          <cell r="A1220" t="str">
            <v>CDBA</v>
          </cell>
          <cell r="C1220" t="str">
            <v>Cần đèn STK D60 ba cao 1mét vươn 1,8 mét góc nghiêng 15 độ</v>
          </cell>
          <cell r="D1220" t="str">
            <v>cần</v>
          </cell>
          <cell r="E1220" t="str">
            <v>CD</v>
          </cell>
          <cell r="F1220">
            <v>50</v>
          </cell>
          <cell r="G1220" t="str">
            <v>x</v>
          </cell>
          <cell r="J1220" t="str">
            <v>CDBA</v>
          </cell>
        </row>
        <row r="1221">
          <cell r="A1221" t="str">
            <v>DEN</v>
          </cell>
          <cell r="C1221" t="str">
            <v>Choá đèn 73FS 10 + bóng OSAM-250W + tụ điện + ballast</v>
          </cell>
          <cell r="D1221" t="str">
            <v>bộ</v>
          </cell>
          <cell r="E1221" t="str">
            <v>DE</v>
          </cell>
          <cell r="F1221">
            <v>50</v>
          </cell>
          <cell r="G1221" t="str">
            <v>x</v>
          </cell>
          <cell r="J1221" t="str">
            <v>DEN</v>
          </cell>
        </row>
        <row r="1222">
          <cell r="A1222" t="str">
            <v>DEN-sonadezi</v>
          </cell>
          <cell r="C1222" t="str">
            <v>Choá đèn + bóng 250W (CĐT cung cấp)</v>
          </cell>
          <cell r="D1222" t="str">
            <v>bộ</v>
          </cell>
          <cell r="E1222" t="str">
            <v>DE</v>
          </cell>
          <cell r="F1222">
            <v>50</v>
          </cell>
          <cell r="G1222" t="str">
            <v>x</v>
          </cell>
          <cell r="J1222" t="str">
            <v>DEN-sonadezi</v>
          </cell>
        </row>
        <row r="1223">
          <cell r="A1223" t="str">
            <v>CHI5</v>
          </cell>
          <cell r="C1223" t="str">
            <v>Cầu chì nhựa trong nhà 5A+ chì 5A</v>
          </cell>
          <cell r="D1223" t="str">
            <v>cái</v>
          </cell>
          <cell r="E1223" t="str">
            <v>CH</v>
          </cell>
          <cell r="F1223">
            <v>50</v>
          </cell>
          <cell r="G1223" t="str">
            <v>x</v>
          </cell>
          <cell r="J1223" t="str">
            <v>CHI5</v>
          </cell>
        </row>
        <row r="1224">
          <cell r="A1224" t="str">
            <v>DOMINO</v>
          </cell>
          <cell r="C1224" t="str">
            <v>Đômino đấu nối trong trụ đèn</v>
          </cell>
          <cell r="D1224" t="str">
            <v>cái</v>
          </cell>
          <cell r="E1224" t="str">
            <v>DO</v>
          </cell>
          <cell r="F1224">
            <v>50</v>
          </cell>
          <cell r="G1224" t="str">
            <v>x</v>
          </cell>
          <cell r="J1224" t="str">
            <v>DOMINO</v>
          </cell>
        </row>
        <row r="1225">
          <cell r="E1225" t="str">
            <v/>
          </cell>
          <cell r="F1225">
            <v>50</v>
          </cell>
          <cell r="J1225">
            <v>0</v>
          </cell>
        </row>
        <row r="1226">
          <cell r="A1226" t="str">
            <v>LCAN+C</v>
          </cell>
          <cell r="B1226" t="str">
            <v>CS3.02.011</v>
          </cell>
          <cell r="C1226" t="str">
            <v>Lắp cần đèn +  chụp đầu cột hạ thế ≤ 10,5m</v>
          </cell>
          <cell r="D1226" t="str">
            <v>cái</v>
          </cell>
          <cell r="E1226" t="str">
            <v>LC</v>
          </cell>
          <cell r="F1226">
            <v>2000</v>
          </cell>
          <cell r="J1226" t="str">
            <v>LCAN+C</v>
          </cell>
        </row>
        <row r="1227">
          <cell r="A1227" t="str">
            <v>LCAN2,8</v>
          </cell>
          <cell r="B1227" t="str">
            <v>CS3.03.011</v>
          </cell>
          <cell r="C1227" t="str">
            <v>Lắp cần đèn D60 ≤ 2,8m</v>
          </cell>
          <cell r="D1227" t="str">
            <v>cần</v>
          </cell>
          <cell r="E1227" t="str">
            <v>LC</v>
          </cell>
          <cell r="F1227">
            <v>2000</v>
          </cell>
          <cell r="J1227" t="str">
            <v>LCAN2,8</v>
          </cell>
        </row>
        <row r="1228">
          <cell r="A1228" t="str">
            <v>LCAN3,2</v>
          </cell>
          <cell r="B1228" t="str">
            <v>CS3.03.012</v>
          </cell>
          <cell r="C1228" t="str">
            <v>Lắp cần đèn D60 ≤ 3,2m</v>
          </cell>
          <cell r="D1228" t="str">
            <v>cần</v>
          </cell>
          <cell r="E1228" t="str">
            <v>LC</v>
          </cell>
          <cell r="F1228">
            <v>2000</v>
          </cell>
          <cell r="J1228" t="str">
            <v>LCAN3,2</v>
          </cell>
        </row>
        <row r="1229">
          <cell r="A1229" t="str">
            <v>LTD-DEN</v>
          </cell>
          <cell r="B1229" t="str">
            <v>CS3.07.023</v>
          </cell>
          <cell r="C1229" t="str">
            <v>Lắp dây tiếp địa CS</v>
          </cell>
          <cell r="D1229" t="str">
            <v>mét</v>
          </cell>
          <cell r="E1229" t="str">
            <v>LT</v>
          </cell>
          <cell r="F1229">
            <v>2000</v>
          </cell>
          <cell r="J1229" t="str">
            <v>LTD-DEN</v>
          </cell>
        </row>
        <row r="1230">
          <cell r="A1230" t="str">
            <v>LDEN</v>
          </cell>
          <cell r="B1230" t="str">
            <v>CS3.05.001</v>
          </cell>
          <cell r="C1230" t="str">
            <v>Lắp chóa đèn chiếu sáng ≤ 12m</v>
          </cell>
          <cell r="D1230" t="str">
            <v>bộ</v>
          </cell>
          <cell r="E1230" t="str">
            <v>LD</v>
          </cell>
          <cell r="F1230">
            <v>2000</v>
          </cell>
          <cell r="J1230" t="str">
            <v>LDEN</v>
          </cell>
        </row>
        <row r="1231">
          <cell r="A1231" t="str">
            <v>LTRUDEN</v>
          </cell>
          <cell r="B1231" t="str">
            <v>CS3.01.013</v>
          </cell>
          <cell r="C1231" t="str">
            <v>Lắp trụ thép ≤ 8m bằng thủ công</v>
          </cell>
          <cell r="D1231" t="str">
            <v>trụ</v>
          </cell>
          <cell r="E1231" t="str">
            <v>LT</v>
          </cell>
          <cell r="F1231">
            <v>2000</v>
          </cell>
          <cell r="J1231" t="str">
            <v>LTRUDEN</v>
          </cell>
        </row>
        <row r="1232">
          <cell r="A1232" t="str">
            <v>LBTLT</v>
          </cell>
          <cell r="B1232" t="str">
            <v>CS3.01.021</v>
          </cell>
          <cell r="C1232" t="str">
            <v>Lắp trụ BTLT ≤ 10m bằng cơ giới</v>
          </cell>
          <cell r="D1232" t="str">
            <v>trụ</v>
          </cell>
          <cell r="E1232" t="str">
            <v>LB</v>
          </cell>
          <cell r="F1232">
            <v>2000</v>
          </cell>
          <cell r="J1232" t="str">
            <v>LBTLT</v>
          </cell>
        </row>
        <row r="1233">
          <cell r="A1233" t="str">
            <v>LUONDAY</v>
          </cell>
          <cell r="B1233" t="str">
            <v>CS4.08.010</v>
          </cell>
          <cell r="C1233" t="str">
            <v>Luồn dây lên đèn</v>
          </cell>
          <cell r="D1233" t="str">
            <v>mét</v>
          </cell>
          <cell r="E1233" t="str">
            <v>LU</v>
          </cell>
          <cell r="F1233">
            <v>2000</v>
          </cell>
          <cell r="J1233" t="str">
            <v>LUONDAY</v>
          </cell>
        </row>
        <row r="1234">
          <cell r="A1234" t="str">
            <v>KCAPDEN</v>
          </cell>
          <cell r="B1234" t="str">
            <v>CS4.02.011</v>
          </cell>
          <cell r="C1234" t="str">
            <v>Kéo rải cáp chiếu sáng D&lt;25</v>
          </cell>
          <cell r="D1234" t="str">
            <v>mét</v>
          </cell>
          <cell r="E1234" t="str">
            <v>KC</v>
          </cell>
          <cell r="F1234">
            <v>2000</v>
          </cell>
          <cell r="J1234" t="str">
            <v>KCAPDEN</v>
          </cell>
        </row>
        <row r="1235">
          <cell r="A1235" t="str">
            <v>KCAPDEN25</v>
          </cell>
          <cell r="B1235" t="str">
            <v>CS4.02.021</v>
          </cell>
          <cell r="C1235" t="str">
            <v>Kéo rải cáp chiếu sáng D&gt;25</v>
          </cell>
          <cell r="D1235" t="str">
            <v>mét</v>
          </cell>
          <cell r="E1235" t="str">
            <v>KC</v>
          </cell>
          <cell r="F1235">
            <v>2000</v>
          </cell>
          <cell r="J1235" t="str">
            <v>KCAPDEN25</v>
          </cell>
        </row>
        <row r="1236">
          <cell r="A1236" t="str">
            <v>LCAPDEN</v>
          </cell>
          <cell r="B1236" t="str">
            <v>CS4.04.010</v>
          </cell>
          <cell r="C1236" t="str">
            <v>Lắp rải cáp ngầm chiếu sáng</v>
          </cell>
          <cell r="D1236" t="str">
            <v>mét</v>
          </cell>
          <cell r="E1236" t="str">
            <v>LC</v>
          </cell>
          <cell r="F1236">
            <v>2000</v>
          </cell>
          <cell r="J1236" t="str">
            <v>LCAPDEN</v>
          </cell>
        </row>
        <row r="1237">
          <cell r="A1237" t="str">
            <v>LDAUCAPCS</v>
          </cell>
          <cell r="B1237" t="str">
            <v>CS4.03.010</v>
          </cell>
          <cell r="C1237" t="str">
            <v>Lắp đầu cáp ngầm chiếu sáng</v>
          </cell>
          <cell r="D1237" t="str">
            <v>bộ</v>
          </cell>
          <cell r="E1237" t="str">
            <v>LD</v>
          </cell>
          <cell r="F1237">
            <v>2000</v>
          </cell>
          <cell r="J1237" t="str">
            <v>LDAUCAPCS</v>
          </cell>
        </row>
        <row r="1238">
          <cell r="A1238" t="str">
            <v>Lcauchi</v>
          </cell>
          <cell r="B1238" t="str">
            <v>CS4.03.020</v>
          </cell>
          <cell r="C1238" t="str">
            <v>Lắp cầu chì đuôi cá</v>
          </cell>
          <cell r="D1238" t="str">
            <v>cái</v>
          </cell>
          <cell r="E1238" t="str">
            <v>Lc</v>
          </cell>
          <cell r="F1238">
            <v>2000</v>
          </cell>
          <cell r="J1238" t="str">
            <v>Lcauchi</v>
          </cell>
        </row>
        <row r="1239">
          <cell r="A1239" t="str">
            <v>LPVC60CL CS</v>
          </cell>
          <cell r="B1239" t="str">
            <v>07,2404</v>
          </cell>
          <cell r="C1239" t="str">
            <v>Lắp ống PVC D60 (Nhân công đã qui đổi về ĐG chiếu sáng)</v>
          </cell>
          <cell r="D1239" t="str">
            <v>mét</v>
          </cell>
          <cell r="E1239" t="str">
            <v>LP</v>
          </cell>
          <cell r="F1239">
            <v>2000</v>
          </cell>
          <cell r="J1239" t="str">
            <v>LPVC60CL CS</v>
          </cell>
        </row>
        <row r="1240">
          <cell r="A1240" t="str">
            <v>LPVC90CL CS</v>
          </cell>
          <cell r="B1240" t="str">
            <v>07,2406</v>
          </cell>
          <cell r="C1240" t="str">
            <v>Lắp ống PVC D90 (Nhân công đã qui đổi về ĐG chiếu sáng)</v>
          </cell>
          <cell r="D1240" t="str">
            <v>mét</v>
          </cell>
          <cell r="E1240" t="str">
            <v>LP</v>
          </cell>
          <cell r="F1240">
            <v>2000</v>
          </cell>
          <cell r="J1240" t="str">
            <v>LPVC90CL CS</v>
          </cell>
        </row>
        <row r="1241">
          <cell r="A1241" t="str">
            <v>LSTK120d CS</v>
          </cell>
          <cell r="B1241" t="str">
            <v>07.2301</v>
          </cell>
          <cell r="C1241" t="str">
            <v>Lắp ống sắt d&lt;120mm (Nhân công đã qui đổi về ĐG chiếu sáng)</v>
          </cell>
          <cell r="D1241" t="str">
            <v>mét</v>
          </cell>
          <cell r="E1241" t="str">
            <v>LS</v>
          </cell>
          <cell r="F1241">
            <v>2000</v>
          </cell>
          <cell r="J1241" t="str">
            <v>LSTK120d CS</v>
          </cell>
        </row>
        <row r="1242">
          <cell r="A1242" t="str">
            <v>LGACH CS</v>
          </cell>
          <cell r="B1242" t="str">
            <v>07.2104</v>
          </cell>
          <cell r="C1242" t="str">
            <v>Lắp gạch mương CS (Nhân công đã qui đổi về ĐG chiếu sáng)</v>
          </cell>
          <cell r="D1242" t="str">
            <v>viên</v>
          </cell>
          <cell r="E1242" t="str">
            <v>LG</v>
          </cell>
          <cell r="F1242">
            <v>2000</v>
          </cell>
          <cell r="J1242" t="str">
            <v>LGACH CS</v>
          </cell>
        </row>
        <row r="1243">
          <cell r="A1243" t="str">
            <v>DMCS</v>
          </cell>
          <cell r="B1243" t="str">
            <v>CS1.01.160</v>
          </cell>
          <cell r="C1243" t="str">
            <v>Đào đất mương cáp CS</v>
          </cell>
          <cell r="D1243" t="str">
            <v>m3</v>
          </cell>
          <cell r="E1243" t="str">
            <v>DM</v>
          </cell>
          <cell r="F1243">
            <v>2000</v>
          </cell>
          <cell r="J1243" t="str">
            <v>DMCS</v>
          </cell>
        </row>
        <row r="1244">
          <cell r="A1244" t="str">
            <v>DDMCS3</v>
          </cell>
          <cell r="B1244" t="str">
            <v>CS1.02.023</v>
          </cell>
          <cell r="C1244" t="str">
            <v>Đắp đất mương cáp CS đất cấp 3</v>
          </cell>
          <cell r="D1244" t="str">
            <v>m3</v>
          </cell>
          <cell r="E1244" t="str">
            <v>DD</v>
          </cell>
          <cell r="F1244">
            <v>2000</v>
          </cell>
          <cell r="J1244" t="str">
            <v>DDMCS3</v>
          </cell>
        </row>
        <row r="1245">
          <cell r="A1245" t="str">
            <v>DCatMCS</v>
          </cell>
          <cell r="B1245" t="str">
            <v>CS1.02.024</v>
          </cell>
          <cell r="C1245" t="str">
            <v>Đắp cát mương cáp CS</v>
          </cell>
          <cell r="D1245" t="str">
            <v>m3</v>
          </cell>
          <cell r="E1245" t="str">
            <v>DC</v>
          </cell>
          <cell r="F1245">
            <v>2000</v>
          </cell>
          <cell r="J1245" t="str">
            <v>DCatMCS</v>
          </cell>
        </row>
        <row r="1246">
          <cell r="A1246" t="str">
            <v>DMongCS</v>
          </cell>
          <cell r="B1246" t="str">
            <v>CS1.01.140</v>
          </cell>
          <cell r="C1246" t="str">
            <v>Đào móng trụ CS sâu ≤ 1m trên vỉa hè</v>
          </cell>
          <cell r="D1246" t="str">
            <v>m3</v>
          </cell>
          <cell r="E1246" t="str">
            <v>DM</v>
          </cell>
          <cell r="F1246">
            <v>2000</v>
          </cell>
          <cell r="J1246" t="str">
            <v>DMongCS</v>
          </cell>
        </row>
        <row r="1247">
          <cell r="A1247" t="str">
            <v>DMongCS1</v>
          </cell>
          <cell r="B1247" t="str">
            <v>CS1.01.150</v>
          </cell>
          <cell r="C1247" t="str">
            <v>Đào móng trụ CS sâu &gt;1m trên vỉa hè</v>
          </cell>
          <cell r="D1247" t="str">
            <v>m3</v>
          </cell>
          <cell r="E1247" t="str">
            <v>DM</v>
          </cell>
          <cell r="F1247">
            <v>2000</v>
          </cell>
          <cell r="J1247" t="str">
            <v>DMongCS1</v>
          </cell>
        </row>
        <row r="1248">
          <cell r="A1248" t="str">
            <v>DDMongCS3</v>
          </cell>
          <cell r="B1248" t="str">
            <v>CS1.02.013</v>
          </cell>
          <cell r="C1248" t="str">
            <v>Đắp đất móng trụ CS, đất cấp 3</v>
          </cell>
          <cell r="D1248" t="str">
            <v>m3</v>
          </cell>
          <cell r="E1248" t="str">
            <v>DD</v>
          </cell>
          <cell r="F1248">
            <v>2000</v>
          </cell>
          <cell r="J1248" t="str">
            <v>DDMongCS3</v>
          </cell>
        </row>
        <row r="1249">
          <cell r="A1249" t="str">
            <v>DCatMongCS</v>
          </cell>
          <cell r="B1249" t="str">
            <v>CS1.02.014</v>
          </cell>
          <cell r="C1249" t="str">
            <v>Đắp cát móng trụ CS</v>
          </cell>
          <cell r="D1249" t="str">
            <v>m3</v>
          </cell>
          <cell r="E1249" t="str">
            <v>DC</v>
          </cell>
          <cell r="F1249">
            <v>2000</v>
          </cell>
          <cell r="J1249" t="str">
            <v>DCatMongCS</v>
          </cell>
        </row>
        <row r="1250">
          <cell r="A1250" t="str">
            <v>DongCTD</v>
          </cell>
          <cell r="B1250" t="str">
            <v>CS3.07.012</v>
          </cell>
          <cell r="C1250" t="str">
            <v>Đóng cọc tiếp địa hệ thống CS</v>
          </cell>
          <cell r="D1250" t="str">
            <v>cọc</v>
          </cell>
          <cell r="E1250" t="str">
            <v>Do</v>
          </cell>
          <cell r="F1250">
            <v>2000</v>
          </cell>
          <cell r="J1250" t="str">
            <v>DongCTD</v>
          </cell>
        </row>
        <row r="1251">
          <cell r="A1251" t="str">
            <v>DBTM150CS</v>
          </cell>
          <cell r="B1251" t="str">
            <v>CS2.01.011</v>
          </cell>
          <cell r="C1251" t="str">
            <v>Đổ bêtông móng trụ M150 &lt;=250cm</v>
          </cell>
          <cell r="D1251" t="str">
            <v>m3</v>
          </cell>
          <cell r="E1251" t="str">
            <v>DB</v>
          </cell>
          <cell r="F1251">
            <v>2000</v>
          </cell>
          <cell r="J1251" t="str">
            <v>DBTM150CS</v>
          </cell>
        </row>
        <row r="1252">
          <cell r="A1252" t="str">
            <v>DBT20012CS</v>
          </cell>
          <cell r="B1252" t="str">
            <v>04.3323</v>
          </cell>
          <cell r="C1252" t="str">
            <v>Đổ betông M200 đá 1x2 (Nhân công đã qui đổi về ĐG chiếu sáng)</v>
          </cell>
          <cell r="D1252" t="str">
            <v>m3</v>
          </cell>
          <cell r="E1252" t="str">
            <v>DB</v>
          </cell>
          <cell r="F1252">
            <v>2000</v>
          </cell>
          <cell r="J1252" t="str">
            <v>DBT20012CS</v>
          </cell>
        </row>
        <row r="1253">
          <cell r="A1253" t="str">
            <v>HopCBpd</v>
          </cell>
          <cell r="B1253" t="str">
            <v>06.3231</v>
          </cell>
          <cell r="C1253" t="str">
            <v>Hộp phân đoạn MCCB 3 cực 400V-125A - 30KA</v>
          </cell>
          <cell r="D1253" t="str">
            <v>hộp</v>
          </cell>
          <cell r="E1253" t="str">
            <v>Ho</v>
          </cell>
          <cell r="F1253">
            <v>50</v>
          </cell>
          <cell r="G1253" t="str">
            <v>x</v>
          </cell>
          <cell r="J1253" t="str">
            <v>HopCBpd</v>
          </cell>
        </row>
        <row r="1254">
          <cell r="A1254" t="str">
            <v>CCĐMBA</v>
          </cell>
          <cell r="C1254" t="str">
            <v>Chụp cách điện đầu cực MBA</v>
          </cell>
          <cell r="D1254" t="str">
            <v>cái</v>
          </cell>
          <cell r="E1254" t="str">
            <v>CC</v>
          </cell>
          <cell r="F1254">
            <v>50</v>
          </cell>
          <cell r="G1254" t="str">
            <v>x</v>
          </cell>
          <cell r="J1254" t="str">
            <v>CCĐMBA</v>
          </cell>
        </row>
        <row r="1255">
          <cell r="A1255" t="str">
            <v>CCĐfco</v>
          </cell>
          <cell r="C1255" t="str">
            <v>Chụp cách điện đầu cực FCO (trên + dưới)</v>
          </cell>
          <cell r="D1255" t="str">
            <v>bộ</v>
          </cell>
          <cell r="E1255" t="str">
            <v>CC</v>
          </cell>
          <cell r="F1255">
            <v>50</v>
          </cell>
          <cell r="G1255" t="str">
            <v>x</v>
          </cell>
          <cell r="J1255" t="str">
            <v>CCĐfco</v>
          </cell>
        </row>
        <row r="1256">
          <cell r="A1256" t="str">
            <v>CCĐLA</v>
          </cell>
          <cell r="C1256" t="str">
            <v>Chụp cách điện đầu cực LA</v>
          </cell>
          <cell r="D1256" t="str">
            <v>cái</v>
          </cell>
          <cell r="E1256" t="str">
            <v>CC</v>
          </cell>
          <cell r="F1256">
            <v>50</v>
          </cell>
          <cell r="G1256" t="str">
            <v>x</v>
          </cell>
          <cell r="J1256" t="str">
            <v>CCĐLA</v>
          </cell>
        </row>
        <row r="1257">
          <cell r="A1257" t="str">
            <v>CCDQU</v>
          </cell>
          <cell r="C1257" t="str">
            <v>Chụp cách điện kẹp quai</v>
          </cell>
          <cell r="D1257" t="str">
            <v>cái</v>
          </cell>
          <cell r="E1257" t="str">
            <v>CC</v>
          </cell>
          <cell r="F1257">
            <v>50</v>
          </cell>
          <cell r="G1257" t="str">
            <v>x</v>
          </cell>
          <cell r="J1257" t="str">
            <v>CCDQU</v>
          </cell>
        </row>
        <row r="1258">
          <cell r="A1258" t="str">
            <v>TDLLCD</v>
          </cell>
          <cell r="C1258" t="str">
            <v>Bộ tiếp địa cố định cáp ABC</v>
          </cell>
          <cell r="D1258" t="str">
            <v>bộ</v>
          </cell>
          <cell r="E1258" t="str">
            <v>TD</v>
          </cell>
          <cell r="F1258">
            <v>50</v>
          </cell>
          <cell r="G1258" t="str">
            <v>x</v>
          </cell>
          <cell r="J1258" t="str">
            <v>TDLLCD</v>
          </cell>
        </row>
        <row r="1259">
          <cell r="A1259" t="str">
            <v>PK</v>
          </cell>
          <cell r="B1259" t="str">
            <v>02.1421</v>
          </cell>
          <cell r="C1259" t="str">
            <v>V/c phụ kiện vào vị trí (cự ly &lt;=100m)</v>
          </cell>
          <cell r="D1259" t="str">
            <v>tấn</v>
          </cell>
          <cell r="E1259" t="str">
            <v>PK</v>
          </cell>
          <cell r="F1259">
            <v>2000</v>
          </cell>
          <cell r="J1259" t="str">
            <v>PK</v>
          </cell>
        </row>
        <row r="1260">
          <cell r="A1260" t="str">
            <v>DAY</v>
          </cell>
          <cell r="B1260" t="str">
            <v>02.1441</v>
          </cell>
          <cell r="C1260" t="str">
            <v>V/c dây vào vị trí (cự ly &lt;=100m)</v>
          </cell>
          <cell r="D1260" t="str">
            <v>tấn</v>
          </cell>
          <cell r="E1260" t="str">
            <v>DA</v>
          </cell>
          <cell r="F1260">
            <v>2000</v>
          </cell>
          <cell r="J1260" t="str">
            <v>DAY</v>
          </cell>
        </row>
        <row r="1261">
          <cell r="A1261" t="str">
            <v>DCTC</v>
          </cell>
          <cell r="B1261" t="str">
            <v>02.1482</v>
          </cell>
          <cell r="C1261" t="str">
            <v>V/c dụng cụ thi công vào vị trí (cự ly &lt;=100m)</v>
          </cell>
          <cell r="D1261" t="str">
            <v>tấn</v>
          </cell>
          <cell r="E1261" t="str">
            <v>DC</v>
          </cell>
          <cell r="F1261">
            <v>2000</v>
          </cell>
          <cell r="J1261" t="str">
            <v>DCTC</v>
          </cell>
        </row>
        <row r="1262">
          <cell r="A1262" t="str">
            <v>THEP</v>
          </cell>
          <cell r="B1262" t="str">
            <v>02.1351</v>
          </cell>
          <cell r="C1262" t="str">
            <v>V/c cốt thép ( cự ly &lt;=100m)</v>
          </cell>
          <cell r="D1262" t="str">
            <v>tấn</v>
          </cell>
          <cell r="E1262" t="str">
            <v>TH</v>
          </cell>
          <cell r="F1262">
            <v>2000</v>
          </cell>
          <cell r="J1262" t="str">
            <v>THEP</v>
          </cell>
        </row>
        <row r="1263">
          <cell r="A1263" t="str">
            <v>XIMANG</v>
          </cell>
          <cell r="B1263" t="str">
            <v>02.1211</v>
          </cell>
          <cell r="C1263" t="str">
            <v>V/c xi măng ( cự ly &lt;=100m)</v>
          </cell>
          <cell r="D1263" t="str">
            <v>tấn</v>
          </cell>
          <cell r="E1263" t="str">
            <v>XI</v>
          </cell>
          <cell r="F1263">
            <v>2000</v>
          </cell>
          <cell r="J1263" t="str">
            <v>XIMANG</v>
          </cell>
        </row>
        <row r="1264">
          <cell r="A1264" t="str">
            <v>vcCAT</v>
          </cell>
          <cell r="B1264" t="str">
            <v>02.1231</v>
          </cell>
          <cell r="C1264" t="str">
            <v>V/c cát vàng cự ly &lt;=100m</v>
          </cell>
          <cell r="D1264" t="str">
            <v>m3</v>
          </cell>
          <cell r="E1264" t="str">
            <v>vc</v>
          </cell>
          <cell r="F1264">
            <v>2000</v>
          </cell>
          <cell r="J1264" t="str">
            <v>vcCAT</v>
          </cell>
        </row>
        <row r="1265">
          <cell r="A1265" t="str">
            <v>DADAM</v>
          </cell>
          <cell r="B1265" t="str">
            <v>02.1241</v>
          </cell>
          <cell r="C1265" t="str">
            <v>V/c đá dăm ( cự ly &lt;=100m)</v>
          </cell>
          <cell r="D1265" t="str">
            <v>m3</v>
          </cell>
          <cell r="E1265" t="str">
            <v>DA</v>
          </cell>
          <cell r="F1265">
            <v>2000</v>
          </cell>
          <cell r="J1265" t="str">
            <v>DADAM</v>
          </cell>
        </row>
        <row r="1266">
          <cell r="A1266" t="str">
            <v>DA</v>
          </cell>
          <cell r="B1266" t="str">
            <v>02.1451</v>
          </cell>
          <cell r="C1266" t="str">
            <v>V/c đà cản vào vị trí (cự ly &lt;=100m)</v>
          </cell>
          <cell r="D1266" t="str">
            <v>tấn</v>
          </cell>
          <cell r="E1266" t="str">
            <v>DA</v>
          </cell>
          <cell r="F1266">
            <v>2000</v>
          </cell>
          <cell r="J1266" t="str">
            <v>DA</v>
          </cell>
        </row>
        <row r="1267">
          <cell r="A1267" t="str">
            <v>TD</v>
          </cell>
          <cell r="B1267" t="str">
            <v>02.1351</v>
          </cell>
          <cell r="C1267" t="str">
            <v>V/c tiếp địa vào vị trí ( cự ly &lt;=100m)</v>
          </cell>
          <cell r="D1267" t="str">
            <v>tấn</v>
          </cell>
          <cell r="E1267" t="str">
            <v>TD</v>
          </cell>
          <cell r="F1267">
            <v>2000</v>
          </cell>
          <cell r="J1267" t="str">
            <v>TD</v>
          </cell>
        </row>
        <row r="1268">
          <cell r="A1268" t="str">
            <v>DN</v>
          </cell>
          <cell r="B1268" t="str">
            <v>02.1451</v>
          </cell>
          <cell r="C1268" t="str">
            <v>V/c đế néo vào vị trí (cự ly &lt;=100m)</v>
          </cell>
          <cell r="D1268" t="str">
            <v>tấn</v>
          </cell>
          <cell r="E1268" t="str">
            <v>DN</v>
          </cell>
          <cell r="F1268">
            <v>2000</v>
          </cell>
          <cell r="J1268" t="str">
            <v>DN</v>
          </cell>
        </row>
        <row r="1269">
          <cell r="A1269" t="str">
            <v>vcNX</v>
          </cell>
          <cell r="B1269" t="str">
            <v>02.1421</v>
          </cell>
          <cell r="C1269" t="str">
            <v>V/c neo xòe vào vị trí (cự ly &lt;=100m)</v>
          </cell>
          <cell r="D1269" t="str">
            <v>tấn</v>
          </cell>
          <cell r="E1269" t="str">
            <v>vc</v>
          </cell>
          <cell r="F1269">
            <v>2000</v>
          </cell>
          <cell r="J1269" t="str">
            <v>vcNX</v>
          </cell>
        </row>
        <row r="1270">
          <cell r="A1270" t="str">
            <v>COT</v>
          </cell>
          <cell r="B1270" t="str">
            <v>02.1461</v>
          </cell>
          <cell r="C1270" t="str">
            <v>V/c cột vào vị trí (cự ly &lt;=100m)</v>
          </cell>
          <cell r="D1270" t="str">
            <v>tấn</v>
          </cell>
          <cell r="E1270" t="str">
            <v>CO</v>
          </cell>
          <cell r="F1270">
            <v>2000</v>
          </cell>
          <cell r="J1270" t="str">
            <v>COT</v>
          </cell>
        </row>
        <row r="1271">
          <cell r="A1271" t="str">
            <v>XA</v>
          </cell>
          <cell r="B1271" t="str">
            <v>02.1361</v>
          </cell>
          <cell r="C1271" t="str">
            <v>V/c xà vào vị trí (cư ly &lt;=100m)</v>
          </cell>
          <cell r="D1271" t="str">
            <v>tấn</v>
          </cell>
          <cell r="E1271" t="str">
            <v>XA</v>
          </cell>
          <cell r="F1271">
            <v>2000</v>
          </cell>
          <cell r="J1271" t="str">
            <v>XA</v>
          </cell>
        </row>
        <row r="1272">
          <cell r="A1272" t="str">
            <v>ctram</v>
          </cell>
          <cell r="B1272" t="str">
            <v>02.1411</v>
          </cell>
          <cell r="C1272" t="str">
            <v>V/c cừ tràm 5m ( cự ly &lt;=100m)</v>
          </cell>
          <cell r="D1272" t="str">
            <v>cây</v>
          </cell>
          <cell r="E1272" t="str">
            <v>ct</v>
          </cell>
          <cell r="F1272">
            <v>2000</v>
          </cell>
          <cell r="J1272" t="str">
            <v>ctram</v>
          </cell>
        </row>
        <row r="1273">
          <cell r="J1273">
            <v>0</v>
          </cell>
        </row>
        <row r="1274">
          <cell r="J1274">
            <v>0</v>
          </cell>
        </row>
        <row r="1275">
          <cell r="A1275" t="str">
            <v>M7</v>
          </cell>
          <cell r="C1275" t="str">
            <v>Móng M7</v>
          </cell>
          <cell r="D1275" t="str">
            <v>Móng</v>
          </cell>
          <cell r="F1275">
            <v>2000</v>
          </cell>
          <cell r="J1275" t="str">
            <v>M7</v>
          </cell>
        </row>
        <row r="1276">
          <cell r="A1276" t="str">
            <v>M7a</v>
          </cell>
          <cell r="C1276" t="str">
            <v>Móng M7a</v>
          </cell>
          <cell r="D1276" t="str">
            <v>Móng</v>
          </cell>
          <cell r="F1276">
            <v>2000</v>
          </cell>
          <cell r="J1276" t="str">
            <v>M7a</v>
          </cell>
        </row>
        <row r="1277">
          <cell r="A1277" t="str">
            <v>M7b</v>
          </cell>
          <cell r="C1277" t="str">
            <v>Móng M7b</v>
          </cell>
          <cell r="D1277" t="str">
            <v>Móng</v>
          </cell>
          <cell r="F1277">
            <v>2000</v>
          </cell>
          <cell r="J1277" t="str">
            <v>M7b</v>
          </cell>
        </row>
        <row r="1278">
          <cell r="A1278" t="str">
            <v>M7aa</v>
          </cell>
          <cell r="C1278" t="str">
            <v>Móng M7aa</v>
          </cell>
          <cell r="D1278" t="str">
            <v>Móng</v>
          </cell>
          <cell r="F1278">
            <v>2000</v>
          </cell>
          <cell r="J1278" t="str">
            <v>M7aa</v>
          </cell>
        </row>
        <row r="1279">
          <cell r="A1279" t="str">
            <v>M7ba</v>
          </cell>
          <cell r="C1279" t="str">
            <v>Móng M7ba</v>
          </cell>
          <cell r="D1279" t="str">
            <v>Móng</v>
          </cell>
          <cell r="F1279">
            <v>2000</v>
          </cell>
          <cell r="J1279" t="str">
            <v>M7ba</v>
          </cell>
        </row>
        <row r="1280">
          <cell r="A1280" t="str">
            <v>M7-2a</v>
          </cell>
          <cell r="C1280" t="str">
            <v>Móng M7-2a</v>
          </cell>
          <cell r="D1280" t="str">
            <v>Móng</v>
          </cell>
          <cell r="F1280">
            <v>2000</v>
          </cell>
          <cell r="J1280" t="str">
            <v>M7-2a</v>
          </cell>
        </row>
        <row r="1281">
          <cell r="A1281" t="str">
            <v>M8</v>
          </cell>
          <cell r="C1281" t="str">
            <v>Móng M8</v>
          </cell>
          <cell r="D1281" t="str">
            <v>Móng</v>
          </cell>
          <cell r="F1281">
            <v>2000</v>
          </cell>
          <cell r="J1281" t="str">
            <v>M8</v>
          </cell>
        </row>
        <row r="1282">
          <cell r="A1282" t="str">
            <v>M8a</v>
          </cell>
          <cell r="C1282" t="str">
            <v>Móng M8a</v>
          </cell>
          <cell r="D1282" t="str">
            <v>Móng</v>
          </cell>
          <cell r="F1282">
            <v>2000</v>
          </cell>
          <cell r="J1282" t="str">
            <v>M8a</v>
          </cell>
        </row>
        <row r="1283">
          <cell r="A1283" t="str">
            <v>M8BT Đơn</v>
          </cell>
          <cell r="C1283" t="str">
            <v>Móng bê tông trụ đơn 8,4m</v>
          </cell>
          <cell r="D1283" t="str">
            <v>Móng</v>
          </cell>
          <cell r="F1283">
            <v>2000</v>
          </cell>
          <cell r="J1283" t="str">
            <v>M8BT Đơn</v>
          </cell>
        </row>
        <row r="1284">
          <cell r="A1284" t="str">
            <v>M7BT Đôi</v>
          </cell>
          <cell r="C1284" t="str">
            <v>Móng bê tông trụ đôi 7,5m</v>
          </cell>
          <cell r="D1284" t="str">
            <v>Móng</v>
          </cell>
          <cell r="F1284">
            <v>2000</v>
          </cell>
          <cell r="J1284" t="str">
            <v>M7BT Đôi</v>
          </cell>
        </row>
        <row r="1285">
          <cell r="A1285" t="str">
            <v>M8b</v>
          </cell>
          <cell r="C1285" t="str">
            <v>Móng M8b</v>
          </cell>
          <cell r="D1285" t="str">
            <v>Móng</v>
          </cell>
          <cell r="F1285">
            <v>2000</v>
          </cell>
          <cell r="J1285" t="str">
            <v>M8b</v>
          </cell>
        </row>
        <row r="1286">
          <cell r="A1286" t="str">
            <v>M8aa</v>
          </cell>
          <cell r="C1286" t="str">
            <v>Móng M8aa</v>
          </cell>
          <cell r="D1286" t="str">
            <v>Móng</v>
          </cell>
          <cell r="F1286">
            <v>2000</v>
          </cell>
          <cell r="J1286" t="str">
            <v>M8aa</v>
          </cell>
        </row>
        <row r="1287">
          <cell r="A1287" t="str">
            <v>M8ba</v>
          </cell>
          <cell r="C1287" t="str">
            <v>Móng M8ba</v>
          </cell>
          <cell r="D1287" t="str">
            <v>Móng</v>
          </cell>
          <cell r="F1287">
            <v>2000</v>
          </cell>
          <cell r="J1287" t="str">
            <v>M8ba</v>
          </cell>
        </row>
        <row r="1288">
          <cell r="A1288" t="str">
            <v>M8bb</v>
          </cell>
          <cell r="C1288" t="str">
            <v>Móng M8bb</v>
          </cell>
          <cell r="D1288" t="str">
            <v>Móng</v>
          </cell>
          <cell r="F1288">
            <v>2000</v>
          </cell>
          <cell r="J1288" t="str">
            <v>M8bb</v>
          </cell>
        </row>
        <row r="1289">
          <cell r="A1289" t="str">
            <v>M8-2a</v>
          </cell>
          <cell r="C1289" t="str">
            <v>Móng M8-2a</v>
          </cell>
          <cell r="D1289" t="str">
            <v>Móng</v>
          </cell>
          <cell r="F1289">
            <v>2000</v>
          </cell>
          <cell r="J1289" t="str">
            <v>M8-2a</v>
          </cell>
        </row>
        <row r="1290">
          <cell r="A1290" t="str">
            <v>M10</v>
          </cell>
          <cell r="C1290" t="str">
            <v>Móng M10</v>
          </cell>
          <cell r="D1290" t="str">
            <v>Móng</v>
          </cell>
          <cell r="F1290">
            <v>2000</v>
          </cell>
          <cell r="J1290" t="str">
            <v>M10</v>
          </cell>
        </row>
        <row r="1291">
          <cell r="A1291" t="str">
            <v>M10a</v>
          </cell>
          <cell r="C1291" t="str">
            <v xml:space="preserve">Móng M10a </v>
          </cell>
          <cell r="D1291" t="str">
            <v>Móng</v>
          </cell>
          <cell r="F1291">
            <v>2000</v>
          </cell>
          <cell r="J1291" t="str">
            <v>M10a</v>
          </cell>
        </row>
        <row r="1292">
          <cell r="A1292" t="str">
            <v>M10b</v>
          </cell>
          <cell r="C1292" t="str">
            <v>Móng M10b</v>
          </cell>
          <cell r="D1292" t="str">
            <v>Móng</v>
          </cell>
          <cell r="F1292">
            <v>2000</v>
          </cell>
          <cell r="J1292" t="str">
            <v>M10b</v>
          </cell>
        </row>
        <row r="1293">
          <cell r="A1293" t="str">
            <v>M10BT ĐƠN</v>
          </cell>
          <cell r="C1293" t="str">
            <v>Móng bê tông trụ đơn 10.5m</v>
          </cell>
          <cell r="D1293" t="str">
            <v>Móng</v>
          </cell>
          <cell r="F1293">
            <v>2000</v>
          </cell>
          <cell r="J1293" t="str">
            <v>M10BT ĐƠN</v>
          </cell>
        </row>
        <row r="1294">
          <cell r="A1294" t="str">
            <v>M10aa</v>
          </cell>
          <cell r="C1294" t="str">
            <v>Móng M10aa</v>
          </cell>
          <cell r="D1294" t="str">
            <v>Móng</v>
          </cell>
          <cell r="F1294">
            <v>2000</v>
          </cell>
          <cell r="J1294" t="str">
            <v>M10aa</v>
          </cell>
        </row>
        <row r="1295">
          <cell r="A1295" t="str">
            <v>M10ba</v>
          </cell>
          <cell r="C1295" t="str">
            <v>Móng M10ba</v>
          </cell>
          <cell r="D1295" t="str">
            <v>Móng</v>
          </cell>
          <cell r="F1295">
            <v>2000</v>
          </cell>
          <cell r="J1295" t="str">
            <v>M10ba</v>
          </cell>
        </row>
        <row r="1296">
          <cell r="A1296" t="str">
            <v>M10bb</v>
          </cell>
          <cell r="C1296" t="str">
            <v>Móng M10bb</v>
          </cell>
          <cell r="D1296" t="str">
            <v>Móng</v>
          </cell>
          <cell r="F1296">
            <v>2000</v>
          </cell>
          <cell r="J1296" t="str">
            <v>M10bb</v>
          </cell>
        </row>
        <row r="1297">
          <cell r="A1297" t="str">
            <v>M10-2bn</v>
          </cell>
          <cell r="C1297" t="str">
            <v>Móng M10-2bn</v>
          </cell>
          <cell r="D1297" t="str">
            <v>Móng</v>
          </cell>
          <cell r="F1297">
            <v>2000</v>
          </cell>
          <cell r="J1297" t="str">
            <v>M10-2bn</v>
          </cell>
        </row>
        <row r="1298">
          <cell r="A1298" t="str">
            <v>M10-2a</v>
          </cell>
          <cell r="C1298" t="str">
            <v>Móng M10-2a</v>
          </cell>
          <cell r="D1298" t="str">
            <v>Móng</v>
          </cell>
          <cell r="F1298">
            <v>2000</v>
          </cell>
          <cell r="J1298" t="str">
            <v>M10-2a</v>
          </cell>
        </row>
        <row r="1299">
          <cell r="A1299" t="str">
            <v>M10-2b</v>
          </cell>
          <cell r="C1299" t="str">
            <v>Móng M10-2b</v>
          </cell>
          <cell r="D1299" t="str">
            <v>Móng</v>
          </cell>
          <cell r="F1299">
            <v>2000</v>
          </cell>
          <cell r="J1299" t="str">
            <v>M10-2b</v>
          </cell>
        </row>
        <row r="1300">
          <cell r="A1300" t="str">
            <v>M12</v>
          </cell>
          <cell r="C1300" t="str">
            <v>Móng M12</v>
          </cell>
          <cell r="D1300" t="str">
            <v>Móng</v>
          </cell>
          <cell r="F1300">
            <v>2000</v>
          </cell>
          <cell r="J1300" t="str">
            <v>M12</v>
          </cell>
        </row>
        <row r="1301">
          <cell r="A1301" t="str">
            <v>M12a</v>
          </cell>
          <cell r="C1301" t="str">
            <v>Móng M12a</v>
          </cell>
          <cell r="D1301" t="str">
            <v>Móng</v>
          </cell>
          <cell r="F1301">
            <v>2000</v>
          </cell>
          <cell r="J1301" t="str">
            <v>M12a</v>
          </cell>
        </row>
        <row r="1302">
          <cell r="A1302" t="str">
            <v>M12b</v>
          </cell>
          <cell r="C1302" t="str">
            <v>Móng M12b</v>
          </cell>
          <cell r="D1302" t="str">
            <v>Móng</v>
          </cell>
          <cell r="F1302">
            <v>2000</v>
          </cell>
          <cell r="J1302" t="str">
            <v>M12b</v>
          </cell>
        </row>
        <row r="1303">
          <cell r="A1303" t="str">
            <v>M12aa</v>
          </cell>
          <cell r="C1303" t="str">
            <v>Móng M12aa</v>
          </cell>
          <cell r="D1303" t="str">
            <v>Móng</v>
          </cell>
          <cell r="F1303">
            <v>2000</v>
          </cell>
          <cell r="J1303" t="str">
            <v>M12aa</v>
          </cell>
        </row>
        <row r="1304">
          <cell r="A1304" t="str">
            <v>M12ba</v>
          </cell>
          <cell r="C1304" t="str">
            <v>Móng M12ba</v>
          </cell>
          <cell r="D1304" t="str">
            <v>Móng</v>
          </cell>
          <cell r="F1304">
            <v>2000</v>
          </cell>
          <cell r="J1304" t="str">
            <v>M12ba</v>
          </cell>
        </row>
        <row r="1305">
          <cell r="A1305" t="str">
            <v>M12bb</v>
          </cell>
          <cell r="C1305" t="str">
            <v>Móng M12bb</v>
          </cell>
          <cell r="D1305" t="str">
            <v>Móng</v>
          </cell>
          <cell r="F1305">
            <v>2000</v>
          </cell>
          <cell r="J1305" t="str">
            <v>M12bb</v>
          </cell>
        </row>
        <row r="1306">
          <cell r="A1306" t="str">
            <v>M12-2bn</v>
          </cell>
          <cell r="C1306" t="str">
            <v>Móng M12-2bn</v>
          </cell>
          <cell r="D1306" t="str">
            <v>Móng</v>
          </cell>
          <cell r="F1306">
            <v>2000</v>
          </cell>
          <cell r="J1306" t="str">
            <v>M12-2bn</v>
          </cell>
        </row>
        <row r="1307">
          <cell r="A1307" t="str">
            <v>M12-2a</v>
          </cell>
          <cell r="C1307" t="str">
            <v>Móng M12-2a</v>
          </cell>
          <cell r="D1307" t="str">
            <v>Móng</v>
          </cell>
          <cell r="F1307">
            <v>2000</v>
          </cell>
          <cell r="J1307" t="str">
            <v>M12-2a</v>
          </cell>
        </row>
        <row r="1308">
          <cell r="A1308" t="str">
            <v>M12-2b</v>
          </cell>
          <cell r="C1308" t="str">
            <v>Móng M12-2b</v>
          </cell>
          <cell r="D1308" t="str">
            <v>Móng</v>
          </cell>
          <cell r="F1308">
            <v>2000</v>
          </cell>
          <cell r="J1308" t="str">
            <v>M12-2b</v>
          </cell>
        </row>
        <row r="1309">
          <cell r="A1309" t="str">
            <v>M12b-aa(hh)</v>
          </cell>
          <cell r="C1309" t="str">
            <v>Móng M12b-aa(hh)</v>
          </cell>
          <cell r="D1309" t="str">
            <v>Móng</v>
          </cell>
          <cell r="F1309">
            <v>2000</v>
          </cell>
          <cell r="J1309" t="str">
            <v>M12b-aa(hh)</v>
          </cell>
        </row>
        <row r="1310">
          <cell r="A1310" t="str">
            <v>M12b-2a(hh)</v>
          </cell>
          <cell r="C1310" t="str">
            <v>Móng M12b-2a(hh)</v>
          </cell>
          <cell r="D1310" t="str">
            <v>Móng</v>
          </cell>
          <cell r="F1310">
            <v>2000</v>
          </cell>
          <cell r="J1310" t="str">
            <v>M12b-2a(hh)</v>
          </cell>
        </row>
        <row r="1311">
          <cell r="A1311" t="str">
            <v>M12 PĐ</v>
          </cell>
          <cell r="C1311" t="str">
            <v>Móng M12 phá đá</v>
          </cell>
          <cell r="D1311" t="str">
            <v>Móng</v>
          </cell>
          <cell r="F1311">
            <v>2000</v>
          </cell>
          <cell r="J1311" t="str">
            <v>M12 PĐ</v>
          </cell>
        </row>
        <row r="1312">
          <cell r="A1312" t="str">
            <v>M12BT ĐƠN</v>
          </cell>
          <cell r="C1312" t="str">
            <v>Móng bê tông trụ đơn 12m</v>
          </cell>
          <cell r="D1312" t="str">
            <v>Móng</v>
          </cell>
          <cell r="F1312">
            <v>2000</v>
          </cell>
          <cell r="J1312" t="str">
            <v>M12BT ĐƠN</v>
          </cell>
        </row>
        <row r="1313">
          <cell r="A1313" t="str">
            <v>M12BT ĐÔI</v>
          </cell>
          <cell r="C1313" t="str">
            <v>Móng bê tông trụ đôi 12m</v>
          </cell>
          <cell r="D1313" t="str">
            <v>Móng</v>
          </cell>
          <cell r="F1313">
            <v>2000</v>
          </cell>
          <cell r="J1313" t="str">
            <v>M12BT ĐÔI</v>
          </cell>
        </row>
        <row r="1314">
          <cell r="A1314" t="str">
            <v>M12 CN</v>
          </cell>
          <cell r="C1314" t="str">
            <v>Móng chống ngập nước</v>
          </cell>
          <cell r="D1314" t="str">
            <v>Móng</v>
          </cell>
          <cell r="F1314">
            <v>2000</v>
          </cell>
          <cell r="J1314" t="str">
            <v>M12 CN</v>
          </cell>
        </row>
        <row r="1315">
          <cell r="A1315" t="str">
            <v>M12BT P500</v>
          </cell>
          <cell r="C1315" t="str">
            <v>Móng bê tông trụ đôi 12m tim 500</v>
          </cell>
          <cell r="D1315" t="str">
            <v>Móng</v>
          </cell>
          <cell r="F1315">
            <v>2000</v>
          </cell>
          <cell r="J1315" t="str">
            <v>M12BT P500</v>
          </cell>
        </row>
        <row r="1316">
          <cell r="A1316" t="str">
            <v>M14</v>
          </cell>
          <cell r="C1316" t="str">
            <v>Móng M14</v>
          </cell>
          <cell r="D1316" t="str">
            <v>Móng</v>
          </cell>
          <cell r="F1316">
            <v>2000</v>
          </cell>
          <cell r="J1316" t="str">
            <v>M14</v>
          </cell>
        </row>
        <row r="1317">
          <cell r="A1317" t="str">
            <v>M14a</v>
          </cell>
          <cell r="C1317" t="str">
            <v>Móng M14a</v>
          </cell>
          <cell r="D1317" t="str">
            <v>Móng</v>
          </cell>
          <cell r="F1317">
            <v>2000</v>
          </cell>
          <cell r="J1317" t="str">
            <v>M14a</v>
          </cell>
        </row>
        <row r="1318">
          <cell r="A1318" t="str">
            <v>M14b</v>
          </cell>
          <cell r="C1318" t="str">
            <v>Móng M14b</v>
          </cell>
          <cell r="D1318" t="str">
            <v>Móng</v>
          </cell>
          <cell r="F1318">
            <v>2000</v>
          </cell>
          <cell r="J1318" t="str">
            <v>M14b</v>
          </cell>
        </row>
        <row r="1319">
          <cell r="A1319" t="str">
            <v>M14BT ĐƠN</v>
          </cell>
          <cell r="C1319" t="str">
            <v>Móng bê tông trụ đơn 14m</v>
          </cell>
          <cell r="D1319" t="str">
            <v>Móng</v>
          </cell>
          <cell r="F1319">
            <v>2000</v>
          </cell>
          <cell r="J1319" t="str">
            <v>M14BT ĐƠN</v>
          </cell>
        </row>
        <row r="1320">
          <cell r="A1320" t="str">
            <v>M14aa</v>
          </cell>
          <cell r="C1320" t="str">
            <v>Móng M14aa</v>
          </cell>
          <cell r="D1320" t="str">
            <v>Móng</v>
          </cell>
          <cell r="F1320">
            <v>2000</v>
          </cell>
          <cell r="J1320" t="str">
            <v>M14aa</v>
          </cell>
        </row>
        <row r="1321">
          <cell r="A1321" t="str">
            <v>M14ba</v>
          </cell>
          <cell r="C1321" t="str">
            <v>Móng M14ba</v>
          </cell>
          <cell r="D1321" t="str">
            <v>Móng</v>
          </cell>
          <cell r="F1321">
            <v>2000</v>
          </cell>
          <cell r="J1321" t="str">
            <v>M14ba</v>
          </cell>
        </row>
        <row r="1322">
          <cell r="A1322" t="str">
            <v>M14bb</v>
          </cell>
          <cell r="C1322" t="str">
            <v>Móng M14bb</v>
          </cell>
          <cell r="D1322" t="str">
            <v>Móng</v>
          </cell>
          <cell r="F1322">
            <v>2000</v>
          </cell>
          <cell r="J1322" t="str">
            <v>M14bb</v>
          </cell>
        </row>
        <row r="1323">
          <cell r="A1323" t="str">
            <v>M14-2bn</v>
          </cell>
          <cell r="C1323" t="str">
            <v>Móng M14-2bn</v>
          </cell>
          <cell r="D1323" t="str">
            <v>Móng</v>
          </cell>
          <cell r="F1323">
            <v>2000</v>
          </cell>
          <cell r="J1323" t="str">
            <v>M14-2bn</v>
          </cell>
        </row>
        <row r="1324">
          <cell r="A1324" t="str">
            <v>M14-2a</v>
          </cell>
          <cell r="C1324" t="str">
            <v>Móng M14-2a</v>
          </cell>
          <cell r="D1324" t="str">
            <v>Móng</v>
          </cell>
          <cell r="F1324">
            <v>2000</v>
          </cell>
          <cell r="J1324" t="str">
            <v>M14-2a</v>
          </cell>
        </row>
        <row r="1325">
          <cell r="A1325" t="str">
            <v>M14-2b</v>
          </cell>
          <cell r="C1325" t="str">
            <v>Móng M14-2b</v>
          </cell>
          <cell r="D1325" t="str">
            <v>Móng</v>
          </cell>
          <cell r="F1325">
            <v>2000</v>
          </cell>
          <cell r="J1325" t="str">
            <v>M14-2b</v>
          </cell>
        </row>
        <row r="1326">
          <cell r="A1326" t="str">
            <v>M14-4b</v>
          </cell>
          <cell r="C1326" t="str">
            <v>Móng M14-4b</v>
          </cell>
          <cell r="D1326" t="str">
            <v>Móng</v>
          </cell>
          <cell r="F1326">
            <v>2000</v>
          </cell>
          <cell r="J1326" t="str">
            <v>M14-4b</v>
          </cell>
        </row>
        <row r="1327">
          <cell r="A1327" t="str">
            <v>BTCL-14-500</v>
          </cell>
          <cell r="C1327" t="str">
            <v>Móng BTCL-14-500</v>
          </cell>
          <cell r="D1327" t="str">
            <v>Móng</v>
          </cell>
          <cell r="F1327">
            <v>2000</v>
          </cell>
          <cell r="J1327" t="str">
            <v>BTCL-14-500</v>
          </cell>
        </row>
        <row r="1328">
          <cell r="A1328" t="str">
            <v>M20-4b</v>
          </cell>
          <cell r="C1328" t="str">
            <v>Móng M20-4b</v>
          </cell>
          <cell r="D1328" t="str">
            <v>Móng</v>
          </cell>
          <cell r="F1328">
            <v>2000</v>
          </cell>
          <cell r="J1328" t="str">
            <v>M20-4b</v>
          </cell>
        </row>
        <row r="1329">
          <cell r="A1329" t="str">
            <v>MTUPP</v>
          </cell>
          <cell r="C1329" t="str">
            <v>Móng tủ phân phối hạ thế</v>
          </cell>
          <cell r="D1329" t="str">
            <v>móng</v>
          </cell>
          <cell r="F1329">
            <v>2000</v>
          </cell>
          <cell r="J1329" t="str">
            <v>MTUPP</v>
          </cell>
        </row>
        <row r="1330">
          <cell r="A1330" t="str">
            <v>MTUCS</v>
          </cell>
          <cell r="C1330" t="str">
            <v>Móng tủ điều khiển chiếu sáng</v>
          </cell>
          <cell r="D1330" t="str">
            <v>móng</v>
          </cell>
          <cell r="F1330">
            <v>2000</v>
          </cell>
          <cell r="J1330" t="str">
            <v>MTUCS</v>
          </cell>
        </row>
        <row r="1331">
          <cell r="A1331" t="str">
            <v>TD75</v>
          </cell>
          <cell r="C1331" t="str">
            <v>Tiếp địa lặp lại (trụ 7.5m)</v>
          </cell>
          <cell r="D1331" t="str">
            <v>Bộ</v>
          </cell>
          <cell r="F1331">
            <v>2000</v>
          </cell>
          <cell r="J1331" t="str">
            <v>TD75</v>
          </cell>
        </row>
        <row r="1332">
          <cell r="A1332" t="str">
            <v>TD85</v>
          </cell>
          <cell r="C1332" t="str">
            <v>Tiếp địa lặp lại (trụ 8.4m)</v>
          </cell>
          <cell r="D1332" t="str">
            <v>Bộ</v>
          </cell>
          <cell r="F1332">
            <v>2000</v>
          </cell>
          <cell r="J1332" t="str">
            <v>TD85</v>
          </cell>
        </row>
        <row r="1333">
          <cell r="A1333" t="str">
            <v>TD85ABC</v>
          </cell>
          <cell r="C1333" t="str">
            <v>Tiếp địa lặp lại trụ 7,5m cáp ABC</v>
          </cell>
          <cell r="D1333" t="str">
            <v>Bộ</v>
          </cell>
          <cell r="F1333">
            <v>2000</v>
          </cell>
          <cell r="J1333" t="str">
            <v>TD85ABC</v>
          </cell>
        </row>
        <row r="1334">
          <cell r="A1334" t="str">
            <v>TDTUPP</v>
          </cell>
          <cell r="C1334" t="str">
            <v>Tiếp địa tủ phân phối hạ thế</v>
          </cell>
          <cell r="D1334" t="str">
            <v>Bộ</v>
          </cell>
          <cell r="F1334">
            <v>2000</v>
          </cell>
          <cell r="J1334" t="str">
            <v>TDTUPP</v>
          </cell>
        </row>
        <row r="1335">
          <cell r="A1335" t="str">
            <v>TDTT105</v>
          </cell>
          <cell r="C1335" t="str">
            <v>Tiếp địa lặp lại (trụ 10.5m)</v>
          </cell>
          <cell r="D1335" t="str">
            <v>Bộ</v>
          </cell>
          <cell r="F1335">
            <v>2000</v>
          </cell>
          <cell r="J1335" t="str">
            <v>TDTT105</v>
          </cell>
        </row>
        <row r="1336">
          <cell r="A1336" t="str">
            <v>TDTT12</v>
          </cell>
          <cell r="C1336" t="str">
            <v>Tiếp địa lặp lại (trụ 12m)</v>
          </cell>
          <cell r="D1336" t="str">
            <v>Bộ</v>
          </cell>
          <cell r="F1336">
            <v>2000</v>
          </cell>
          <cell r="J1336" t="str">
            <v>TDTT12</v>
          </cell>
        </row>
        <row r="1337">
          <cell r="A1337" t="str">
            <v>TDLL12</v>
          </cell>
          <cell r="C1337" t="str">
            <v>Tiếp địa lặp lại trụ 12m</v>
          </cell>
          <cell r="D1337" t="str">
            <v>Bộ</v>
          </cell>
          <cell r="F1337">
            <v>2000</v>
          </cell>
          <cell r="J1337" t="str">
            <v>TDLL12</v>
          </cell>
        </row>
        <row r="1338">
          <cell r="A1338" t="str">
            <v>TDDD12</v>
          </cell>
          <cell r="C1338" t="str">
            <v>Tiếp địa trụ recloser và TBA 1 pha</v>
          </cell>
          <cell r="D1338" t="str">
            <v>Bộ</v>
          </cell>
          <cell r="F1338">
            <v>2000</v>
          </cell>
          <cell r="J1338" t="str">
            <v>TDDD12</v>
          </cell>
        </row>
        <row r="1339">
          <cell r="A1339" t="str">
            <v>TDTT14</v>
          </cell>
          <cell r="C1339" t="str">
            <v>Tiếp địa lặp lại (trụ 14m)</v>
          </cell>
          <cell r="D1339" t="str">
            <v>Bộ</v>
          </cell>
          <cell r="F1339">
            <v>2000</v>
          </cell>
          <cell r="J1339" t="str">
            <v>TDTT14</v>
          </cell>
        </row>
        <row r="1340">
          <cell r="A1340" t="str">
            <v>TDTT20</v>
          </cell>
          <cell r="C1340" t="str">
            <v>Tiếp địa lặp lại (trụ 20m)</v>
          </cell>
          <cell r="D1340" t="str">
            <v>Bộ</v>
          </cell>
          <cell r="F1340">
            <v>2000</v>
          </cell>
          <cell r="J1340" t="str">
            <v>TDTT20</v>
          </cell>
        </row>
        <row r="1341">
          <cell r="A1341" t="str">
            <v>TDMT</v>
          </cell>
          <cell r="C1341" t="str">
            <v>Tiếp địa mái tole</v>
          </cell>
          <cell r="D1341" t="str">
            <v>Bộ</v>
          </cell>
          <cell r="F1341">
            <v>2000</v>
          </cell>
          <cell r="J1341" t="str">
            <v>TDMT</v>
          </cell>
        </row>
        <row r="1342">
          <cell r="A1342" t="str">
            <v>TDDD</v>
          </cell>
          <cell r="C1342" t="str">
            <v>Tiếp địa trụ đo đếm</v>
          </cell>
          <cell r="D1342" t="str">
            <v>Bộ</v>
          </cell>
          <cell r="F1342">
            <v>2000</v>
          </cell>
          <cell r="J1342" t="str">
            <v>TDDD</v>
          </cell>
        </row>
        <row r="1343">
          <cell r="A1343" t="str">
            <v>TRUTHEP</v>
          </cell>
          <cell r="C1343" t="str">
            <v>Trụ thép bát giác cao 6m</v>
          </cell>
          <cell r="D1343" t="str">
            <v>Trụ</v>
          </cell>
          <cell r="F1343">
            <v>2000</v>
          </cell>
          <cell r="J1343" t="str">
            <v>TRUTHEP</v>
          </cell>
        </row>
        <row r="1344">
          <cell r="A1344" t="str">
            <v>BTLT 7.5</v>
          </cell>
          <cell r="C1344" t="str">
            <v>Trụ bê tông ly tâm 7.5m</v>
          </cell>
          <cell r="D1344" t="str">
            <v>Trụ</v>
          </cell>
          <cell r="F1344">
            <v>2000</v>
          </cell>
          <cell r="J1344" t="str">
            <v>BTLT 7.5</v>
          </cell>
        </row>
        <row r="1345">
          <cell r="A1345" t="str">
            <v>BTLT 8.5</v>
          </cell>
          <cell r="C1345" t="str">
            <v>Trụ bê tông ly tâm 8.4m</v>
          </cell>
          <cell r="D1345" t="str">
            <v>Trụ</v>
          </cell>
          <cell r="F1345">
            <v>2000</v>
          </cell>
          <cell r="J1345" t="str">
            <v>BTLT 8.5</v>
          </cell>
        </row>
        <row r="1346">
          <cell r="A1346" t="str">
            <v xml:space="preserve">BTLT 8.4 </v>
          </cell>
          <cell r="C1346" t="str">
            <v>Trụ bê tông ly tâm 8.4m không dây tiếp địa</v>
          </cell>
          <cell r="D1346" t="str">
            <v>Trụ</v>
          </cell>
          <cell r="F1346">
            <v>2000</v>
          </cell>
          <cell r="J1346" t="str">
            <v xml:space="preserve">BTLT 8.4 </v>
          </cell>
        </row>
        <row r="1347">
          <cell r="A1347" t="str">
            <v>BTLT 8.4TD</v>
          </cell>
          <cell r="C1347" t="str">
            <v>Trụ bê tông ly tâm 8.4m có dây tiếp địa</v>
          </cell>
          <cell r="D1347" t="str">
            <v>Trụ</v>
          </cell>
          <cell r="F1347">
            <v>2000</v>
          </cell>
          <cell r="J1347" t="str">
            <v>BTLT 8.4TD</v>
          </cell>
        </row>
        <row r="1348">
          <cell r="A1348" t="str">
            <v>N-BTLT 8.4</v>
          </cell>
          <cell r="C1348" t="str">
            <v>Nhổ trụ 8,4m</v>
          </cell>
          <cell r="D1348" t="str">
            <v>Trụ</v>
          </cell>
          <cell r="F1348">
            <v>2000</v>
          </cell>
          <cell r="J1348" t="str">
            <v>N-BTLT 8.4</v>
          </cell>
        </row>
        <row r="1349">
          <cell r="A1349" t="str">
            <v>N-T-BTLT 8.4</v>
          </cell>
          <cell r="C1349" t="str">
            <v>Nhổ và trồng trụ 8,4m</v>
          </cell>
          <cell r="D1349" t="str">
            <v>Trụ</v>
          </cell>
          <cell r="F1349">
            <v>2000</v>
          </cell>
          <cell r="J1349" t="str">
            <v>N-T-BTLT 8.4</v>
          </cell>
        </row>
        <row r="1350">
          <cell r="A1350" t="str">
            <v>BTLT 10.5</v>
          </cell>
          <cell r="C1350" t="str">
            <v>Trụ bê tông ly tâm 10.5m</v>
          </cell>
          <cell r="D1350" t="str">
            <v>Trụ</v>
          </cell>
          <cell r="F1350">
            <v>2000</v>
          </cell>
          <cell r="J1350" t="str">
            <v>BTLT 10.5</v>
          </cell>
        </row>
        <row r="1351">
          <cell r="A1351" t="str">
            <v>N-BTLT 10.5</v>
          </cell>
          <cell r="C1351" t="str">
            <v>Nhổ trụ bê tông ly tâm 10.5m</v>
          </cell>
          <cell r="D1351" t="str">
            <v>Trụ</v>
          </cell>
          <cell r="F1351">
            <v>2000</v>
          </cell>
          <cell r="J1351" t="str">
            <v>N-BTLT 10.5</v>
          </cell>
        </row>
        <row r="1352">
          <cell r="A1352" t="str">
            <v>BTLT 12 TC</v>
          </cell>
          <cell r="C1352" t="str">
            <v>Trụ bê tông ly tâm 12m trồng thủ công</v>
          </cell>
          <cell r="D1352" t="str">
            <v>Trụ</v>
          </cell>
          <cell r="F1352">
            <v>2000</v>
          </cell>
          <cell r="J1352" t="str">
            <v>BTLT 12 TC</v>
          </cell>
        </row>
        <row r="1353">
          <cell r="A1353" t="str">
            <v>BTLT 12</v>
          </cell>
          <cell r="C1353" t="str">
            <v>Trụ bê tông ly tâm 12m trồng thủ công+cơ giới</v>
          </cell>
          <cell r="D1353" t="str">
            <v>Trụ</v>
          </cell>
          <cell r="F1353">
            <v>2000</v>
          </cell>
          <cell r="J1353" t="str">
            <v>BTLT 12</v>
          </cell>
        </row>
        <row r="1354">
          <cell r="A1354" t="str">
            <v>BTLT 12 TĐ</v>
          </cell>
          <cell r="C1354" t="str">
            <v>Trụ bê tông ly tâm 12m (tiếp địa có sẵn) trồng thủ công+cơ giới</v>
          </cell>
          <cell r="D1354" t="str">
            <v>Trụ</v>
          </cell>
          <cell r="F1354">
            <v>2000</v>
          </cell>
          <cell r="J1354" t="str">
            <v>BTLT 12 TĐ</v>
          </cell>
        </row>
        <row r="1355">
          <cell r="A1355" t="str">
            <v>BTLT 14</v>
          </cell>
          <cell r="C1355" t="str">
            <v>Trụ bê tông ly tâm 14m</v>
          </cell>
          <cell r="D1355" t="str">
            <v>Trụ</v>
          </cell>
          <cell r="F1355">
            <v>2000</v>
          </cell>
          <cell r="J1355" t="str">
            <v>BTLT 14</v>
          </cell>
        </row>
        <row r="1356">
          <cell r="A1356" t="str">
            <v>BTLT 20</v>
          </cell>
          <cell r="C1356" t="str">
            <v>Trụ bê tông ly tâm 20m</v>
          </cell>
          <cell r="D1356" t="str">
            <v>Trụ</v>
          </cell>
          <cell r="F1356">
            <v>2000</v>
          </cell>
          <cell r="J1356" t="str">
            <v>BTLT 20</v>
          </cell>
        </row>
        <row r="1357">
          <cell r="A1357" t="str">
            <v>X-24COMPOSITE</v>
          </cell>
          <cell r="C1357" t="str">
            <v>Bộ xà composite 2,4m bắt FCO</v>
          </cell>
          <cell r="D1357" t="str">
            <v>Bộ</v>
          </cell>
          <cell r="F1357">
            <v>2000</v>
          </cell>
          <cell r="G1357" t="str">
            <v>x</v>
          </cell>
          <cell r="J1357" t="str">
            <v>X-24COMPOSITE</v>
          </cell>
        </row>
        <row r="1358">
          <cell r="A1358" t="str">
            <v>X-1,66Đ</v>
          </cell>
          <cell r="C1358" t="str">
            <v>Bộ xà đơn L75x75x8 dài 1,66m:  X-1,66Đ</v>
          </cell>
          <cell r="D1358" t="str">
            <v>Bộ</v>
          </cell>
          <cell r="F1358">
            <v>2000</v>
          </cell>
          <cell r="J1358" t="str">
            <v>X-1,66Đ</v>
          </cell>
        </row>
        <row r="1359">
          <cell r="A1359" t="str">
            <v>X-1,66K</v>
          </cell>
          <cell r="C1359" t="str">
            <v>Bộ xà kép L75x75x8 dài 1,66m:  X-1,66K</v>
          </cell>
          <cell r="D1359" t="str">
            <v>Bộ</v>
          </cell>
          <cell r="F1359">
            <v>2000</v>
          </cell>
          <cell r="J1359" t="str">
            <v>X-1,66K</v>
          </cell>
        </row>
        <row r="1360">
          <cell r="A1360" t="str">
            <v>X-22K-Đ</v>
          </cell>
          <cell r="C1360" t="str">
            <v>Bộ xà kép L75x75x8 dài 2.2m: X-22K-Đ - C810 (lắp trụ đơn)</v>
          </cell>
          <cell r="D1360" t="str">
            <v>Bộ</v>
          </cell>
          <cell r="F1360">
            <v>2000</v>
          </cell>
          <cell r="J1360" t="str">
            <v>X-22K-Đ</v>
          </cell>
        </row>
        <row r="1361">
          <cell r="A1361" t="str">
            <v>X-20Đ</v>
          </cell>
          <cell r="C1361" t="str">
            <v>Bộ xà đơn L75x75x8 dài 2m:  X-20Đ</v>
          </cell>
          <cell r="D1361" t="str">
            <v>Bộ</v>
          </cell>
          <cell r="F1361">
            <v>2000</v>
          </cell>
          <cell r="J1361" t="str">
            <v>X-20Đ</v>
          </cell>
        </row>
        <row r="1362">
          <cell r="A1362" t="str">
            <v>X-20K</v>
          </cell>
          <cell r="C1362" t="str">
            <v xml:space="preserve">Bộ xà kép L75x75x8 dài 2m: X-20K </v>
          </cell>
          <cell r="D1362" t="str">
            <v>Bộ</v>
          </cell>
          <cell r="F1362">
            <v>2000</v>
          </cell>
          <cell r="J1362" t="str">
            <v>X-20K</v>
          </cell>
        </row>
        <row r="1363">
          <cell r="A1363" t="str">
            <v>X-22Đ</v>
          </cell>
          <cell r="C1363" t="str">
            <v>Bộ xà đơn L75x75x8 dài 2.2m: X-22Đ - C810</v>
          </cell>
          <cell r="D1363" t="str">
            <v>Bộ</v>
          </cell>
          <cell r="F1363">
            <v>2000</v>
          </cell>
          <cell r="J1363" t="str">
            <v>X-22Đ</v>
          </cell>
        </row>
        <row r="1364">
          <cell r="A1364" t="str">
            <v>X-22Đ - C920</v>
          </cell>
          <cell r="C1364" t="str">
            <v>Bộ xà đơn L75x75x8 dài 2.2m: X-22Đ - C920</v>
          </cell>
          <cell r="D1364" t="str">
            <v>Bộ</v>
          </cell>
          <cell r="F1364">
            <v>2000</v>
          </cell>
          <cell r="J1364" t="str">
            <v>X-22Đ - C920</v>
          </cell>
        </row>
        <row r="1365">
          <cell r="A1365" t="str">
            <v>TL X-21K</v>
          </cell>
          <cell r="C1365" t="str">
            <v xml:space="preserve">Tháo và lắp bộ xà kép L75x75x8 dài 2.1m: X-21K </v>
          </cell>
          <cell r="D1365" t="str">
            <v>Bộ</v>
          </cell>
          <cell r="F1365">
            <v>2000</v>
          </cell>
          <cell r="J1365" t="str">
            <v>TL X-21K</v>
          </cell>
        </row>
        <row r="1366">
          <cell r="A1366" t="str">
            <v>X-22K-K</v>
          </cell>
          <cell r="C1366" t="str">
            <v>Bộ xà kép L75x75x8 dài 2.2m: X-22K-K - C810 (lắp theo hướng trụ ghép)</v>
          </cell>
          <cell r="D1366" t="str">
            <v>Bộ</v>
          </cell>
          <cell r="F1366">
            <v>2000</v>
          </cell>
          <cell r="J1366" t="str">
            <v>X-22K-K</v>
          </cell>
        </row>
        <row r="1367">
          <cell r="A1367" t="str">
            <v>X-22K - C920</v>
          </cell>
          <cell r="C1367" t="str">
            <v>Bộ xà kép L75x75x8 dài 2.2m: X-22K - C920</v>
          </cell>
          <cell r="D1367" t="str">
            <v>Bộ</v>
          </cell>
          <cell r="F1367">
            <v>2000</v>
          </cell>
          <cell r="J1367" t="str">
            <v>X-22K - C920</v>
          </cell>
        </row>
        <row r="1368">
          <cell r="A1368" t="str">
            <v>X-24Đ</v>
          </cell>
          <cell r="C1368" t="str">
            <v xml:space="preserve">Bộ xà đơn L75x75x8 dài 2.4m: X-24Đ </v>
          </cell>
          <cell r="D1368" t="str">
            <v>Bộ</v>
          </cell>
          <cell r="F1368">
            <v>2000</v>
          </cell>
          <cell r="J1368" t="str">
            <v>X-24Đ</v>
          </cell>
        </row>
        <row r="1369">
          <cell r="A1369" t="str">
            <v>X-24K</v>
          </cell>
          <cell r="C1369" t="str">
            <v xml:space="preserve">Bộ xà kép L75x75x8 dài 2.4m: X-24K </v>
          </cell>
          <cell r="D1369" t="str">
            <v>Bộ</v>
          </cell>
          <cell r="F1369">
            <v>2000</v>
          </cell>
          <cell r="J1369" t="str">
            <v>X-24K</v>
          </cell>
        </row>
        <row r="1370">
          <cell r="A1370" t="str">
            <v>TL X-26K</v>
          </cell>
          <cell r="C1370" t="str">
            <v xml:space="preserve">Tháo và lắp bộ xà kép L75x75x8 dài 2.6m: X-26K_trụ PI </v>
          </cell>
          <cell r="D1370" t="str">
            <v>Bộ</v>
          </cell>
          <cell r="F1370">
            <v>2000</v>
          </cell>
          <cell r="J1370" t="str">
            <v>TL X-26K</v>
          </cell>
        </row>
        <row r="1371">
          <cell r="A1371" t="str">
            <v>X-8ĐL</v>
          </cell>
          <cell r="C1371" t="str">
            <v>Bộ xà lệch đơn L75x75x8 dài 0,8m: X-8ĐL</v>
          </cell>
          <cell r="D1371" t="str">
            <v>Bộ</v>
          </cell>
          <cell r="F1371">
            <v>2000</v>
          </cell>
          <cell r="J1371" t="str">
            <v>X-8ĐL</v>
          </cell>
        </row>
        <row r="1372">
          <cell r="A1372" t="str">
            <v>X-8KL</v>
          </cell>
          <cell r="C1372" t="str">
            <v>Bộ xà lệch kép L75x75x8 dài 0,8m: X-8KL</v>
          </cell>
          <cell r="D1372" t="str">
            <v>Bộ</v>
          </cell>
          <cell r="F1372">
            <v>2000</v>
          </cell>
          <cell r="J1372" t="str">
            <v>X-8KL</v>
          </cell>
        </row>
        <row r="1373">
          <cell r="A1373" t="str">
            <v>X-21ĐL</v>
          </cell>
          <cell r="C1373" t="str">
            <v>Bộ xà lệch đơn L75x75x8 dài 2,1m: X-21ĐL</v>
          </cell>
          <cell r="D1373" t="str">
            <v>Bộ</v>
          </cell>
          <cell r="F1373">
            <v>2000</v>
          </cell>
          <cell r="J1373" t="str">
            <v>X-21ĐL</v>
          </cell>
        </row>
        <row r="1374">
          <cell r="A1374" t="str">
            <v>X-21KL</v>
          </cell>
          <cell r="C1374" t="str">
            <v>Bộ xà lệch kép L75x75x8 dài 2,1m: X-21KL</v>
          </cell>
          <cell r="D1374" t="str">
            <v>Bộ</v>
          </cell>
          <cell r="F1374">
            <v>2000</v>
          </cell>
          <cell r="J1374" t="str">
            <v>X-21KL</v>
          </cell>
        </row>
        <row r="1375">
          <cell r="A1375" t="str">
            <v>X-20ĐL2/3</v>
          </cell>
          <cell r="C1375" t="str">
            <v>Bộ xà lệch đơn L75x75x8 dài 2m: X-20ĐL2/3</v>
          </cell>
          <cell r="D1375" t="str">
            <v>Bộ</v>
          </cell>
          <cell r="F1375">
            <v>2000</v>
          </cell>
          <cell r="J1375" t="str">
            <v>X-20ĐL2/3</v>
          </cell>
        </row>
        <row r="1376">
          <cell r="A1376" t="str">
            <v>X-20KL2/3</v>
          </cell>
          <cell r="C1376" t="str">
            <v>Bộ xà lệch kép L75x75x8 dài 2m: X-20KL2/3</v>
          </cell>
          <cell r="D1376" t="str">
            <v>Bộ</v>
          </cell>
          <cell r="F1376">
            <v>2000</v>
          </cell>
          <cell r="J1376" t="str">
            <v>X-20KL2/3</v>
          </cell>
        </row>
        <row r="1377">
          <cell r="A1377" t="str">
            <v>X-24ĐP</v>
          </cell>
          <cell r="C1377" t="str">
            <v>Bộ xà đơn 2400 trụ Pi tim 1400: X-24ĐP</v>
          </cell>
          <cell r="D1377" t="str">
            <v>Bộ</v>
          </cell>
          <cell r="F1377">
            <v>2000</v>
          </cell>
          <cell r="J1377" t="str">
            <v>X-24ĐP</v>
          </cell>
        </row>
        <row r="1378">
          <cell r="A1378" t="str">
            <v>X-24KP</v>
          </cell>
          <cell r="C1378" t="str">
            <v>Bộ xà kép 2400 trụ Pi tim 1400: X-24KP</v>
          </cell>
          <cell r="D1378" t="str">
            <v>Bộ</v>
          </cell>
          <cell r="F1378">
            <v>2000</v>
          </cell>
          <cell r="J1378" t="str">
            <v>X-24KP</v>
          </cell>
        </row>
        <row r="1379">
          <cell r="A1379" t="str">
            <v>X-26ĐP</v>
          </cell>
          <cell r="C1379" t="str">
            <v>Bộ xà đơn 2600 trụ Pi tim 2400: X-26ĐP</v>
          </cell>
          <cell r="D1379" t="str">
            <v>Bộ</v>
          </cell>
          <cell r="F1379">
            <v>2000</v>
          </cell>
          <cell r="J1379" t="str">
            <v>X-26ĐP</v>
          </cell>
        </row>
        <row r="1380">
          <cell r="A1380" t="str">
            <v>X-26KP</v>
          </cell>
          <cell r="C1380" t="str">
            <v>Bộ xà kép 2600 trụ Pi tim 2400: X-26KP</v>
          </cell>
          <cell r="D1380" t="str">
            <v>Bộ</v>
          </cell>
          <cell r="F1380">
            <v>2000</v>
          </cell>
          <cell r="J1380" t="str">
            <v>X-26KP</v>
          </cell>
        </row>
        <row r="1381">
          <cell r="A1381" t="str">
            <v>X-28KP</v>
          </cell>
          <cell r="C1381" t="str">
            <v>Bộ xà kép 2800 trụ Pi tim 1400: X-28KP</v>
          </cell>
          <cell r="D1381" t="str">
            <v>Bộ</v>
          </cell>
          <cell r="F1381">
            <v>2000</v>
          </cell>
          <cell r="J1381" t="str">
            <v>X-28KP</v>
          </cell>
        </row>
        <row r="1382">
          <cell r="A1382" t="str">
            <v>X-30KP</v>
          </cell>
          <cell r="C1382" t="str">
            <v>Bộ xà kép 3000 trụ Pi tim 1400: X-30KP</v>
          </cell>
          <cell r="D1382" t="str">
            <v>Bộ</v>
          </cell>
          <cell r="F1382">
            <v>2000</v>
          </cell>
          <cell r="J1382" t="str">
            <v>X-30KP</v>
          </cell>
        </row>
        <row r="1383">
          <cell r="A1383" t="str">
            <v>X-38Đ</v>
          </cell>
          <cell r="C1383" t="str">
            <v>Bộ xà đỡ đơn L75x75x8 dài 3,8m: X-38Đ</v>
          </cell>
          <cell r="D1383" t="str">
            <v>Bộ</v>
          </cell>
          <cell r="F1383">
            <v>2000</v>
          </cell>
          <cell r="J1383" t="str">
            <v>X-38Đ</v>
          </cell>
        </row>
        <row r="1384">
          <cell r="A1384" t="str">
            <v>X-42KP</v>
          </cell>
          <cell r="C1384" t="str">
            <v>Bộ xà kép 4200 trụ Pi tim 1700: X-42KP</v>
          </cell>
          <cell r="D1384" t="str">
            <v>Bộ</v>
          </cell>
          <cell r="F1384">
            <v>2000</v>
          </cell>
          <cell r="J1384" t="str">
            <v>X-42KP</v>
          </cell>
        </row>
        <row r="1385">
          <cell r="A1385" t="str">
            <v>X-24KP500</v>
          </cell>
          <cell r="C1385" t="str">
            <v>Bộ xà kép 2400 trụ Pi tim 500: X-24KP500</v>
          </cell>
          <cell r="D1385" t="str">
            <v>Bộ</v>
          </cell>
          <cell r="F1385">
            <v>2000</v>
          </cell>
          <cell r="J1385" t="str">
            <v>X-24KP500</v>
          </cell>
        </row>
        <row r="1386">
          <cell r="A1386" t="str">
            <v>G-20KP</v>
          </cell>
          <cell r="C1386" t="str">
            <v>Bộ thanh giằng trụ Pi tim 1400: G-20KP</v>
          </cell>
          <cell r="D1386" t="str">
            <v>Bộ</v>
          </cell>
          <cell r="F1386">
            <v>2000</v>
          </cell>
          <cell r="J1386" t="str">
            <v>G-20KP</v>
          </cell>
        </row>
        <row r="1387">
          <cell r="A1387" t="str">
            <v>G-23KP</v>
          </cell>
          <cell r="C1387" t="str">
            <v>Bộ thanh giằng trụ Pi tim 1700: G-23KP</v>
          </cell>
          <cell r="D1387" t="str">
            <v>Bộ</v>
          </cell>
          <cell r="F1387">
            <v>2000</v>
          </cell>
          <cell r="J1387" t="str">
            <v>G-23KP</v>
          </cell>
        </row>
        <row r="1388">
          <cell r="A1388" t="str">
            <v>G-720</v>
          </cell>
          <cell r="C1388" t="str">
            <v>Bộ thanh giằng trụ Pi tim 500: G-720</v>
          </cell>
          <cell r="D1388" t="str">
            <v>Bộ</v>
          </cell>
          <cell r="F1388">
            <v>2000</v>
          </cell>
          <cell r="J1388" t="str">
            <v>G-720</v>
          </cell>
        </row>
        <row r="1389">
          <cell r="A1389" t="str">
            <v>CODE th-Þ240</v>
          </cell>
          <cell r="C1389" t="str">
            <v>Bộ CODE lắp néo trung hòa: CODE th-Þ240</v>
          </cell>
          <cell r="D1389" t="str">
            <v>Bộ</v>
          </cell>
          <cell r="F1389">
            <v>2000</v>
          </cell>
          <cell r="J1389" t="str">
            <v>CODE th-Þ240</v>
          </cell>
        </row>
        <row r="1390">
          <cell r="A1390" t="str">
            <v>CX-ht</v>
          </cell>
          <cell r="C1390" t="str">
            <v>Bộ chằng xuống đơn cho trụ hạ thế: CX.ht</v>
          </cell>
          <cell r="D1390" t="str">
            <v>Bộ</v>
          </cell>
          <cell r="F1390">
            <v>2000</v>
          </cell>
          <cell r="J1390" t="str">
            <v>CX-ht</v>
          </cell>
        </row>
        <row r="1391">
          <cell r="A1391" t="str">
            <v>T CL-ht</v>
          </cell>
          <cell r="C1391" t="str">
            <v>Tháo bộ chằng lệch đơn cho trụ hạ thế: CL.ht</v>
          </cell>
          <cell r="D1391" t="str">
            <v>Bộ</v>
          </cell>
          <cell r="F1391">
            <v>2000</v>
          </cell>
          <cell r="J1391" t="str">
            <v>T CL-ht</v>
          </cell>
        </row>
        <row r="1392">
          <cell r="A1392" t="str">
            <v>CL-ht</v>
          </cell>
          <cell r="C1392" t="str">
            <v>Bộ chằng lệch đơn cho trụ hạ thế: CL.ht</v>
          </cell>
          <cell r="D1392" t="str">
            <v>Bộ</v>
          </cell>
          <cell r="F1392">
            <v>2000</v>
          </cell>
          <cell r="J1392" t="str">
            <v>CL-ht</v>
          </cell>
        </row>
        <row r="1393">
          <cell r="A1393" t="str">
            <v>CX10-B</v>
          </cell>
          <cell r="C1393" t="str">
            <v>Bộ chằng xuống đơn cho trụ 10,5m: CX10-B</v>
          </cell>
          <cell r="D1393" t="str">
            <v>Bộ</v>
          </cell>
          <cell r="F1393">
            <v>2000</v>
          </cell>
          <cell r="J1393" t="str">
            <v>CX10-B</v>
          </cell>
        </row>
        <row r="1394">
          <cell r="A1394" t="str">
            <v>CL10-B</v>
          </cell>
          <cell r="C1394" t="str">
            <v>Bộ chằng lệch đơn cho trụ 10,5m: CL10-B</v>
          </cell>
          <cell r="D1394" t="str">
            <v>Bộ</v>
          </cell>
          <cell r="F1394">
            <v>2000</v>
          </cell>
          <cell r="J1394" t="str">
            <v>CL10-B</v>
          </cell>
        </row>
        <row r="1395">
          <cell r="A1395" t="str">
            <v>CXX10-B</v>
          </cell>
          <cell r="C1395" t="str">
            <v>Bộ chằng xuống kép cho trụ 10,5m: CXX10-B</v>
          </cell>
          <cell r="D1395" t="str">
            <v>Bộ</v>
          </cell>
          <cell r="F1395">
            <v>2000</v>
          </cell>
          <cell r="J1395" t="str">
            <v>CXX10-B</v>
          </cell>
        </row>
        <row r="1396">
          <cell r="A1396" t="str">
            <v>T CX12-B</v>
          </cell>
          <cell r="C1396" t="str">
            <v>Tháo bộ chằng xuống đơn cho trụ 12m: CX12-B</v>
          </cell>
          <cell r="D1396" t="str">
            <v>Bộ</v>
          </cell>
          <cell r="F1396">
            <v>2000</v>
          </cell>
          <cell r="J1396" t="str">
            <v>T CX12-B</v>
          </cell>
        </row>
        <row r="1397">
          <cell r="A1397" t="str">
            <v>CX12-B</v>
          </cell>
          <cell r="C1397" t="str">
            <v>Bộ chằng xuống đơn cho trụ 12m: CX12-B</v>
          </cell>
          <cell r="D1397" t="str">
            <v>Bộ</v>
          </cell>
          <cell r="F1397">
            <v>2000</v>
          </cell>
          <cell r="J1397" t="str">
            <v>CX12-B</v>
          </cell>
        </row>
        <row r="1398">
          <cell r="A1398" t="str">
            <v>T CL12-B</v>
          </cell>
          <cell r="C1398" t="str">
            <v>Tháo bộ chằng lệch đơn cho trụ 12m: CL12-B</v>
          </cell>
          <cell r="D1398" t="str">
            <v>Bộ</v>
          </cell>
          <cell r="F1398">
            <v>2000</v>
          </cell>
          <cell r="J1398" t="str">
            <v>T CL12-B</v>
          </cell>
        </row>
        <row r="1399">
          <cell r="A1399" t="str">
            <v>CL12-B</v>
          </cell>
          <cell r="C1399" t="str">
            <v>Bộ chằng lệch đơn cho trụ 12m: CL12-B</v>
          </cell>
          <cell r="D1399" t="str">
            <v>Bộ</v>
          </cell>
          <cell r="F1399">
            <v>2000</v>
          </cell>
          <cell r="J1399" t="str">
            <v>CL12-B</v>
          </cell>
        </row>
        <row r="1400">
          <cell r="A1400" t="str">
            <v>CXX12-B</v>
          </cell>
          <cell r="C1400" t="str">
            <v>Bộ chằng xuống kép cho trụ 12m: CXX12-B</v>
          </cell>
          <cell r="D1400" t="str">
            <v>Bộ</v>
          </cell>
          <cell r="F1400">
            <v>2000</v>
          </cell>
          <cell r="J1400" t="str">
            <v>CXX12-B</v>
          </cell>
        </row>
        <row r="1401">
          <cell r="A1401" t="str">
            <v>CX14-B</v>
          </cell>
          <cell r="C1401" t="str">
            <v>Bộ chằng xuống đơn cho trụ 14m: CX14-B</v>
          </cell>
          <cell r="D1401" t="str">
            <v>Bộ</v>
          </cell>
          <cell r="F1401">
            <v>2000</v>
          </cell>
          <cell r="J1401" t="str">
            <v>CX14-B</v>
          </cell>
        </row>
        <row r="1402">
          <cell r="A1402" t="str">
            <v>CL14-B</v>
          </cell>
          <cell r="C1402" t="str">
            <v>Bộ chằng lệch đơn cho trụ 14m: CL14-B</v>
          </cell>
          <cell r="D1402" t="str">
            <v>Bộ</v>
          </cell>
          <cell r="F1402">
            <v>2000</v>
          </cell>
          <cell r="J1402" t="str">
            <v>CL14-B</v>
          </cell>
        </row>
        <row r="1403">
          <cell r="A1403" t="str">
            <v>CXX14-B</v>
          </cell>
          <cell r="C1403" t="str">
            <v>Bộ chằng xuống kép cho trụ 14m: CXX14-B</v>
          </cell>
          <cell r="D1403" t="str">
            <v>Bộ</v>
          </cell>
          <cell r="F1403">
            <v>2000</v>
          </cell>
          <cell r="J1403" t="str">
            <v>CXX14-B</v>
          </cell>
        </row>
        <row r="1404">
          <cell r="A1404" t="str">
            <v>CK-B</v>
          </cell>
          <cell r="C1404" t="str">
            <v>Bộ chằng vượt đơn: CK-B</v>
          </cell>
          <cell r="D1404" t="str">
            <v>Bộ</v>
          </cell>
          <cell r="F1404">
            <v>2000</v>
          </cell>
          <cell r="J1404" t="str">
            <v>CK-B</v>
          </cell>
        </row>
        <row r="1405">
          <cell r="A1405" t="str">
            <v>CKK-B</v>
          </cell>
          <cell r="C1405" t="str">
            <v>Bộ chằng vượt kép: CKK-B</v>
          </cell>
          <cell r="D1405" t="str">
            <v>Bộ</v>
          </cell>
          <cell r="F1405">
            <v>2000</v>
          </cell>
          <cell r="J1405" t="str">
            <v>CKK-B</v>
          </cell>
        </row>
        <row r="1406">
          <cell r="A1406" t="str">
            <v>CX10-C</v>
          </cell>
          <cell r="C1406" t="str">
            <v>Bộ chằng xuống đơn cho trụ 10,5m: CX10-C</v>
          </cell>
          <cell r="D1406" t="str">
            <v>Bộ</v>
          </cell>
          <cell r="F1406">
            <v>2000</v>
          </cell>
          <cell r="J1406" t="str">
            <v>CX10-C</v>
          </cell>
        </row>
        <row r="1407">
          <cell r="A1407" t="str">
            <v>CL10-C</v>
          </cell>
          <cell r="C1407" t="str">
            <v>Bộ chằng lệch đơn cho trụ 10,5m: CL10-C</v>
          </cell>
          <cell r="D1407" t="str">
            <v>Bộ</v>
          </cell>
          <cell r="F1407">
            <v>2000</v>
          </cell>
          <cell r="J1407" t="str">
            <v>CL10-C</v>
          </cell>
        </row>
        <row r="1408">
          <cell r="A1408" t="str">
            <v>CXX10-C</v>
          </cell>
          <cell r="C1408" t="str">
            <v>Bộ chằng xuống kép cho trụ 10,5m: CXX10-C</v>
          </cell>
          <cell r="D1408" t="str">
            <v>Bộ</v>
          </cell>
          <cell r="F1408">
            <v>2000</v>
          </cell>
          <cell r="J1408" t="str">
            <v>CXX10-C</v>
          </cell>
        </row>
        <row r="1409">
          <cell r="A1409" t="str">
            <v>CX12-C</v>
          </cell>
          <cell r="C1409" t="str">
            <v>Bộ chằng xuống đơn cho trụ 12m: CX12-C</v>
          </cell>
          <cell r="D1409" t="str">
            <v>Bộ</v>
          </cell>
          <cell r="F1409">
            <v>2000</v>
          </cell>
          <cell r="J1409" t="str">
            <v>CX12-C</v>
          </cell>
        </row>
        <row r="1410">
          <cell r="A1410" t="str">
            <v>CL12-C</v>
          </cell>
          <cell r="C1410" t="str">
            <v>Bộ chằng lệch đơn cho trụ 12m: CL12-C</v>
          </cell>
          <cell r="D1410" t="str">
            <v>Bộ</v>
          </cell>
          <cell r="F1410">
            <v>2000</v>
          </cell>
          <cell r="J1410" t="str">
            <v>CL12-C</v>
          </cell>
        </row>
        <row r="1411">
          <cell r="A1411" t="str">
            <v>CXX12-C</v>
          </cell>
          <cell r="C1411" t="str">
            <v>Bộ chằng xuống kép cho trụ 12m: CXX12-C</v>
          </cell>
          <cell r="D1411" t="str">
            <v>Bộ</v>
          </cell>
          <cell r="F1411">
            <v>2000</v>
          </cell>
          <cell r="J1411" t="str">
            <v>CXX12-C</v>
          </cell>
        </row>
        <row r="1412">
          <cell r="A1412" t="str">
            <v>CX14-C</v>
          </cell>
          <cell r="C1412" t="str">
            <v>Bộ chằng xuống đơn cho trụ 14m: CX14-C</v>
          </cell>
          <cell r="D1412" t="str">
            <v>Bộ</v>
          </cell>
          <cell r="F1412">
            <v>2000</v>
          </cell>
          <cell r="J1412" t="str">
            <v>CX14-C</v>
          </cell>
        </row>
        <row r="1413">
          <cell r="A1413" t="str">
            <v>CL14-C</v>
          </cell>
          <cell r="C1413" t="str">
            <v>Bộ chằng lệch đơn cho trụ 14m: CL14-C</v>
          </cell>
          <cell r="D1413" t="str">
            <v>Bộ</v>
          </cell>
          <cell r="F1413">
            <v>2000</v>
          </cell>
          <cell r="J1413" t="str">
            <v>CL14-C</v>
          </cell>
        </row>
        <row r="1414">
          <cell r="A1414" t="str">
            <v>CXX14-C</v>
          </cell>
          <cell r="C1414" t="str">
            <v>Bộ chằng xuống kép cho trụ 14m: CXX14-C</v>
          </cell>
          <cell r="D1414" t="str">
            <v>Bộ</v>
          </cell>
          <cell r="F1414">
            <v>2000</v>
          </cell>
          <cell r="J1414" t="str">
            <v>CXX14-C</v>
          </cell>
        </row>
        <row r="1415">
          <cell r="A1415" t="str">
            <v>CX20-C</v>
          </cell>
          <cell r="C1415" t="str">
            <v>Bộ chằng xuống đơn cho trụ 20m: CX20-C</v>
          </cell>
          <cell r="D1415" t="str">
            <v>Bộ</v>
          </cell>
          <cell r="F1415">
            <v>2000</v>
          </cell>
          <cell r="J1415" t="str">
            <v>CX20-C</v>
          </cell>
        </row>
        <row r="1416">
          <cell r="A1416" t="str">
            <v>CK-C</v>
          </cell>
          <cell r="C1416" t="str">
            <v>Bộ chằng vượt đơn: CK-C</v>
          </cell>
          <cell r="D1416" t="str">
            <v>Bộ</v>
          </cell>
          <cell r="F1416">
            <v>2000</v>
          </cell>
          <cell r="J1416" t="str">
            <v>CK-C</v>
          </cell>
        </row>
        <row r="1417">
          <cell r="A1417" t="str">
            <v>CKK-C</v>
          </cell>
          <cell r="C1417" t="str">
            <v>Bộ chằng vượt kép: CKK-C</v>
          </cell>
          <cell r="D1417" t="str">
            <v>Bộ</v>
          </cell>
          <cell r="F1417">
            <v>2000</v>
          </cell>
          <cell r="J1417" t="str">
            <v>CKK-C</v>
          </cell>
        </row>
        <row r="1418">
          <cell r="A1418" t="str">
            <v>NXX</v>
          </cell>
          <cell r="C1418" t="str">
            <v>Bộ móng neo xòe cho chằng xuống: NXX</v>
          </cell>
          <cell r="D1418" t="str">
            <v>Bộ</v>
          </cell>
          <cell r="F1418">
            <v>2000</v>
          </cell>
          <cell r="J1418" t="str">
            <v>NXX</v>
          </cell>
        </row>
        <row r="1419">
          <cell r="A1419" t="str">
            <v>NXL</v>
          </cell>
          <cell r="C1419" t="str">
            <v>Bộ móng neo xòe cho chằng lệch: NXL</v>
          </cell>
          <cell r="D1419" t="str">
            <v>Bộ</v>
          </cell>
          <cell r="F1419">
            <v>2000</v>
          </cell>
          <cell r="J1419" t="str">
            <v>NXL</v>
          </cell>
        </row>
        <row r="1420">
          <cell r="A1420" t="str">
            <v xml:space="preserve">MNX12-2 </v>
          </cell>
          <cell r="C1420" t="str">
            <v>Bộ móng neo 1200x200 cho chằng xuống: MNX12-2</v>
          </cell>
          <cell r="D1420" t="str">
            <v>Bộ</v>
          </cell>
          <cell r="F1420">
            <v>2000</v>
          </cell>
          <cell r="J1420" t="str">
            <v xml:space="preserve">MNX12-2 </v>
          </cell>
        </row>
        <row r="1421">
          <cell r="A1421" t="str">
            <v>MNL12-2</v>
          </cell>
          <cell r="C1421" t="str">
            <v>Bộ móng neo 1200x200 cho chằng lệch: MNL12-2</v>
          </cell>
          <cell r="D1421" t="str">
            <v>Bộ</v>
          </cell>
          <cell r="F1421">
            <v>2000</v>
          </cell>
          <cell r="J1421" t="str">
            <v>MNL12-2</v>
          </cell>
        </row>
        <row r="1422">
          <cell r="A1422" t="str">
            <v xml:space="preserve">MNX12-4 </v>
          </cell>
          <cell r="C1422" t="str">
            <v>Bộ móng neo 1200x400 cho chằng xuống: MNX12-4</v>
          </cell>
          <cell r="D1422" t="str">
            <v>Bộ</v>
          </cell>
          <cell r="F1422">
            <v>2000</v>
          </cell>
          <cell r="J1422" t="str">
            <v xml:space="preserve">MNX12-4 </v>
          </cell>
        </row>
        <row r="1423">
          <cell r="A1423" t="str">
            <v xml:space="preserve">MNL12-4 </v>
          </cell>
          <cell r="C1423" t="str">
            <v>Bộ móng neo 1200x400 cho chằng lệch: MNL12-4</v>
          </cell>
          <cell r="D1423" t="str">
            <v>Bộ</v>
          </cell>
          <cell r="F1423">
            <v>2000</v>
          </cell>
          <cell r="J1423" t="str">
            <v xml:space="preserve">MNL12-4 </v>
          </cell>
        </row>
        <row r="1424">
          <cell r="A1424" t="str">
            <v xml:space="preserve">MNX15-4 </v>
          </cell>
          <cell r="C1424" t="str">
            <v>Bộ móng neo 1500x400 cho chằng xuống: MNX15-4</v>
          </cell>
          <cell r="D1424" t="str">
            <v>Bộ</v>
          </cell>
          <cell r="F1424">
            <v>2000</v>
          </cell>
          <cell r="J1424" t="str">
            <v xml:space="preserve">MNX15-4 </v>
          </cell>
        </row>
        <row r="1425">
          <cell r="A1425" t="str">
            <v>MNL15-4</v>
          </cell>
          <cell r="C1425" t="str">
            <v>Bộ móng neo 1500x400 cho chằng lệch: MNL15-4</v>
          </cell>
          <cell r="D1425" t="str">
            <v>Bộ</v>
          </cell>
          <cell r="F1425">
            <v>2000</v>
          </cell>
          <cell r="J1425" t="str">
            <v>MNL15-4</v>
          </cell>
        </row>
        <row r="1426">
          <cell r="A1426" t="str">
            <v xml:space="preserve">MNX15-6 </v>
          </cell>
          <cell r="C1426" t="str">
            <v>Bộ móng neo 1500x600 cho chằng xuống: MNX15-6</v>
          </cell>
          <cell r="D1426" t="str">
            <v>Bộ</v>
          </cell>
          <cell r="F1426">
            <v>2000</v>
          </cell>
          <cell r="J1426" t="str">
            <v xml:space="preserve">MNX15-6 </v>
          </cell>
        </row>
        <row r="1427">
          <cell r="A1427" t="str">
            <v xml:space="preserve">MNL15-6 </v>
          </cell>
          <cell r="C1427" t="str">
            <v>Bộ móng neo 1500x600 cho chằng lệch: MNL15-6</v>
          </cell>
          <cell r="D1427" t="str">
            <v>Bộ</v>
          </cell>
          <cell r="F1427">
            <v>2000</v>
          </cell>
          <cell r="J1427" t="str">
            <v xml:space="preserve">MNL15-6 </v>
          </cell>
        </row>
        <row r="1428">
          <cell r="A1428" t="str">
            <v>DDTT3P-ct</v>
          </cell>
          <cell r="C1428" t="str">
            <v>Phần trung thế cải tạo</v>
          </cell>
          <cell r="D1428" t="str">
            <v>Tbộ</v>
          </cell>
          <cell r="F1428">
            <v>2000</v>
          </cell>
          <cell r="J1428" t="str">
            <v>DDTT3P-ct</v>
          </cell>
        </row>
        <row r="1429">
          <cell r="A1429" t="str">
            <v>DDTT3P2m-m</v>
          </cell>
          <cell r="C1429" t="str">
            <v>Phân trung thế 3 pha XD mới 2 mạch</v>
          </cell>
          <cell r="D1429" t="str">
            <v>Tbộ</v>
          </cell>
          <cell r="F1429">
            <v>2000</v>
          </cell>
          <cell r="J1429" t="str">
            <v>DDTT3P2m-m</v>
          </cell>
        </row>
        <row r="1430">
          <cell r="A1430" t="str">
            <v>DDTT3P1m-m</v>
          </cell>
          <cell r="C1430" t="str">
            <v>Phần trung thế 3 pha xây dựng mới</v>
          </cell>
          <cell r="D1430" t="str">
            <v>Tbộ</v>
          </cell>
          <cell r="F1430">
            <v>2000</v>
          </cell>
          <cell r="J1430" t="str">
            <v>DDTT3P1m-m</v>
          </cell>
        </row>
        <row r="1431">
          <cell r="A1431" t="str">
            <v>DDTT1P-m</v>
          </cell>
          <cell r="C1431" t="str">
            <v>Phân trung thế 1 pha XD mới</v>
          </cell>
          <cell r="D1431" t="str">
            <v>Tbộ</v>
          </cell>
          <cell r="F1431">
            <v>2000</v>
          </cell>
          <cell r="J1431" t="str">
            <v>DDTT1P-m</v>
          </cell>
        </row>
        <row r="1432">
          <cell r="A1432" t="str">
            <v>DDHTDL</v>
          </cell>
          <cell r="C1432" t="str">
            <v>Phần hạ thế độc lập xây dựng mới</v>
          </cell>
          <cell r="D1432" t="str">
            <v>Tbộ</v>
          </cell>
          <cell r="F1432">
            <v>2000</v>
          </cell>
          <cell r="J1432" t="str">
            <v>DDHTDL</v>
          </cell>
        </row>
        <row r="1433">
          <cell r="A1433" t="str">
            <v>DDHTHH</v>
          </cell>
          <cell r="C1433" t="str">
            <v>Phần hạ thế cải tạo</v>
          </cell>
          <cell r="D1433" t="str">
            <v>Tbộ</v>
          </cell>
          <cell r="F1433">
            <v>2000</v>
          </cell>
          <cell r="J1433" t="str">
            <v>DDHTHH</v>
          </cell>
        </row>
        <row r="1434">
          <cell r="A1434" t="str">
            <v>HTCS</v>
          </cell>
          <cell r="C1434" t="str">
            <v>Phần hạ thế chiếu sáng</v>
          </cell>
          <cell r="D1434" t="str">
            <v>Tbộ</v>
          </cell>
          <cell r="F1434">
            <v>2000</v>
          </cell>
          <cell r="J1434" t="str">
            <v>HTCS</v>
          </cell>
        </row>
        <row r="1435">
          <cell r="A1435" t="str">
            <v>Hotline</v>
          </cell>
          <cell r="C1435" t="str">
            <v>Phần đấu nối HOTLINE</v>
          </cell>
          <cell r="F1435">
            <v>2000</v>
          </cell>
          <cell r="J1435" t="str">
            <v>Hotline</v>
          </cell>
        </row>
        <row r="1436">
          <cell r="A1436" t="str">
            <v>TBDD3pct</v>
          </cell>
          <cell r="C1436" t="str">
            <v>Phần thiết bị đường dây 3 pha cải tạo</v>
          </cell>
          <cell r="F1436">
            <v>2000</v>
          </cell>
          <cell r="J1436" t="str">
            <v>TBDD3pct</v>
          </cell>
        </row>
        <row r="1437">
          <cell r="A1437" t="str">
            <v>TBDD3p2m</v>
          </cell>
          <cell r="C1437" t="str">
            <v>Phần thiết bị đường dây 3 pha XDM 2 mạch</v>
          </cell>
          <cell r="F1437">
            <v>2000</v>
          </cell>
          <cell r="J1437" t="str">
            <v>TBDD3p2m</v>
          </cell>
        </row>
        <row r="1438">
          <cell r="A1438" t="str">
            <v>TBDD3p1m</v>
          </cell>
          <cell r="C1438" t="str">
            <v>Phần thiết bị đường dây 3 pha 1 mạch</v>
          </cell>
          <cell r="F1438">
            <v>2000</v>
          </cell>
          <cell r="J1438" t="str">
            <v>TBDD3p1m</v>
          </cell>
        </row>
        <row r="1439">
          <cell r="A1439" t="str">
            <v>TĐĐ</v>
          </cell>
          <cell r="C1439" t="str">
            <v>Phần vật liệu trụ đo đếm</v>
          </cell>
          <cell r="F1439">
            <v>2000</v>
          </cell>
          <cell r="J1439" t="str">
            <v>TĐĐ</v>
          </cell>
        </row>
        <row r="1440">
          <cell r="A1440" t="str">
            <v>TBDD1p</v>
          </cell>
          <cell r="C1440" t="str">
            <v>Phần thiết bị đường dây trung thế 1 pha XDM</v>
          </cell>
          <cell r="F1440">
            <v>2000</v>
          </cell>
          <cell r="J1440" t="str">
            <v>TBDD1p</v>
          </cell>
        </row>
        <row r="1441">
          <cell r="A1441" t="str">
            <v>TBHT</v>
          </cell>
          <cell r="C1441" t="str">
            <v xml:space="preserve">Phần thiết bị đường dây hạ thế </v>
          </cell>
          <cell r="F1441">
            <v>2000</v>
          </cell>
          <cell r="J1441" t="str">
            <v>TBHT</v>
          </cell>
        </row>
        <row r="1442">
          <cell r="A1442" t="str">
            <v>BBVS</v>
          </cell>
          <cell r="C1442" t="str">
            <v>Phần biển báo vượt sông</v>
          </cell>
          <cell r="F1442">
            <v>2000</v>
          </cell>
          <cell r="J1442" t="str">
            <v>BBVS</v>
          </cell>
        </row>
        <row r="1443">
          <cell r="A1443" t="str">
            <v>CBH9</v>
          </cell>
          <cell r="C1443" t="str">
            <v>Cột báo hiệu cao 9m</v>
          </cell>
          <cell r="D1443" t="str">
            <v>Cột</v>
          </cell>
          <cell r="F1443">
            <v>2000</v>
          </cell>
          <cell r="J1443" t="str">
            <v>CBH9</v>
          </cell>
        </row>
        <row r="1444">
          <cell r="A1444" t="str">
            <v>BBH1212</v>
          </cell>
          <cell r="C1444" t="str">
            <v>Biển báo hiệu 1.2mx1.2m</v>
          </cell>
          <cell r="D1444" t="str">
            <v>Biển</v>
          </cell>
          <cell r="F1444">
            <v>2000</v>
          </cell>
          <cell r="J1444" t="str">
            <v>BBH1212</v>
          </cell>
        </row>
        <row r="1445">
          <cell r="A1445" t="str">
            <v>MCBH1212</v>
          </cell>
          <cell r="C1445" t="str">
            <v>Móng cột báo hiệu 1.2mx1.2m</v>
          </cell>
          <cell r="D1445" t="str">
            <v>Móng</v>
          </cell>
          <cell r="F1445">
            <v>2000</v>
          </cell>
          <cell r="J1445" t="str">
            <v>MCBH1212</v>
          </cell>
        </row>
        <row r="1446">
          <cell r="A1446" t="str">
            <v>Đth-U</v>
          </cell>
          <cell r="C1446" t="str">
            <v>Bộ Uclevis đỡ dây trung hòa: Đth-U</v>
          </cell>
          <cell r="D1446" t="str">
            <v>bộ</v>
          </cell>
          <cell r="F1446">
            <v>2000</v>
          </cell>
          <cell r="J1446" t="str">
            <v>Đth-U</v>
          </cell>
        </row>
        <row r="1447">
          <cell r="A1447" t="str">
            <v>Nth-U</v>
          </cell>
          <cell r="C1447" t="str">
            <v>Bộ Uclevis néo dây trung hòa vào trụ: Nth-U</v>
          </cell>
          <cell r="D1447" t="str">
            <v>bộ</v>
          </cell>
          <cell r="F1447">
            <v>2000</v>
          </cell>
          <cell r="J1447" t="str">
            <v>Nth-U</v>
          </cell>
        </row>
        <row r="1448">
          <cell r="A1448" t="str">
            <v>Nth-T</v>
          </cell>
          <cell r="C1448" t="str">
            <v>Bộ khóa néo dây trung hòa vào trụ: Nth-T</v>
          </cell>
          <cell r="D1448" t="str">
            <v>bộ</v>
          </cell>
          <cell r="F1448">
            <v>2000</v>
          </cell>
          <cell r="J1448" t="str">
            <v>Nth-T</v>
          </cell>
        </row>
        <row r="1449">
          <cell r="A1449" t="str">
            <v>Nth-X</v>
          </cell>
          <cell r="C1449" t="str">
            <v>Bộ khóa néo dây trung hòa vào xà: Nth-X</v>
          </cell>
          <cell r="D1449" t="str">
            <v>bộ</v>
          </cell>
          <cell r="F1449">
            <v>2000</v>
          </cell>
          <cell r="J1449" t="str">
            <v>Nth-X</v>
          </cell>
        </row>
        <row r="1450">
          <cell r="A1450" t="str">
            <v>SĐU</v>
          </cell>
          <cell r="C1450" t="str">
            <v>Bộ cách điện đứng+ty sứ : SĐU</v>
          </cell>
          <cell r="D1450" t="str">
            <v>bộ</v>
          </cell>
          <cell r="E1450" t="str">
            <v>SĐ</v>
          </cell>
          <cell r="F1450">
            <v>2000</v>
          </cell>
          <cell r="J1450" t="str">
            <v>SĐU</v>
          </cell>
        </row>
        <row r="1451">
          <cell r="A1451" t="str">
            <v>SĐI</v>
          </cell>
          <cell r="C1451" t="str">
            <v>Bộ cách điện đỉnh+ty sứ đơn : SĐI</v>
          </cell>
          <cell r="D1451" t="str">
            <v>bộ</v>
          </cell>
          <cell r="F1451">
            <v>2000</v>
          </cell>
          <cell r="J1451" t="str">
            <v>SĐI</v>
          </cell>
        </row>
        <row r="1452">
          <cell r="A1452" t="str">
            <v>SĐG</v>
          </cell>
          <cell r="C1452" t="str">
            <v>Bộ cách điện đỉnh góc + ty sứ đơn : SĐG</v>
          </cell>
          <cell r="D1452" t="str">
            <v>bộ</v>
          </cell>
          <cell r="F1452">
            <v>2000</v>
          </cell>
          <cell r="J1452" t="str">
            <v>SĐG</v>
          </cell>
        </row>
        <row r="1453">
          <cell r="A1453" t="str">
            <v>CĐT 2BAT-T</v>
          </cell>
          <cell r="C1453" t="str">
            <v>Chuỗi sứ treo 2bát 25kV lắp vào trụ : CĐT 2BAT-T</v>
          </cell>
          <cell r="D1453" t="str">
            <v>bộ</v>
          </cell>
          <cell r="F1453">
            <v>2000</v>
          </cell>
          <cell r="J1453" t="str">
            <v>CĐT 2BAT-T</v>
          </cell>
        </row>
        <row r="1454">
          <cell r="A1454" t="str">
            <v>CĐT 2BAT-X</v>
          </cell>
          <cell r="C1454" t="str">
            <v>Chuỗi sứ treo 2bát 24kV lắp vào xà : CĐT 2BAT-X</v>
          </cell>
          <cell r="D1454" t="str">
            <v>bộ</v>
          </cell>
          <cell r="F1454">
            <v>2000</v>
          </cell>
          <cell r="J1454" t="str">
            <v>CĐT 2BAT-X</v>
          </cell>
        </row>
        <row r="1455">
          <cell r="A1455" t="str">
            <v>CĐT ply-X</v>
          </cell>
          <cell r="C1455" t="str">
            <v>Chuỗi sứ treo Polymer 25kV lắp vào xà : CĐT ply-X</v>
          </cell>
          <cell r="D1455" t="str">
            <v>bộ</v>
          </cell>
          <cell r="F1455">
            <v>2000</v>
          </cell>
          <cell r="J1455" t="str">
            <v>CĐT ply-X</v>
          </cell>
        </row>
        <row r="1456">
          <cell r="A1456" t="str">
            <v>CĐT pty-X</v>
          </cell>
          <cell r="C1456" t="str">
            <v>Chuỗi sứ treo Polymer 25kV lắp vào xà : CĐT 2BAT-X</v>
          </cell>
          <cell r="D1456" t="str">
            <v>bộ</v>
          </cell>
          <cell r="F1456">
            <v>2000</v>
          </cell>
          <cell r="J1456" t="str">
            <v>CĐT pty-X</v>
          </cell>
        </row>
        <row r="1457">
          <cell r="A1457" t="str">
            <v>Đth-U-g</v>
          </cell>
          <cell r="C1457" t="str">
            <v>Bộ Uclevis đỡ dây trung hòa trụ ghép: Đth-U-g (trụ ghép)</v>
          </cell>
          <cell r="D1457" t="str">
            <v>bộ</v>
          </cell>
          <cell r="F1457">
            <v>2000</v>
          </cell>
          <cell r="J1457" t="str">
            <v>Đth-U-g</v>
          </cell>
        </row>
        <row r="1458">
          <cell r="A1458" t="str">
            <v>Đth-X</v>
          </cell>
          <cell r="C1458" t="str">
            <v>Bộ Uclevis đỡ dây trung hòa vào xà: Đth-X</v>
          </cell>
          <cell r="D1458" t="str">
            <v>bộ</v>
          </cell>
          <cell r="F1458">
            <v>2000</v>
          </cell>
          <cell r="J1458" t="str">
            <v>Đth-X</v>
          </cell>
        </row>
        <row r="1459">
          <cell r="A1459" t="str">
            <v>Nth-T-g</v>
          </cell>
          <cell r="C1459" t="str">
            <v>Bộ khóa néo dây trung hòa vào trụ: Nth-T-g</v>
          </cell>
          <cell r="D1459" t="str">
            <v>bộ</v>
          </cell>
          <cell r="F1459">
            <v>2000</v>
          </cell>
          <cell r="J1459" t="str">
            <v>Nth-T-g</v>
          </cell>
        </row>
        <row r="1460">
          <cell r="A1460" t="str">
            <v>CĐTply-X</v>
          </cell>
          <cell r="C1460" t="str">
            <v>Chuỗi sứ treo Polymer 25kV lắp vào xà : CĐT ply-X</v>
          </cell>
          <cell r="D1460" t="str">
            <v>bộ</v>
          </cell>
          <cell r="F1460">
            <v>2000</v>
          </cell>
          <cell r="J1460" t="str">
            <v>CĐTply-X</v>
          </cell>
        </row>
        <row r="1461">
          <cell r="A1461" t="str">
            <v>CĐTply-T</v>
          </cell>
          <cell r="C1461" t="str">
            <v>Chuỗi sứ treo Polymer 25kV lắp vào trụ: CĐT ply-T</v>
          </cell>
          <cell r="D1461" t="str">
            <v>bộ</v>
          </cell>
          <cell r="F1461">
            <v>2000</v>
          </cell>
          <cell r="J1461" t="str">
            <v>CĐTply-T</v>
          </cell>
        </row>
        <row r="1462">
          <cell r="A1462" t="str">
            <v>ttf50</v>
          </cell>
          <cell r="C1462" t="str">
            <v>Dây buộc đầu sứ TTF cỡ dây 50mm2</v>
          </cell>
          <cell r="D1462" t="str">
            <v>cái</v>
          </cell>
          <cell r="F1462">
            <v>50</v>
          </cell>
          <cell r="J1462" t="str">
            <v>ttf50</v>
          </cell>
        </row>
        <row r="1463">
          <cell r="A1463" t="str">
            <v>ssf50</v>
          </cell>
          <cell r="C1463" t="str">
            <v>Dây buộc cổ sứ từ tính dây 50</v>
          </cell>
          <cell r="D1463" t="str">
            <v>cái</v>
          </cell>
          <cell r="F1463">
            <v>50</v>
          </cell>
          <cell r="J1463" t="str">
            <v>ssf50</v>
          </cell>
        </row>
        <row r="1464">
          <cell r="A1464" t="str">
            <v>GO-CH</v>
          </cell>
          <cell r="C1464" t="str">
            <v>Gỗ chống</v>
          </cell>
          <cell r="D1464" t="str">
            <v>m3</v>
          </cell>
          <cell r="F1464">
            <v>999</v>
          </cell>
          <cell r="J1464" t="str">
            <v>GO-CH</v>
          </cell>
        </row>
        <row r="1465">
          <cell r="A1465" t="str">
            <v>GO-DN</v>
          </cell>
          <cell r="C1465" t="str">
            <v>Gỗ đà nẹp</v>
          </cell>
          <cell r="D1465" t="str">
            <v>m3</v>
          </cell>
          <cell r="F1465">
            <v>999</v>
          </cell>
          <cell r="J1465" t="str">
            <v>GO-DN</v>
          </cell>
        </row>
        <row r="1466">
          <cell r="A1466" t="str">
            <v>GO-V</v>
          </cell>
          <cell r="C1466" t="str">
            <v>Gỗ ván (cả nẹp)</v>
          </cell>
          <cell r="D1466" t="str">
            <v>m3</v>
          </cell>
          <cell r="F1466">
            <v>999</v>
          </cell>
          <cell r="J1466" t="str">
            <v>GO-V</v>
          </cell>
        </row>
        <row r="1467">
          <cell r="A1467" t="str">
            <v>MDD3R1</v>
          </cell>
          <cell r="C1467" t="str">
            <v>Đo đất mĩng cột, trụ, hố kiểm tra rộng &gt;1m, su &gt;1m, đất cấp 3 bằng thủ cơng</v>
          </cell>
          <cell r="D1467" t="str">
            <v>m3</v>
          </cell>
          <cell r="F1467">
            <v>2000</v>
          </cell>
          <cell r="J1467" t="str">
            <v>MDD3R1</v>
          </cell>
        </row>
        <row r="1468">
          <cell r="A1468" t="str">
            <v>B16750V</v>
          </cell>
          <cell r="C1468" t="str">
            <v>Boulon 16x750VRS+ 4 long đền vuông D18-50x50x3/Zn</v>
          </cell>
          <cell r="D1468" t="str">
            <v>bộ</v>
          </cell>
          <cell r="F1468">
            <v>50</v>
          </cell>
          <cell r="J1468" t="str">
            <v>B16750V</v>
          </cell>
        </row>
        <row r="1469">
          <cell r="A1469" t="str">
            <v>B16800V</v>
          </cell>
          <cell r="C1469" t="str">
            <v>Boulon 16x800VRS+ 4 long đền vuông D18-50x50x3/Zn</v>
          </cell>
          <cell r="D1469" t="str">
            <v>bộ</v>
          </cell>
          <cell r="F1469">
            <v>50</v>
          </cell>
          <cell r="J1469" t="str">
            <v>B16800V</v>
          </cell>
        </row>
        <row r="1470">
          <cell r="A1470" t="str">
            <v>LVANK</v>
          </cell>
          <cell r="C1470" t="str">
            <v>Ván khuôn gỗ móng - móng vuông, chữ nhật</v>
          </cell>
          <cell r="D1470" t="str">
            <v>100m2</v>
          </cell>
          <cell r="F1470">
            <v>3000</v>
          </cell>
          <cell r="J1470" t="str">
            <v>LVANK</v>
          </cell>
        </row>
        <row r="1471">
          <cell r="A1471" t="str">
            <v>T12540</v>
          </cell>
          <cell r="C1471" t="str">
            <v>Trụ BTLT 12m F540 dự ứng lực</v>
          </cell>
          <cell r="D1471" t="str">
            <v>trụ</v>
          </cell>
          <cell r="F1471">
            <v>16</v>
          </cell>
          <cell r="J1471" t="str">
            <v>T12540</v>
          </cell>
        </row>
        <row r="1472">
          <cell r="A1472" t="str">
            <v>d22</v>
          </cell>
          <cell r="C1472" t="str">
            <v>Đà Sắt góc L75 x75 x8 dài 2,2m (4 ốp)</v>
          </cell>
          <cell r="D1472" t="str">
            <v>thanh</v>
          </cell>
          <cell r="F1472">
            <v>50</v>
          </cell>
          <cell r="J1472" t="str">
            <v>d22</v>
          </cell>
        </row>
        <row r="1473">
          <cell r="A1473" t="str">
            <v>t81</v>
          </cell>
          <cell r="C1473" t="str">
            <v>Thanh chống đà sắt góc L50x50x5 dài 0,81m</v>
          </cell>
          <cell r="D1473" t="str">
            <v>thanh</v>
          </cell>
          <cell r="F1473">
            <v>50</v>
          </cell>
          <cell r="J1473" t="str">
            <v>t81</v>
          </cell>
        </row>
        <row r="1474">
          <cell r="A1474" t="str">
            <v>d200</v>
          </cell>
          <cell r="C1474" t="str">
            <v>Đà Sắt góc L75 x75 x8 dài 2m (3 ốp)</v>
          </cell>
          <cell r="D1474" t="str">
            <v>thanh</v>
          </cell>
          <cell r="F1474">
            <v>50</v>
          </cell>
          <cell r="J1474" t="str">
            <v>d200</v>
          </cell>
        </row>
        <row r="1475">
          <cell r="A1475" t="str">
            <v>t115</v>
          </cell>
          <cell r="C1475" t="str">
            <v>Thanh chống đà sắt góc L50x50x5 dài 1,15m</v>
          </cell>
          <cell r="D1475" t="str">
            <v>thanh</v>
          </cell>
          <cell r="F1475">
            <v>50</v>
          </cell>
          <cell r="J1475" t="str">
            <v>t115</v>
          </cell>
        </row>
        <row r="1476">
          <cell r="A1476" t="str">
            <v>XT2</v>
          </cell>
          <cell r="C1476" t="str">
            <v>Xà đỡ thẳng lệch 3 pha 2m - 1 mạch</v>
          </cell>
          <cell r="D1476" t="str">
            <v>bộ</v>
          </cell>
          <cell r="F1476">
            <v>2000</v>
          </cell>
          <cell r="J1476" t="str">
            <v>XT2</v>
          </cell>
        </row>
        <row r="1477">
          <cell r="A1477" t="str">
            <v>XTK2</v>
          </cell>
          <cell r="C1477" t="str">
            <v>Xà đỡ lệch góc 3 pha 2m - 1 mạch</v>
          </cell>
          <cell r="D1477" t="str">
            <v>bộ</v>
          </cell>
          <cell r="F1477">
            <v>2000</v>
          </cell>
          <cell r="J1477" t="str">
            <v>XTK2</v>
          </cell>
        </row>
        <row r="1478">
          <cell r="A1478" t="str">
            <v>MANG4</v>
          </cell>
          <cell r="C1478" t="str">
            <v>Máng che dây chằng dày 0,4x2000</v>
          </cell>
          <cell r="D1478" t="str">
            <v>cái</v>
          </cell>
          <cell r="F1478">
            <v>50</v>
          </cell>
          <cell r="J1478" t="str">
            <v>MANG4</v>
          </cell>
        </row>
        <row r="1479">
          <cell r="A1479" t="str">
            <v>ACX50</v>
          </cell>
          <cell r="C1479" t="str">
            <v>Cáp nhôm lõi thép bọc 24KV AC/XLPE50 mm2</v>
          </cell>
          <cell r="D1479" t="str">
            <v>mét</v>
          </cell>
          <cell r="F1479">
            <v>11</v>
          </cell>
          <cell r="J1479" t="str">
            <v>ACX50</v>
          </cell>
        </row>
        <row r="1480">
          <cell r="A1480" t="str">
            <v>GNIU 185</v>
          </cell>
          <cell r="C1480" t="str">
            <v>Giáp níu dừng dây bọc 185 + yếm móng U + Mắt nối yếm</v>
          </cell>
          <cell r="D1480" t="str">
            <v>cái</v>
          </cell>
          <cell r="F1480">
            <v>50</v>
          </cell>
          <cell r="J1480" t="str">
            <v>GNIU 185</v>
          </cell>
        </row>
        <row r="1481">
          <cell r="A1481" t="str">
            <v>GNIU50</v>
          </cell>
          <cell r="C1481" t="str">
            <v>Giáp níu dừng dây bọc 50mm2 + yếm móng U + Mắt nối yếm</v>
          </cell>
          <cell r="D1481" t="str">
            <v>cái</v>
          </cell>
          <cell r="F1481">
            <v>50</v>
          </cell>
          <cell r="J1481" t="str">
            <v>GNIU50</v>
          </cell>
        </row>
        <row r="1482">
          <cell r="A1482" t="str">
            <v>ke279</v>
          </cell>
          <cell r="C1482" t="str">
            <v>Kẹp ép WR 279</v>
          </cell>
          <cell r="D1482" t="str">
            <v>cái</v>
          </cell>
          <cell r="F1482">
            <v>50</v>
          </cell>
          <cell r="J1482" t="str">
            <v>ke279</v>
          </cell>
        </row>
        <row r="1483">
          <cell r="A1483" t="str">
            <v>ke419</v>
          </cell>
          <cell r="C1483" t="str">
            <v>Kẹp ép WR 419</v>
          </cell>
          <cell r="D1483" t="str">
            <v>cái</v>
          </cell>
          <cell r="F1483">
            <v>50</v>
          </cell>
          <cell r="J1483" t="str">
            <v>ke419</v>
          </cell>
        </row>
        <row r="1484">
          <cell r="A1484" t="str">
            <v>ke929</v>
          </cell>
          <cell r="C1484" t="str">
            <v>Kẹp ép WR 929</v>
          </cell>
          <cell r="D1484" t="str">
            <v>cái</v>
          </cell>
          <cell r="F1484">
            <v>50</v>
          </cell>
          <cell r="J1484" t="str">
            <v>ke929</v>
          </cell>
        </row>
        <row r="1485">
          <cell r="A1485" t="str">
            <v>OCN</v>
          </cell>
          <cell r="C1485" t="str">
            <v>Ong co nhiệt</v>
          </cell>
          <cell r="D1485" t="str">
            <v>m</v>
          </cell>
          <cell r="F1485">
            <v>50</v>
          </cell>
          <cell r="J1485" t="str">
            <v>OCN</v>
          </cell>
        </row>
        <row r="1486">
          <cell r="A1486" t="str">
            <v>chupU</v>
          </cell>
          <cell r="C1486" t="str">
            <v>Chụp kẹp Uquai</v>
          </cell>
          <cell r="D1486" t="str">
            <v>bộ</v>
          </cell>
          <cell r="F1486">
            <v>50</v>
          </cell>
          <cell r="J1486" t="str">
            <v>chupU</v>
          </cell>
        </row>
        <row r="1487">
          <cell r="A1487" t="str">
            <v>KDIN</v>
          </cell>
          <cell r="C1487" t="str">
            <v>Dây đai + khóa đai Inoc</v>
          </cell>
          <cell r="D1487" t="str">
            <v>Bộ</v>
          </cell>
          <cell r="F1487">
            <v>50</v>
          </cell>
          <cell r="J1487" t="str">
            <v>KDIN</v>
          </cell>
        </row>
        <row r="1488">
          <cell r="A1488" t="str">
            <v>ttf185</v>
          </cell>
          <cell r="C1488" t="str">
            <v>Dây buộc đầu sứ từ tính dây 50</v>
          </cell>
          <cell r="D1488" t="str">
            <v>cái</v>
          </cell>
          <cell r="F1488">
            <v>50</v>
          </cell>
          <cell r="J1488" t="str">
            <v>ttf185</v>
          </cell>
        </row>
        <row r="1489">
          <cell r="A1489" t="str">
            <v>ssf185</v>
          </cell>
          <cell r="C1489" t="str">
            <v>Dây buộc cổ sứ SSF (185-240mm2)</v>
          </cell>
          <cell r="D1489" t="str">
            <v>cái</v>
          </cell>
          <cell r="F1489">
            <v>50</v>
          </cell>
          <cell r="J1489" t="str">
            <v>ssf185</v>
          </cell>
        </row>
        <row r="1490">
          <cell r="A1490" t="str">
            <v>LSDD</v>
          </cell>
          <cell r="C1490" t="str">
            <v>Lắp sứ đứng 24KV + ty</v>
          </cell>
          <cell r="D1490" t="str">
            <v>bộ</v>
          </cell>
          <cell r="E1490" t="str">
            <v>LS</v>
          </cell>
          <cell r="F1490">
            <v>2000</v>
          </cell>
          <cell r="J1490" t="str">
            <v>LSDD</v>
          </cell>
        </row>
        <row r="1491">
          <cell r="A1491" t="str">
            <v>BTLT 12 F540</v>
          </cell>
          <cell r="C1491" t="str">
            <v>Trụ bê tông ly tâm 12m</v>
          </cell>
          <cell r="D1491" t="str">
            <v>bộ</v>
          </cell>
          <cell r="F1491">
            <v>2000</v>
          </cell>
          <cell r="J1491" t="str">
            <v>BTLT 12 F540</v>
          </cell>
        </row>
        <row r="1492">
          <cell r="A1492" t="str">
            <v>TC920</v>
          </cell>
          <cell r="C1492" t="str">
            <v>Thanh chống đà 920</v>
          </cell>
          <cell r="D1492" t="str">
            <v>cái</v>
          </cell>
          <cell r="E1492" t="str">
            <v>TC</v>
          </cell>
          <cell r="F1492">
            <v>18</v>
          </cell>
          <cell r="J1492" t="str">
            <v>TC920</v>
          </cell>
        </row>
        <row r="1493">
          <cell r="A1493" t="str">
            <v>TC810</v>
          </cell>
          <cell r="C1493" t="str">
            <v>Thanh chống đà  810</v>
          </cell>
          <cell r="D1493" t="str">
            <v>cái</v>
          </cell>
          <cell r="E1493" t="str">
            <v>TC</v>
          </cell>
          <cell r="F1493">
            <v>18</v>
          </cell>
          <cell r="J1493" t="str">
            <v>TC810</v>
          </cell>
        </row>
        <row r="1494">
          <cell r="A1494" t="str">
            <v>TC1150</v>
          </cell>
          <cell r="C1494" t="str">
            <v>Thanh chống đà  1150</v>
          </cell>
          <cell r="D1494" t="str">
            <v>cái</v>
          </cell>
          <cell r="E1494" t="str">
            <v>TC</v>
          </cell>
          <cell r="F1494">
            <v>18</v>
          </cell>
          <cell r="J1494" t="str">
            <v>TC1150</v>
          </cell>
        </row>
        <row r="1495">
          <cell r="A1495" t="str">
            <v>Xa1660</v>
          </cell>
          <cell r="C1495" t="str">
            <v>Đà 1,66m X-16Đ</v>
          </cell>
          <cell r="D1495" t="str">
            <v>Cái</v>
          </cell>
          <cell r="F1495">
            <v>17</v>
          </cell>
          <cell r="J1495" t="str">
            <v>Xa1660</v>
          </cell>
        </row>
        <row r="1496">
          <cell r="A1496" t="str">
            <v>xa2000</v>
          </cell>
          <cell r="C1496" t="str">
            <v>Đà 2m X-20Đ</v>
          </cell>
          <cell r="D1496" t="str">
            <v>Cái</v>
          </cell>
          <cell r="F1496">
            <v>17</v>
          </cell>
          <cell r="J1496" t="str">
            <v>xa2000</v>
          </cell>
        </row>
        <row r="1497">
          <cell r="A1497" t="str">
            <v>xa2200</v>
          </cell>
          <cell r="C1497" t="str">
            <v>Đà 2,2m X-2,2Đ</v>
          </cell>
          <cell r="D1497" t="str">
            <v>Cái</v>
          </cell>
          <cell r="F1497">
            <v>17</v>
          </cell>
          <cell r="J1497" t="str">
            <v>xa2200</v>
          </cell>
        </row>
        <row r="1498">
          <cell r="A1498" t="str">
            <v>com800</v>
          </cell>
          <cell r="C1498" t="str">
            <v>Đà composite 0,8m</v>
          </cell>
          <cell r="D1498" t="str">
            <v>cây</v>
          </cell>
          <cell r="F1498">
            <v>17</v>
          </cell>
          <cell r="G1498" t="str">
            <v>x</v>
          </cell>
          <cell r="J1498" t="str">
            <v>com800</v>
          </cell>
        </row>
        <row r="1499">
          <cell r="A1499" t="str">
            <v>len</v>
          </cell>
          <cell r="C1499" t="str">
            <v>Lem yên ngựa</v>
          </cell>
          <cell r="D1499" t="str">
            <v>cái</v>
          </cell>
          <cell r="F1499">
            <v>50</v>
          </cell>
          <cell r="J1499" t="str">
            <v>len</v>
          </cell>
        </row>
        <row r="1500">
          <cell r="A1500" t="str">
            <v>Kep3U</v>
          </cell>
          <cell r="C1500" t="str">
            <v>Kẹo dừng 3 U</v>
          </cell>
          <cell r="D1500" t="str">
            <v>cái</v>
          </cell>
          <cell r="F1500">
            <v>50</v>
          </cell>
          <cell r="J1500" t="str">
            <v>Kep3U</v>
          </cell>
        </row>
        <row r="1501">
          <cell r="A1501" t="str">
            <v>Kep5U</v>
          </cell>
          <cell r="C1501" t="str">
            <v>Kẹo dừng 5 U</v>
          </cell>
          <cell r="D1501" t="str">
            <v>cái</v>
          </cell>
          <cell r="F1501">
            <v>50</v>
          </cell>
          <cell r="J1501" t="str">
            <v>Kep5U</v>
          </cell>
        </row>
        <row r="1502">
          <cell r="A1502" t="str">
            <v>tsd20</v>
          </cell>
          <cell r="C1502" t="str">
            <v>Ty sứ đứng D20</v>
          </cell>
          <cell r="D1502" t="str">
            <v>cái</v>
          </cell>
          <cell r="E1502" t="str">
            <v>ts</v>
          </cell>
          <cell r="F1502">
            <v>50</v>
          </cell>
          <cell r="J1502" t="str">
            <v>tsd20</v>
          </cell>
        </row>
        <row r="1503">
          <cell r="A1503" t="str">
            <v>STTT-2BAT</v>
          </cell>
          <cell r="C1503" t="str">
            <v>Chuỗi sứ treo thủy tinh 2 bát</v>
          </cell>
          <cell r="D1503" t="str">
            <v>Bộ</v>
          </cell>
          <cell r="F1503">
            <v>2000</v>
          </cell>
          <cell r="J1503" t="str">
            <v>STTT-2BAT</v>
          </cell>
        </row>
        <row r="1504">
          <cell r="A1504" t="str">
            <v>cl1200</v>
          </cell>
          <cell r="C1504" t="str">
            <v>Bộ chống lệch 1,2m</v>
          </cell>
          <cell r="D1504" t="str">
            <v>bộ</v>
          </cell>
          <cell r="F1504">
            <v>19</v>
          </cell>
          <cell r="J1504" t="str">
            <v>cl1200</v>
          </cell>
        </row>
        <row r="1505">
          <cell r="A1505" t="str">
            <v>BMOC16200</v>
          </cell>
          <cell r="C1505" t="str">
            <v>Boulon móc 16x200</v>
          </cell>
          <cell r="D1505" t="str">
            <v>bộ</v>
          </cell>
          <cell r="E1505" t="str">
            <v>BM</v>
          </cell>
          <cell r="F1505">
            <v>50</v>
          </cell>
          <cell r="J1505" t="str">
            <v>BMOC16200</v>
          </cell>
        </row>
        <row r="1506">
          <cell r="A1506" t="str">
            <v>X-com800</v>
          </cell>
          <cell r="C1506" t="str">
            <v>Bộ đà composite 0,8m</v>
          </cell>
          <cell r="D1506" t="str">
            <v>bộ</v>
          </cell>
          <cell r="F1506">
            <v>2000</v>
          </cell>
          <cell r="G1506" t="str">
            <v>x</v>
          </cell>
          <cell r="J1506" t="str">
            <v>X-com800</v>
          </cell>
        </row>
        <row r="1507">
          <cell r="A1507" t="str">
            <v>GIP</v>
          </cell>
          <cell r="C1507" t="str">
            <v>Ghíp nối IPC</v>
          </cell>
          <cell r="D1507" t="str">
            <v>cái</v>
          </cell>
          <cell r="E1507" t="str">
            <v>GI</v>
          </cell>
          <cell r="F1507">
            <v>50</v>
          </cell>
          <cell r="J1507" t="str">
            <v>GIP</v>
          </cell>
        </row>
        <row r="1508">
          <cell r="A1508" t="str">
            <v>khanhkep</v>
          </cell>
          <cell r="C1508" t="str">
            <v>Khánh lắp chuỗi sứ polymer kép</v>
          </cell>
          <cell r="D1508" t="str">
            <v>cái</v>
          </cell>
          <cell r="F1508">
            <v>50</v>
          </cell>
          <cell r="J1508" t="str">
            <v>khanhkep</v>
          </cell>
        </row>
        <row r="1509">
          <cell r="A1509" t="str">
            <v>X-22K-Đ-C920</v>
          </cell>
          <cell r="C1509" t="str">
            <v>Bộ xà kép L75x75x8 dài 2.2m: X-22K-Đ-C920 lắp trụ đơn</v>
          </cell>
          <cell r="F1509">
            <v>2000</v>
          </cell>
          <cell r="J1509" t="str">
            <v>X-22K-Đ-C920</v>
          </cell>
        </row>
        <row r="1510">
          <cell r="A1510" t="str">
            <v>X-22K-K-C920</v>
          </cell>
          <cell r="C1510" t="str">
            <v>Bộ xà kép L75x75x8 dài 2.2m: X-22K-Đ-C920 lắp trụ ghép</v>
          </cell>
          <cell r="F1510">
            <v>2000</v>
          </cell>
          <cell r="J1510" t="str">
            <v>X-22K-K-C920</v>
          </cell>
        </row>
        <row r="1511">
          <cell r="A1511" t="str">
            <v>OXC</v>
          </cell>
          <cell r="C1511" t="str">
            <v>Ốc xiết cáp</v>
          </cell>
          <cell r="D1511" t="str">
            <v>cái</v>
          </cell>
          <cell r="F1511">
            <v>50</v>
          </cell>
          <cell r="J1511" t="str">
            <v>OXC</v>
          </cell>
        </row>
        <row r="1512">
          <cell r="A1512" t="str">
            <v>Comp24</v>
          </cell>
          <cell r="C1512" t="str">
            <v>Xà compoxit 110x80x5-2400mm (bắt FCO, LA)</v>
          </cell>
          <cell r="D1512" t="str">
            <v>thanh</v>
          </cell>
          <cell r="F1512">
            <v>50</v>
          </cell>
          <cell r="J1512" t="str">
            <v>Comp24</v>
          </cell>
        </row>
        <row r="1513">
          <cell r="A1513" t="str">
            <v>TCX</v>
          </cell>
          <cell r="C1513" t="str">
            <v>Thanh chống đà Compoxit dẹp 10x40x920 cho đà 2,4m</v>
          </cell>
          <cell r="D1513" t="str">
            <v>thanh</v>
          </cell>
          <cell r="F1513">
            <v>50</v>
          </cell>
          <cell r="J1513" t="str">
            <v>TCX</v>
          </cell>
        </row>
        <row r="1514">
          <cell r="A1514" t="str">
            <v>d21</v>
          </cell>
          <cell r="C1514" t="str">
            <v>Đà Sắt góc L75 x75 x8 dài 2,1m (3 ốp)</v>
          </cell>
          <cell r="D1514" t="str">
            <v>thanh</v>
          </cell>
          <cell r="F1514">
            <v>50</v>
          </cell>
          <cell r="J1514" t="str">
            <v>d21</v>
          </cell>
        </row>
        <row r="1515">
          <cell r="A1515" t="str">
            <v>t199</v>
          </cell>
          <cell r="C1515" t="str">
            <v>Thanh chống đà sắt góc L50x50x5 dài 1,99m</v>
          </cell>
          <cell r="D1515" t="str">
            <v>thanh</v>
          </cell>
          <cell r="F1515">
            <v>50</v>
          </cell>
          <cell r="J1515" t="str">
            <v>t199</v>
          </cell>
        </row>
        <row r="1516">
          <cell r="A1516" t="str">
            <v>Dbstt</v>
          </cell>
          <cell r="C1516" t="str">
            <v>Dây buộc đầu sứ TTF (50-70mm2)</v>
          </cell>
          <cell r="D1516" t="str">
            <v>cái</v>
          </cell>
          <cell r="F1516">
            <v>50</v>
          </cell>
          <cell r="J1516" t="str">
            <v>Dbstt</v>
          </cell>
        </row>
        <row r="1517">
          <cell r="A1517" t="str">
            <v>HOPPP</v>
          </cell>
          <cell r="C1517" t="str">
            <v>Hộp phân phối (loại 9 cực đấu trực tiếp)</v>
          </cell>
          <cell r="D1517" t="str">
            <v>cái</v>
          </cell>
          <cell r="F1517">
            <v>50</v>
          </cell>
          <cell r="J1517" t="str">
            <v>HOPPP</v>
          </cell>
        </row>
        <row r="1518">
          <cell r="A1518" t="str">
            <v>Chupm</v>
          </cell>
          <cell r="C1518" t="str">
            <v>Chụp đầu cực MBA</v>
          </cell>
          <cell r="D1518" t="str">
            <v>cái</v>
          </cell>
          <cell r="F1518">
            <v>50</v>
          </cell>
          <cell r="J1518" t="str">
            <v>Chupm</v>
          </cell>
        </row>
        <row r="1519">
          <cell r="A1519" t="str">
            <v>Chupl</v>
          </cell>
          <cell r="C1519" t="str">
            <v>Chụp đầu cực LA</v>
          </cell>
          <cell r="D1519" t="str">
            <v>cái</v>
          </cell>
          <cell r="F1519">
            <v>50</v>
          </cell>
          <cell r="J1519" t="str">
            <v>Chupl</v>
          </cell>
        </row>
        <row r="1520">
          <cell r="A1520" t="str">
            <v>CUT114135</v>
          </cell>
          <cell r="C1520" t="str">
            <v>Co 135 độ PVC 114 (45 độ)</v>
          </cell>
          <cell r="D1520" t="str">
            <v>cái</v>
          </cell>
          <cell r="F1520">
            <v>50</v>
          </cell>
          <cell r="J1520" t="str">
            <v>CUT114135</v>
          </cell>
        </row>
        <row r="1521">
          <cell r="J1521">
            <v>0</v>
          </cell>
        </row>
      </sheetData>
      <sheetData sheetId="1"/>
      <sheetData sheetId="2">
        <row r="2">
          <cell r="AB2" t="str">
            <v xml:space="preserve"> Đường dây trung, hạ thế và TBA Xuân Hiệp 17, ấp Việt Kiều, xã Xuân Hiệp</v>
          </cell>
          <cell r="AD2" t="str">
            <v>Xã Xuân Hiệp - Huyện Xuân Lộc - TỉnhĐồngNai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95">
          <cell r="DJ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U95">
            <v>0</v>
          </cell>
          <cell r="DV95">
            <v>0</v>
          </cell>
          <cell r="EC95">
            <v>0</v>
          </cell>
        </row>
        <row r="182">
          <cell r="EM182">
            <v>0</v>
          </cell>
          <cell r="EN182">
            <v>0</v>
          </cell>
        </row>
        <row r="184">
          <cell r="BP184">
            <v>0</v>
          </cell>
          <cell r="DF184">
            <v>0</v>
          </cell>
          <cell r="DG184">
            <v>0</v>
          </cell>
          <cell r="DH184">
            <v>0</v>
          </cell>
          <cell r="DJ184">
            <v>0</v>
          </cell>
          <cell r="DK184">
            <v>0</v>
          </cell>
          <cell r="DM184">
            <v>0</v>
          </cell>
          <cell r="DN184">
            <v>0</v>
          </cell>
          <cell r="DW184">
            <v>0</v>
          </cell>
          <cell r="DY184">
            <v>0</v>
          </cell>
          <cell r="DZ184">
            <v>0</v>
          </cell>
          <cell r="EA184">
            <v>0</v>
          </cell>
          <cell r="ED184">
            <v>0</v>
          </cell>
          <cell r="EF184">
            <v>0</v>
          </cell>
          <cell r="EG184">
            <v>0</v>
          </cell>
          <cell r="EH184">
            <v>0</v>
          </cell>
          <cell r="EJ184">
            <v>0</v>
          </cell>
          <cell r="GT184">
            <v>0</v>
          </cell>
        </row>
        <row r="199">
          <cell r="C199">
            <v>0</v>
          </cell>
        </row>
        <row r="200">
          <cell r="P200">
            <v>0</v>
          </cell>
        </row>
      </sheetData>
      <sheetData sheetId="10">
        <row r="81">
          <cell r="EE81" t="str">
            <v>KD50</v>
          </cell>
          <cell r="EF81" t="str">
            <v>KD70</v>
          </cell>
          <cell r="EG81" t="str">
            <v>KD95</v>
          </cell>
          <cell r="EH81" t="str">
            <v>KD120</v>
          </cell>
          <cell r="EI81" t="str">
            <v>KD150</v>
          </cell>
          <cell r="EJ81" t="str">
            <v>KD185</v>
          </cell>
          <cell r="EK81" t="str">
            <v>KD240</v>
          </cell>
        </row>
        <row r="84">
          <cell r="C84">
            <v>0</v>
          </cell>
        </row>
        <row r="86">
          <cell r="C86">
            <v>0</v>
          </cell>
        </row>
      </sheetData>
      <sheetData sheetId="11">
        <row r="1">
          <cell r="B1" t="str">
            <v>ac50</v>
          </cell>
          <cell r="D1" t="str">
            <v>Cộng dồn ACXV50+AC50</v>
          </cell>
          <cell r="E1" t="str">
            <v>Khoảng néo</v>
          </cell>
          <cell r="F1" t="str">
            <v>Hướng</v>
          </cell>
          <cell r="G1" t="str">
            <v>Góc</v>
          </cell>
          <cell r="H1" t="str">
            <v>Hình thức trụ</v>
          </cell>
          <cell r="I1" t="str">
            <v>BTLT 10.5</v>
          </cell>
          <cell r="J1" t="str">
            <v>BTLT 12 HH</v>
          </cell>
          <cell r="K1" t="str">
            <v>BTLT 12 TĐ</v>
          </cell>
          <cell r="L1" t="str">
            <v>BTLT 12</v>
          </cell>
          <cell r="M1" t="str">
            <v>BTLT 14</v>
          </cell>
          <cell r="N1" t="str">
            <v>M10a</v>
          </cell>
          <cell r="O1" t="str">
            <v>M10b</v>
          </cell>
          <cell r="P1" t="str">
            <v>M10aa</v>
          </cell>
          <cell r="Q1" t="str">
            <v>M10ba</v>
          </cell>
          <cell r="R1" t="str">
            <v>M10bb</v>
          </cell>
          <cell r="S1" t="str">
            <v>M12</v>
          </cell>
          <cell r="T1" t="str">
            <v>M10-2b</v>
          </cell>
          <cell r="U1" t="str">
            <v>M12a</v>
          </cell>
          <cell r="V1" t="str">
            <v>M12BT ĐƠN</v>
          </cell>
          <cell r="W1" t="str">
            <v>M12BT ĐÔI</v>
          </cell>
          <cell r="X1" t="str">
            <v>M12b</v>
          </cell>
          <cell r="Y1" t="str">
            <v>M12aa</v>
          </cell>
          <cell r="Z1" t="str">
            <v>M12ba</v>
          </cell>
          <cell r="AA1" t="str">
            <v>M12bb</v>
          </cell>
          <cell r="AB1" t="str">
            <v>M12-2a</v>
          </cell>
          <cell r="AC1" t="str">
            <v>M12-2b</v>
          </cell>
          <cell r="AD1" t="str">
            <v>M14a</v>
          </cell>
          <cell r="AE1" t="str">
            <v>M14b</v>
          </cell>
          <cell r="AF1" t="str">
            <v>M14aa</v>
          </cell>
          <cell r="AG1" t="str">
            <v>M14ba</v>
          </cell>
          <cell r="AH1" t="str">
            <v>M14bb</v>
          </cell>
          <cell r="AI1" t="str">
            <v>M14-2a</v>
          </cell>
          <cell r="AJ1" t="str">
            <v>M14-2b</v>
          </cell>
          <cell r="AK1" t="str">
            <v>CX10-B</v>
          </cell>
          <cell r="AL1" t="str">
            <v>CL10-B</v>
          </cell>
          <cell r="AM1" t="str">
            <v>CXX10-B</v>
          </cell>
          <cell r="AN1" t="str">
            <v>CX12-B</v>
          </cell>
          <cell r="AO1" t="str">
            <v>CL12-B</v>
          </cell>
          <cell r="AP1" t="str">
            <v>CXX12-B</v>
          </cell>
          <cell r="AQ1" t="str">
            <v>CX14-B</v>
          </cell>
          <cell r="AR1" t="str">
            <v>CL14-B</v>
          </cell>
          <cell r="AS1" t="str">
            <v>CXX14-B</v>
          </cell>
          <cell r="AT1" t="str">
            <v>CK-B</v>
          </cell>
          <cell r="AU1" t="str">
            <v>CKK-B</v>
          </cell>
          <cell r="AV1" t="str">
            <v>Khoảng cách</v>
          </cell>
          <cell r="AW1" t="str">
            <v>NXX</v>
          </cell>
          <cell r="AX1" t="str">
            <v>NXL</v>
          </cell>
          <cell r="AY1" t="str">
            <v xml:space="preserve">MNX12-2 </v>
          </cell>
          <cell r="AZ1" t="str">
            <v>MNL12-2</v>
          </cell>
          <cell r="BA1" t="str">
            <v xml:space="preserve">MNX12-4 </v>
          </cell>
          <cell r="BB1" t="str">
            <v xml:space="preserve">MNL12-4 </v>
          </cell>
          <cell r="BC1" t="str">
            <v>Tiếp địa lặp lại (trụ 10.5m)</v>
          </cell>
          <cell r="BD1" t="str">
            <v>TDTT12</v>
          </cell>
          <cell r="BE1" t="str">
            <v>Tiếp địa lặp lại (trụ 14m)</v>
          </cell>
          <cell r="BF1" t="str">
            <v>X-20Đ</v>
          </cell>
          <cell r="BG1" t="str">
            <v>X-20K</v>
          </cell>
          <cell r="BH1" t="str">
            <v>X-24Đ</v>
          </cell>
          <cell r="BI1" t="str">
            <v>X-24K</v>
          </cell>
          <cell r="BJ1" t="str">
            <v>X-20ĐL2/3</v>
          </cell>
          <cell r="BK1" t="str">
            <v>X-20KL2/3</v>
          </cell>
          <cell r="BL1" t="str">
            <v>X-8ĐL</v>
          </cell>
          <cell r="BM1" t="str">
            <v>X-com800</v>
          </cell>
          <cell r="BN1" t="str">
            <v>X-8KL</v>
          </cell>
          <cell r="BO1" t="str">
            <v>Bộ sứ đỉnh đỡ thẳng SĐI</v>
          </cell>
          <cell r="BP1" t="str">
            <v>Bộ sứ đỉnh đỡ góc SĐG</v>
          </cell>
          <cell r="BQ1" t="str">
            <v>Bộ sứ đỉnh đỡ thẳng SĐI sử dụng lại</v>
          </cell>
          <cell r="BR1" t="str">
            <v>Bộ sứ đỉnh đỡ góc SĐG sử dụng lại</v>
          </cell>
          <cell r="BS1" t="str">
            <v>Bộ sứ đứng SĐU</v>
          </cell>
          <cell r="BT1" t="str">
            <v>Chuỗi sứ treo polyme bắt vào xà</v>
          </cell>
          <cell r="BU1" t="str">
            <v>Chuỗi sứ treo polyme bắt vào trụ</v>
          </cell>
          <cell r="BV1" t="str">
            <v xml:space="preserve"> Chuỗi treo 2 bát lắp vào trụ</v>
          </cell>
          <cell r="BW1" t="str">
            <v xml:space="preserve"> Chuỗi đỡ 2 bát lắp vào trụ - CĐT</v>
          </cell>
          <cell r="BX1" t="str">
            <v>Bộ đỡ dây T.H : Đth-U</v>
          </cell>
          <cell r="BY1" t="str">
            <v>Bộ néo dây T.H : Nth-U</v>
          </cell>
          <cell r="BZ1" t="str">
            <v>Bộ khóa néo TH : Nth-T</v>
          </cell>
          <cell r="CA1" t="str">
            <v>KQ2/0</v>
          </cell>
          <cell r="CB1" t="str">
            <v>KH2/0</v>
          </cell>
          <cell r="CC1" t="str">
            <v>Kẹp ép WR cỡ dây 50mm2</v>
          </cell>
          <cell r="CD1" t="str">
            <v>Kẹp ép WR cỡ dây 70mm2</v>
          </cell>
          <cell r="CE1" t="str">
            <v>Kẹp ép WR cỡ dây 95mm2</v>
          </cell>
          <cell r="CF1" t="str">
            <v>Kẹp ép WR cỡ dây 120mm2</v>
          </cell>
          <cell r="CG1" t="str">
            <v>Kẹp ép WR cỡ dây 150mm2</v>
          </cell>
          <cell r="CH1" t="str">
            <v>Kẹp ép WR cỡ dây 185mm2</v>
          </cell>
          <cell r="CI1" t="str">
            <v>Kẹp ép WR cỡ dây 240mm2</v>
          </cell>
          <cell r="CJ1" t="str">
            <v>Đầu cốt ép cỡ dây 70mm2</v>
          </cell>
          <cell r="CK1" t="str">
            <v>Đầu cốt ép cỡ dây 95mm2</v>
          </cell>
          <cell r="CL1" t="str">
            <v>Đầu cốt ép cỡ dây 120mm2</v>
          </cell>
          <cell r="CM1" t="str">
            <v>Đầu cốt ép cỡ dây 150mm2</v>
          </cell>
          <cell r="CN1" t="str">
            <v>Đầu cốt ép cỡ dây 185mm2</v>
          </cell>
          <cell r="CO1" t="str">
            <v>Đầu cốt ép cỡ dây 240mm2</v>
          </cell>
          <cell r="CP1" t="str">
            <v>Dây buộc đầu sứ</v>
          </cell>
          <cell r="CQ1" t="str">
            <v>Giá T lắp FCO sử dụng lại</v>
          </cell>
          <cell r="CR1" t="str">
            <v>FCO100-22</v>
          </cell>
          <cell r="CS1" t="str">
            <v>chfco</v>
          </cell>
          <cell r="CT1" t="str">
            <v>chi8K</v>
          </cell>
          <cell r="CU1" t="str">
            <v>chi10K</v>
          </cell>
          <cell r="CV1" t="str">
            <v>chi12K</v>
          </cell>
          <cell r="CW1" t="str">
            <v>Vị trí vượt đường</v>
          </cell>
          <cell r="CX1" t="str">
            <v>GHI CHÚ</v>
          </cell>
          <cell r="CY1" t="str">
            <v>chfco</v>
          </cell>
        </row>
        <row r="2">
          <cell r="A2" t="str">
            <v>Dự toán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</row>
        <row r="3">
          <cell r="A3" t="str">
            <v>Thi công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</row>
        <row r="94">
          <cell r="AV94">
            <v>0</v>
          </cell>
          <cell r="BO94">
            <v>0</v>
          </cell>
          <cell r="BP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R94">
            <v>0</v>
          </cell>
          <cell r="CW94">
            <v>0</v>
          </cell>
        </row>
        <row r="98">
          <cell r="C98">
            <v>0</v>
          </cell>
        </row>
        <row r="101">
          <cell r="C101">
            <v>0</v>
          </cell>
        </row>
      </sheetData>
      <sheetData sheetId="12">
        <row r="69">
          <cell r="Z69">
            <v>0</v>
          </cell>
          <cell r="AA69">
            <v>0</v>
          </cell>
          <cell r="AB69">
            <v>0</v>
          </cell>
          <cell r="AD69">
            <v>0</v>
          </cell>
          <cell r="AO69">
            <v>0</v>
          </cell>
          <cell r="AP69">
            <v>0</v>
          </cell>
          <cell r="BB69">
            <v>0</v>
          </cell>
          <cell r="BE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</sheetData>
      <sheetData sheetId="13"/>
      <sheetData sheetId="14"/>
      <sheetData sheetId="15">
        <row r="337">
          <cell r="S337">
            <v>0</v>
          </cell>
          <cell r="BF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0</v>
          </cell>
          <cell r="CH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CO337">
            <v>0</v>
          </cell>
          <cell r="CP337">
            <v>0</v>
          </cell>
          <cell r="CQ337">
            <v>0</v>
          </cell>
          <cell r="CV337">
            <v>0</v>
          </cell>
          <cell r="CW337">
            <v>0</v>
          </cell>
          <cell r="CX337">
            <v>0</v>
          </cell>
          <cell r="DA337">
            <v>0</v>
          </cell>
          <cell r="DB337">
            <v>0</v>
          </cell>
          <cell r="DC337">
            <v>0</v>
          </cell>
          <cell r="DD337">
            <v>0</v>
          </cell>
          <cell r="DE337">
            <v>0</v>
          </cell>
          <cell r="DF337">
            <v>0</v>
          </cell>
          <cell r="DG337">
            <v>0</v>
          </cell>
          <cell r="DH337">
            <v>0</v>
          </cell>
          <cell r="DI337">
            <v>0</v>
          </cell>
          <cell r="DJ337">
            <v>0</v>
          </cell>
          <cell r="DL337">
            <v>0</v>
          </cell>
          <cell r="DM337">
            <v>0</v>
          </cell>
          <cell r="DO337">
            <v>0</v>
          </cell>
        </row>
        <row r="341">
          <cell r="AD341">
            <v>0</v>
          </cell>
          <cell r="CR341">
            <v>0</v>
          </cell>
          <cell r="CS341">
            <v>0</v>
          </cell>
          <cell r="CU341">
            <v>0</v>
          </cell>
          <cell r="CY341">
            <v>0</v>
          </cell>
          <cell r="CZ341">
            <v>0</v>
          </cell>
          <cell r="DK341">
            <v>0</v>
          </cell>
        </row>
        <row r="347">
          <cell r="C347">
            <v>0</v>
          </cell>
        </row>
        <row r="349">
          <cell r="C349">
            <v>0</v>
          </cell>
        </row>
      </sheetData>
      <sheetData sheetId="16">
        <row r="1">
          <cell r="A1" t="str">
            <v>Số trụ</v>
          </cell>
          <cell r="B1" t="str">
            <v>AC50</v>
          </cell>
          <cell r="C1" t="str">
            <v>Cộng dồn 3ACXV50 + AC50</v>
          </cell>
          <cell r="D1" t="str">
            <v>Cộng dồn 2xAC50  thu hồi</v>
          </cell>
          <cell r="E1" t="str">
            <v>Cộng dồn 3xAC70+AC50</v>
          </cell>
          <cell r="F1" t="str">
            <v>Cộng dồn 3xAC95+AC50</v>
          </cell>
          <cell r="G1" t="str">
            <v>Cộng dồn 3xAC120+AC70</v>
          </cell>
          <cell r="H1" t="str">
            <v>Cộng dồn 3xAC150+AC95</v>
          </cell>
          <cell r="I1" t="str">
            <v>Cộng dồn 3xAC185+AC120</v>
          </cell>
          <cell r="J1" t="str">
            <v>Cộng dồn 3xAC240+AC150</v>
          </cell>
          <cell r="K1" t="str">
            <v>Cộng dồn 3CXV25+AC50</v>
          </cell>
          <cell r="L1" t="str">
            <v>Cộng dồn 3AXV50mm2+AC50mm2</v>
          </cell>
          <cell r="M1" t="str">
            <v>Cộng dồn 3AXV70+AC50</v>
          </cell>
          <cell r="N1" t="str">
            <v>Cộng dồn 3AXV95+AC50</v>
          </cell>
          <cell r="O1" t="str">
            <v>Cộng dồn 3AXV120+AC70</v>
          </cell>
          <cell r="P1" t="str">
            <v>Cộng dồn 3AXV185+AC120</v>
          </cell>
          <cell r="Q1" t="str">
            <v>Cộng dồn 3AXV240+AC150</v>
          </cell>
          <cell r="R1" t="str">
            <v>Cộng dồn C/XLPE/PVC25+M25</v>
          </cell>
          <cell r="S1" t="str">
            <v>Cộng dồn C/XLPE/PVC50+M25</v>
          </cell>
          <cell r="T1" t="str">
            <v>Hướng: T (trái), P (phải)</v>
          </cell>
          <cell r="U1" t="str">
            <v>góc (độ)</v>
          </cell>
          <cell r="V1" t="str">
            <v>Hình thức trụ</v>
          </cell>
          <cell r="W1" t="str">
            <v>BTLT HH</v>
          </cell>
          <cell r="X1" t="str">
            <v>BTLT 10.5</v>
          </cell>
          <cell r="Y1" t="str">
            <v>BTLT 12HH</v>
          </cell>
          <cell r="Z1" t="str">
            <v>BTLT 12</v>
          </cell>
          <cell r="AA1" t="str">
            <v>BTLT 12 TC</v>
          </cell>
          <cell r="AB1" t="str">
            <v>BTLT 14</v>
          </cell>
          <cell r="AC1" t="str">
            <v>BTLT 20</v>
          </cell>
          <cell r="AD1" t="str">
            <v>M8a</v>
          </cell>
          <cell r="AE1" t="str">
            <v>M12</v>
          </cell>
          <cell r="AF1" t="str">
            <v>M12a</v>
          </cell>
          <cell r="AG1" t="str">
            <v>M12b</v>
          </cell>
          <cell r="AH1" t="str">
            <v>M12aa</v>
          </cell>
          <cell r="AI1" t="str">
            <v>M12ba</v>
          </cell>
          <cell r="AJ1" t="str">
            <v>M12bb</v>
          </cell>
          <cell r="AK1" t="str">
            <v>M12-2a</v>
          </cell>
          <cell r="AL1" t="str">
            <v>M12-2b</v>
          </cell>
          <cell r="AM1" t="str">
            <v>M12-2bn</v>
          </cell>
          <cell r="AN1" t="str">
            <v>M12b-aa(hh)</v>
          </cell>
          <cell r="AO1" t="str">
            <v>M12 CN</v>
          </cell>
          <cell r="AP1" t="str">
            <v>M12 PĐ</v>
          </cell>
          <cell r="AQ1" t="str">
            <v>M12BT ĐƠN</v>
          </cell>
          <cell r="AR1" t="str">
            <v>M12BT P500</v>
          </cell>
          <cell r="AS1" t="str">
            <v>M12BT ĐÔI</v>
          </cell>
          <cell r="AT1" t="str">
            <v>M14</v>
          </cell>
          <cell r="AU1" t="str">
            <v>M14a</v>
          </cell>
          <cell r="AV1" t="str">
            <v>M14b</v>
          </cell>
          <cell r="AW1" t="str">
            <v>M14BT ĐƠN</v>
          </cell>
          <cell r="AX1" t="str">
            <v>M14aa</v>
          </cell>
          <cell r="AY1" t="str">
            <v>M14ba</v>
          </cell>
          <cell r="AZ1" t="str">
            <v>M14bb</v>
          </cell>
          <cell r="BA1" t="str">
            <v>M14-2a</v>
          </cell>
          <cell r="BB1" t="str">
            <v>M14-2b</v>
          </cell>
          <cell r="BC1" t="str">
            <v>M14-2bn</v>
          </cell>
          <cell r="BD1" t="str">
            <v>M14-4b</v>
          </cell>
          <cell r="BE1" t="str">
            <v>BTCL-14-500</v>
          </cell>
          <cell r="BF1" t="str">
            <v>M20-4b</v>
          </cell>
          <cell r="BG1" t="str">
            <v>CX10-B</v>
          </cell>
          <cell r="BH1" t="str">
            <v>CL10-B</v>
          </cell>
          <cell r="BI1" t="str">
            <v>CXX10-B</v>
          </cell>
          <cell r="BJ1" t="str">
            <v>CX12-B</v>
          </cell>
          <cell r="BK1" t="str">
            <v>CL12-B</v>
          </cell>
          <cell r="BL1" t="str">
            <v>CXX12-B</v>
          </cell>
          <cell r="BM1" t="str">
            <v>CX14-B</v>
          </cell>
          <cell r="BN1" t="str">
            <v>CL14-B</v>
          </cell>
          <cell r="BO1" t="str">
            <v>CXX14-B</v>
          </cell>
          <cell r="BP1" t="str">
            <v>CX20-B</v>
          </cell>
          <cell r="BQ1" t="str">
            <v>CK-B</v>
          </cell>
          <cell r="BR1" t="str">
            <v>CKK-B</v>
          </cell>
          <cell r="BS1" t="str">
            <v>Khoảng cách</v>
          </cell>
          <cell r="BT1" t="str">
            <v>NXX</v>
          </cell>
          <cell r="BU1" t="str">
            <v>NXL</v>
          </cell>
          <cell r="BV1" t="str">
            <v xml:space="preserve">MNX12-2 </v>
          </cell>
          <cell r="BW1" t="str">
            <v>MNL12-2</v>
          </cell>
          <cell r="BX1" t="str">
            <v xml:space="preserve">MNX12-4 </v>
          </cell>
          <cell r="BY1" t="str">
            <v xml:space="preserve">MNL12-4 </v>
          </cell>
          <cell r="BZ1" t="str">
            <v xml:space="preserve">MNX15-4 </v>
          </cell>
          <cell r="CA1" t="str">
            <v>MNL15-4</v>
          </cell>
          <cell r="CB1" t="str">
            <v xml:space="preserve">MNX15-6 </v>
          </cell>
          <cell r="CC1" t="str">
            <v xml:space="preserve">MNL15-6 </v>
          </cell>
          <cell r="CD1" t="str">
            <v xml:space="preserve">MNX18-6 </v>
          </cell>
          <cell r="CE1" t="str">
            <v xml:space="preserve">MNL18-6 </v>
          </cell>
          <cell r="CF1" t="str">
            <v>Tiếp địa lặp lại (trụ 10.5m)</v>
          </cell>
          <cell r="CG1" t="str">
            <v>Tiếp địa lặp lại (trụ 12m)</v>
          </cell>
          <cell r="CH1" t="str">
            <v>TDLL12</v>
          </cell>
          <cell r="CI1" t="str">
            <v>Tiếp địa mái tole</v>
          </cell>
          <cell r="CJ1" t="str">
            <v>Tiếp địa trụ đo đếm</v>
          </cell>
          <cell r="CK1" t="str">
            <v>Tiếp địa Recloser</v>
          </cell>
          <cell r="CL1" t="str">
            <v>Tiếp địa lặp lại (trụ 14m)</v>
          </cell>
          <cell r="CM1" t="str">
            <v>Tiếp địa lặp lại (trụ 20m)</v>
          </cell>
          <cell r="CN1" t="str">
            <v>X-20Đ</v>
          </cell>
          <cell r="CO1" t="str">
            <v>X-22K-Đ</v>
          </cell>
          <cell r="CP1" t="str">
            <v>X-22K-K</v>
          </cell>
          <cell r="CQ1" t="str">
            <v>X-22Đ</v>
          </cell>
          <cell r="CR1" t="str">
            <v>X-22K-Đ-C920</v>
          </cell>
          <cell r="CS1" t="str">
            <v>X-22K-K-C920</v>
          </cell>
          <cell r="CT1" t="str">
            <v>X-1,66K</v>
          </cell>
          <cell r="CU1" t="str">
            <v>X-1,66Đ</v>
          </cell>
          <cell r="CV1" t="str">
            <v>X-21KL</v>
          </cell>
          <cell r="CW1" t="str">
            <v>X-21ĐL</v>
          </cell>
          <cell r="CX1" t="str">
            <v>X-20ĐL2/3</v>
          </cell>
          <cell r="CY1" t="str">
            <v>X-20KL2/3</v>
          </cell>
          <cell r="CZ1" t="str">
            <v>X-24Đ</v>
          </cell>
          <cell r="DA1" t="str">
            <v>X-24KP500</v>
          </cell>
          <cell r="DB1" t="str">
            <v>X-24COMPOSITE</v>
          </cell>
          <cell r="DC1" t="str">
            <v>Bộ sứ đỉnh SĐI</v>
          </cell>
          <cell r="DD1" t="str">
            <v>Bộ sứ đỉnh SĐG</v>
          </cell>
          <cell r="DE1" t="str">
            <v>SĐU</v>
          </cell>
          <cell r="DF1" t="str">
            <v>CĐTply-X</v>
          </cell>
          <cell r="DG1" t="str">
            <v xml:space="preserve">Chuỗi Polymer lắp vào trụ CĐT </v>
          </cell>
          <cell r="DH1" t="str">
            <v>Ốc xiết cáp cỡ 25mm2</v>
          </cell>
          <cell r="DI1" t="str">
            <v>Ốc xiết cáp cỡ 50mm2</v>
          </cell>
          <cell r="DJ1" t="str">
            <v>Đth-U</v>
          </cell>
          <cell r="DK1" t="str">
            <v>Bộ đỡ dây T.H  trụ ghép: Đth-U-g</v>
          </cell>
          <cell r="DL1" t="str">
            <v>Bộ đỡ dây T.H : Đth-UX</v>
          </cell>
          <cell r="DM1" t="str">
            <v>Nth-T</v>
          </cell>
          <cell r="DN1" t="str">
            <v>Bộ néo dây T.H vao xa: Nth-X</v>
          </cell>
          <cell r="DO1" t="str">
            <v>Bộ khoá néo dây T.H vao xa: Nth- X</v>
          </cell>
          <cell r="DP1" t="str">
            <v>Bộ khóa néo T.H vào trụ : Nth-T-g</v>
          </cell>
          <cell r="DQ1" t="str">
            <v>Bộ khóa néo T.H vào trụ : Nth-T</v>
          </cell>
          <cell r="DR1" t="str">
            <v>Kẹp 2 rãnh cỡ dây 50mm2</v>
          </cell>
          <cell r="DS1" t="str">
            <v>Kẹp 2 rãnh cỡ dây 70mm2</v>
          </cell>
          <cell r="DT1" t="str">
            <v>Kẹp 2 rãnh cỡ dây 95mm2</v>
          </cell>
          <cell r="DU1" t="str">
            <v>Kẹp 2 rãnh cỡ dây 120mm2</v>
          </cell>
          <cell r="DV1" t="str">
            <v>Kẹp 2 rãnh cỡ dây 150mm2</v>
          </cell>
          <cell r="DW1" t="str">
            <v>Kẹp 2rãnh cỡ dây 185mm2</v>
          </cell>
          <cell r="DX1" t="str">
            <v>Kẹp 2rãnh cỡ dây 240mm2</v>
          </cell>
          <cell r="DY1" t="str">
            <v>Rack 2 sứ hạ thế + bulon</v>
          </cell>
          <cell r="DZ1" t="str">
            <v>Rack 3 sứ hạ thế + bulon</v>
          </cell>
          <cell r="EA1" t="str">
            <v>Rack 4 sứ hạ thế + bulon</v>
          </cell>
          <cell r="EB1" t="str">
            <v xml:space="preserve">KQ2/0 </v>
          </cell>
          <cell r="EC1" t="str">
            <v>KH2/0</v>
          </cell>
          <cell r="ED1" t="str">
            <v xml:space="preserve">KQ4/0 </v>
          </cell>
          <cell r="EE1" t="str">
            <v>KH4/0</v>
          </cell>
          <cell r="EF1" t="str">
            <v>Kẹp ép cỡ 35mm2</v>
          </cell>
          <cell r="EG1" t="str">
            <v>ke50</v>
          </cell>
          <cell r="EH1" t="str">
            <v>Kẹp ép cỡ 70mm2</v>
          </cell>
          <cell r="EI1" t="str">
            <v>Kẹp ép cỡ 95mm2</v>
          </cell>
          <cell r="EJ1" t="str">
            <v>ke120</v>
          </cell>
          <cell r="EK1" t="str">
            <v>ke150</v>
          </cell>
          <cell r="EL1" t="str">
            <v>Kẹp ép cỡ 185mm2</v>
          </cell>
          <cell r="EM1" t="str">
            <v>Kẹp ép cỡ 240mm2</v>
          </cell>
          <cell r="EN1" t="str">
            <v>Kẹp APC 2 rảnh</v>
          </cell>
          <cell r="EO1" t="str">
            <v>Đầu cốt ép cỡ dây 50mm2</v>
          </cell>
          <cell r="EP1" t="str">
            <v>Đầu cốt ép cỡ dây 95mm2</v>
          </cell>
          <cell r="EQ1" t="str">
            <v>Đầu cốt ép cỡ dây 120mm2</v>
          </cell>
          <cell r="ER1" t="str">
            <v>Đầu cốt ép cỡ dây 150mm2</v>
          </cell>
          <cell r="ES1" t="str">
            <v>Đầu cốt ép cỡ dây 185mm2</v>
          </cell>
          <cell r="ET1" t="str">
            <v>Đầu cốt ép cỡ dây 240mm2</v>
          </cell>
          <cell r="EU1" t="str">
            <v>LBFCO100</v>
          </cell>
          <cell r="EV1" t="str">
            <v>LBFCO200</v>
          </cell>
          <cell r="EW1" t="str">
            <v>FCO200</v>
          </cell>
          <cell r="EX1" t="str">
            <v>FCO100-22</v>
          </cell>
          <cell r="EY1" t="str">
            <v>ssf50</v>
          </cell>
          <cell r="EZ1" t="str">
            <v>ttf50</v>
          </cell>
          <cell r="FA1" t="str">
            <v>BMOC16300</v>
          </cell>
          <cell r="FB1" t="str">
            <v>KNGUNG95</v>
          </cell>
          <cell r="FC1" t="str">
            <v>Ống co nhiệt ф65/25</v>
          </cell>
          <cell r="FD1" t="str">
            <v>DS3p</v>
          </cell>
          <cell r="FE1" t="str">
            <v>LBS</v>
          </cell>
          <cell r="FF1" t="str">
            <v>LTD</v>
          </cell>
          <cell r="FG1" t="str">
            <v>LA 12kV 10kA</v>
          </cell>
          <cell r="FH1" t="str">
            <v>LA 18kV 10kA</v>
          </cell>
          <cell r="FI1" t="str">
            <v>Tháo sứ đứng</v>
          </cell>
          <cell r="FJ1" t="str">
            <v>Tháo sứ đỉnh thẳng</v>
          </cell>
          <cell r="FK1" t="str">
            <v>Tháo sứ đỉnh góc</v>
          </cell>
          <cell r="FL1" t="str">
            <v>Tháo và lắp sứ thủy tinh 2 bát</v>
          </cell>
          <cell r="FM1" t="str">
            <v>Tháo và lắp sứ treo Polymer</v>
          </cell>
          <cell r="FN1" t="str">
            <v>Tháo và lắp Ulevit và sứ ống chỉ</v>
          </cell>
          <cell r="FO1" t="str">
            <v>Tháo và lắp sứ đứng + chân sứ</v>
          </cell>
          <cell r="FP1" t="str">
            <v>Tháo và lắp rack 2 sứ</v>
          </cell>
          <cell r="FQ1" t="str">
            <v>Tháo và lắp rack 3 sứ</v>
          </cell>
          <cell r="FR1" t="str">
            <v>Tháo và lắp rack 4 sứ</v>
          </cell>
          <cell r="FS1" t="str">
            <v>Tháo bộ chằng xuống đơn CX-12B</v>
          </cell>
          <cell r="FT1" t="str">
            <v>Tháo bộ chằng lệch đơn CL-12B</v>
          </cell>
          <cell r="FU1" t="str">
            <v>Tháo bộ chằng lệch hạ thế</v>
          </cell>
          <cell r="FV1" t="str">
            <v>Nhổ và trồng trụ 12m</v>
          </cell>
          <cell r="FW1" t="str">
            <v>Nhổ thu hồi trụ 10,5m</v>
          </cell>
          <cell r="FX1" t="str">
            <v>Nhổ và trồng trụ 8,4m</v>
          </cell>
          <cell r="FY1" t="str">
            <v>Nhổ trụ 8,4m</v>
          </cell>
          <cell r="FZ1" t="str">
            <v>Tháo thu hồi giá đỡ FCO</v>
          </cell>
          <cell r="GA1" t="str">
            <v>Tháo và lắp giá đỡ FCO</v>
          </cell>
          <cell r="GB1" t="str">
            <v>Tháo FCO</v>
          </cell>
          <cell r="GC1" t="str">
            <v>Tháo và lắp FCO</v>
          </cell>
          <cell r="GD1" t="str">
            <v>Tháo và lắp LA</v>
          </cell>
          <cell r="GE1" t="str">
            <v>Tháo lắp  TU</v>
          </cell>
          <cell r="GF1" t="str">
            <v>Tháo và lắp xà X-2.6K trụ PI</v>
          </cell>
          <cell r="GG1" t="str">
            <v>Tháo và lắp xà X-2.1K</v>
          </cell>
          <cell r="GH1" t="str">
            <v>Tháo lắp MBA 1 pha 50kVA</v>
          </cell>
          <cell r="GI1" t="str">
            <v>Tháo lắp MBA 1 pha 75kVA</v>
          </cell>
          <cell r="GJ1" t="str">
            <v>Vị trí vượt đường</v>
          </cell>
          <cell r="GK1" t="str">
            <v>GHI CHÚ</v>
          </cell>
          <cell r="GL1" t="str">
            <v>ON50</v>
          </cell>
          <cell r="GM1" t="str">
            <v>XLPE25</v>
          </cell>
          <cell r="GN1" t="str">
            <v>batli</v>
          </cell>
          <cell r="GO1" t="str">
            <v>CCĐfco</v>
          </cell>
          <cell r="GP1" t="str">
            <v>chi8k</v>
          </cell>
          <cell r="GQ1" t="str">
            <v>khanhkep</v>
          </cell>
        </row>
        <row r="2">
          <cell r="A2" t="str">
            <v>Dự toán</v>
          </cell>
          <cell r="B2">
            <v>755.7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1</v>
          </cell>
          <cell r="Z2">
            <v>25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15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5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1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4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4</v>
          </cell>
          <cell r="CP2">
            <v>3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1</v>
          </cell>
          <cell r="CW2">
            <v>15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1</v>
          </cell>
          <cell r="DC2">
            <v>0</v>
          </cell>
          <cell r="DD2">
            <v>0</v>
          </cell>
          <cell r="DE2">
            <v>69</v>
          </cell>
          <cell r="DF2">
            <v>24</v>
          </cell>
          <cell r="DG2">
            <v>0</v>
          </cell>
          <cell r="DH2">
            <v>0</v>
          </cell>
          <cell r="DI2">
            <v>0</v>
          </cell>
          <cell r="DJ2">
            <v>17</v>
          </cell>
          <cell r="DK2">
            <v>0</v>
          </cell>
          <cell r="DL2">
            <v>0</v>
          </cell>
          <cell r="DM2">
            <v>8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6</v>
          </cell>
          <cell r="EC2">
            <v>6</v>
          </cell>
          <cell r="ED2">
            <v>0</v>
          </cell>
          <cell r="EE2">
            <v>0</v>
          </cell>
          <cell r="EF2">
            <v>0</v>
          </cell>
          <cell r="EG2">
            <v>18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6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3</v>
          </cell>
          <cell r="EY2">
            <v>6</v>
          </cell>
          <cell r="EZ2">
            <v>63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>
            <v>0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0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>
            <v>0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  <cell r="FY2">
            <v>0</v>
          </cell>
          <cell r="FZ2">
            <v>0</v>
          </cell>
          <cell r="GA2">
            <v>0</v>
          </cell>
          <cell r="GB2">
            <v>0</v>
          </cell>
          <cell r="GC2">
            <v>0</v>
          </cell>
          <cell r="GD2">
            <v>0</v>
          </cell>
          <cell r="GE2">
            <v>0</v>
          </cell>
          <cell r="GF2">
            <v>0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9</v>
          </cell>
          <cell r="GN2">
            <v>0</v>
          </cell>
          <cell r="GO2">
            <v>0</v>
          </cell>
          <cell r="GP2">
            <v>3</v>
          </cell>
          <cell r="GQ2">
            <v>0</v>
          </cell>
          <cell r="GR2">
            <v>0</v>
          </cell>
          <cell r="GS2">
            <v>0</v>
          </cell>
          <cell r="GT2">
            <v>0</v>
          </cell>
          <cell r="GU2">
            <v>0</v>
          </cell>
          <cell r="GV2">
            <v>0</v>
          </cell>
          <cell r="GW2">
            <v>0</v>
          </cell>
        </row>
        <row r="3">
          <cell r="A3" t="str">
            <v>Thi công</v>
          </cell>
          <cell r="B3">
            <v>755.7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25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15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5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1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1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4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4</v>
          </cell>
          <cell r="CP3">
            <v>3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1</v>
          </cell>
          <cell r="CW3">
            <v>15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1</v>
          </cell>
          <cell r="DC3">
            <v>0</v>
          </cell>
          <cell r="DD3">
            <v>0</v>
          </cell>
          <cell r="DE3">
            <v>69</v>
          </cell>
          <cell r="DF3">
            <v>24</v>
          </cell>
          <cell r="DG3">
            <v>0</v>
          </cell>
          <cell r="DH3">
            <v>0</v>
          </cell>
          <cell r="DI3">
            <v>0</v>
          </cell>
          <cell r="DJ3">
            <v>17</v>
          </cell>
          <cell r="DK3">
            <v>0</v>
          </cell>
          <cell r="DL3">
            <v>0</v>
          </cell>
          <cell r="DM3">
            <v>8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0</v>
          </cell>
          <cell r="DS3">
            <v>0</v>
          </cell>
          <cell r="DT3">
            <v>0</v>
          </cell>
          <cell r="DU3">
            <v>0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6</v>
          </cell>
          <cell r="EC3">
            <v>6</v>
          </cell>
          <cell r="ED3">
            <v>0</v>
          </cell>
          <cell r="EE3">
            <v>0</v>
          </cell>
          <cell r="EF3">
            <v>0</v>
          </cell>
          <cell r="EG3">
            <v>18</v>
          </cell>
          <cell r="EH3">
            <v>0</v>
          </cell>
          <cell r="EI3">
            <v>0</v>
          </cell>
          <cell r="EJ3">
            <v>0</v>
          </cell>
          <cell r="EK3">
            <v>0</v>
          </cell>
          <cell r="EL3">
            <v>6</v>
          </cell>
          <cell r="EM3">
            <v>0</v>
          </cell>
          <cell r="EN3">
            <v>0</v>
          </cell>
          <cell r="EO3">
            <v>0</v>
          </cell>
          <cell r="EP3">
            <v>0</v>
          </cell>
          <cell r="EQ3">
            <v>0</v>
          </cell>
          <cell r="ER3">
            <v>0</v>
          </cell>
          <cell r="ES3">
            <v>0</v>
          </cell>
          <cell r="ET3">
            <v>0</v>
          </cell>
          <cell r="EU3">
            <v>0</v>
          </cell>
          <cell r="EV3">
            <v>0</v>
          </cell>
          <cell r="EW3">
            <v>0</v>
          </cell>
          <cell r="EX3">
            <v>3</v>
          </cell>
          <cell r="EY3">
            <v>6</v>
          </cell>
          <cell r="EZ3">
            <v>63</v>
          </cell>
          <cell r="FA3">
            <v>0</v>
          </cell>
          <cell r="FB3">
            <v>0</v>
          </cell>
          <cell r="FC3">
            <v>0</v>
          </cell>
          <cell r="FD3">
            <v>0</v>
          </cell>
          <cell r="FE3">
            <v>0</v>
          </cell>
          <cell r="FF3">
            <v>0</v>
          </cell>
          <cell r="FG3">
            <v>0</v>
          </cell>
          <cell r="FH3">
            <v>0</v>
          </cell>
          <cell r="FI3">
            <v>0</v>
          </cell>
          <cell r="FJ3">
            <v>0</v>
          </cell>
          <cell r="FK3">
            <v>0</v>
          </cell>
          <cell r="FL3">
            <v>0</v>
          </cell>
          <cell r="FM3">
            <v>0</v>
          </cell>
          <cell r="FN3">
            <v>0</v>
          </cell>
          <cell r="FO3">
            <v>0</v>
          </cell>
          <cell r="FP3">
            <v>0</v>
          </cell>
          <cell r="FQ3">
            <v>0</v>
          </cell>
          <cell r="FR3">
            <v>0</v>
          </cell>
          <cell r="FS3">
            <v>0</v>
          </cell>
          <cell r="FT3">
            <v>0</v>
          </cell>
          <cell r="FU3">
            <v>0</v>
          </cell>
          <cell r="FV3">
            <v>0</v>
          </cell>
          <cell r="FW3">
            <v>0</v>
          </cell>
          <cell r="FX3">
            <v>0</v>
          </cell>
          <cell r="FY3">
            <v>0</v>
          </cell>
          <cell r="FZ3">
            <v>0</v>
          </cell>
          <cell r="GA3">
            <v>0</v>
          </cell>
          <cell r="GB3">
            <v>0</v>
          </cell>
          <cell r="GC3">
            <v>0</v>
          </cell>
          <cell r="GD3">
            <v>0</v>
          </cell>
          <cell r="GE3">
            <v>0</v>
          </cell>
          <cell r="GF3">
            <v>0</v>
          </cell>
          <cell r="GG3">
            <v>0</v>
          </cell>
          <cell r="GH3">
            <v>0</v>
          </cell>
          <cell r="GI3">
            <v>0</v>
          </cell>
          <cell r="GJ3">
            <v>0</v>
          </cell>
          <cell r="GK3">
            <v>0</v>
          </cell>
          <cell r="GL3">
            <v>0</v>
          </cell>
          <cell r="GM3">
            <v>9</v>
          </cell>
          <cell r="GN3">
            <v>0</v>
          </cell>
          <cell r="GO3">
            <v>0</v>
          </cell>
          <cell r="GP3">
            <v>3</v>
          </cell>
          <cell r="GQ3">
            <v>0</v>
          </cell>
          <cell r="GR3">
            <v>0</v>
          </cell>
          <cell r="GS3">
            <v>0</v>
          </cell>
          <cell r="GT3">
            <v>0</v>
          </cell>
          <cell r="GU3">
            <v>0</v>
          </cell>
          <cell r="GV3">
            <v>0</v>
          </cell>
          <cell r="GW3">
            <v>0</v>
          </cell>
        </row>
        <row r="5">
          <cell r="A5" t="str">
            <v>BẢNG TRỤ ĐƯỜNG DÂY 3 PHA</v>
          </cell>
        </row>
        <row r="6">
          <cell r="A6" t="str">
            <v>Công trình:  Đường dây trung, hạ thế và TBA Xuân Hiệp 17, ấp Việt Kiều, xã Xuân Hiệp</v>
          </cell>
        </row>
        <row r="7">
          <cell r="A7" t="str">
            <v>Địa điểm: Xã Xuân Hiệp - Huyện Xuân Lộc - TỉnhĐồngNai</v>
          </cell>
        </row>
        <row r="8">
          <cell r="A8" t="str">
            <v>Số trụ</v>
          </cell>
          <cell r="B8" t="str">
            <v>Kh.cách</v>
          </cell>
          <cell r="C8" t="str">
            <v>Cộng dồn 3ACXV50 + AC50</v>
          </cell>
          <cell r="D8" t="str">
            <v>Cộng dồn 2xAC50  thu hồi</v>
          </cell>
          <cell r="E8" t="str">
            <v>Cộng dồn 3xAC70+AC50</v>
          </cell>
          <cell r="F8" t="str">
            <v>Cộng dồn 3xAC95+AC50</v>
          </cell>
          <cell r="G8" t="str">
            <v>Cộng dồn 3xAC120+AC70</v>
          </cell>
          <cell r="H8" t="str">
            <v>Cộng dồn 3xAC150+AC95</v>
          </cell>
          <cell r="I8" t="str">
            <v>Cộng dồn 3xAC185+AC120</v>
          </cell>
          <cell r="J8" t="str">
            <v>Cộng dồn 3xAC240+AC150</v>
          </cell>
          <cell r="K8" t="str">
            <v>Cộng dồn 3CXV25+AC50</v>
          </cell>
          <cell r="L8" t="str">
            <v>Cộng dồn 3AXV50mm2+AC50mm2</v>
          </cell>
          <cell r="M8" t="str">
            <v>Cộng dồn 3AXV70+AC50</v>
          </cell>
          <cell r="N8" t="str">
            <v>Cộng dồn 3AXV95+AC50</v>
          </cell>
          <cell r="O8" t="str">
            <v>Cộng dồn 3AXV120+AC70</v>
          </cell>
          <cell r="P8" t="str">
            <v>Cộng dồn 3AXV185+AC120</v>
          </cell>
          <cell r="Q8" t="str">
            <v>Cộng dồn 3AXV240+AC150</v>
          </cell>
          <cell r="R8" t="str">
            <v>Cộng dồn C/XLPE/PVC25+M25</v>
          </cell>
          <cell r="S8" t="str">
            <v>Cộng dồn C/XLPE/PVC50+M25</v>
          </cell>
          <cell r="T8" t="str">
            <v>Hướng: T (trái), P (phải)</v>
          </cell>
          <cell r="U8" t="str">
            <v>góc (độ)</v>
          </cell>
          <cell r="V8" t="str">
            <v>Hình thức trụ</v>
          </cell>
          <cell r="W8" t="str">
            <v>Trụ</v>
          </cell>
          <cell r="BG8" t="str">
            <v>Chằng</v>
          </cell>
          <cell r="BT8" t="str">
            <v>M.néo</v>
          </cell>
          <cell r="CF8" t="str">
            <v>Tiếp địa lặp lại (trụ 10.5m)</v>
          </cell>
          <cell r="CG8" t="str">
            <v>Tiếp địa lặp lại (trụ 12m)</v>
          </cell>
          <cell r="CH8" t="str">
            <v>Tiếp địa lặp lại trụ 12m</v>
          </cell>
          <cell r="CI8" t="str">
            <v>Tiếp địa mái tole</v>
          </cell>
          <cell r="CJ8" t="str">
            <v>Tiếp địa trụ đo đếm</v>
          </cell>
          <cell r="CK8" t="str">
            <v>Tiếp địa Recloser</v>
          </cell>
          <cell r="CL8" t="str">
            <v>Tiếp địa lặp lại (trụ 14m)</v>
          </cell>
          <cell r="CM8" t="str">
            <v>Tiếp địa lặp lại (trụ 20m)</v>
          </cell>
          <cell r="CN8" t="str">
            <v>Loại xà</v>
          </cell>
          <cell r="DC8" t="str">
            <v>Bộ sứ đỉnh SĐI</v>
          </cell>
          <cell r="DD8" t="str">
            <v>Bộ sứ đỉnh SĐG</v>
          </cell>
          <cell r="DE8" t="str">
            <v>Bộ sứ đứng SĐU</v>
          </cell>
          <cell r="DF8" t="str">
            <v>Chuỗi Polymer lắp vào xà CĐX</v>
          </cell>
          <cell r="DG8" t="str">
            <v xml:space="preserve">Chuỗi Polymer lắp vào trụ CĐT </v>
          </cell>
          <cell r="DH8" t="str">
            <v>Ốc xiết cáp cỡ 25mm2</v>
          </cell>
          <cell r="DI8" t="str">
            <v>Ốc xiết cáp cỡ 50mm2</v>
          </cell>
          <cell r="DJ8" t="str">
            <v>Bộ đỡ dây T.H : Đth-U</v>
          </cell>
          <cell r="DK8" t="str">
            <v>Bộ đỡ dây T.H  trụ ghép: Đth-U-g</v>
          </cell>
          <cell r="DL8" t="str">
            <v>Bộ đỡ dây T.H : Đth-UX</v>
          </cell>
          <cell r="DM8" t="str">
            <v>Bộ néo dây T.H : Nth-U</v>
          </cell>
          <cell r="DN8" t="str">
            <v>Bộ néo dây T.H vao xa: Nth-X</v>
          </cell>
          <cell r="DO8" t="str">
            <v>Bộ khoá néo dây T.H vao xa: Nth- X</v>
          </cell>
          <cell r="DP8" t="str">
            <v>Bộ khóa néo T.H vào trụ : Nth-T-g</v>
          </cell>
          <cell r="DQ8" t="str">
            <v>Bộ khóa néo T.H vào trụ : Nth-T</v>
          </cell>
          <cell r="DR8" t="str">
            <v>Kẹp 2 rãnh cỡ dây 50mm2</v>
          </cell>
          <cell r="DS8" t="str">
            <v>Kẹp 2 rãnh cỡ dây 70mm2</v>
          </cell>
          <cell r="DT8" t="str">
            <v>Kẹp 2 rãnh cỡ dây 95mm2</v>
          </cell>
          <cell r="DU8" t="str">
            <v>Kẹp 2 rãnh cỡ dây 120mm2</v>
          </cell>
          <cell r="DV8" t="str">
            <v>Kẹp 2 rãnh cỡ dây 150mm2</v>
          </cell>
          <cell r="DW8" t="str">
            <v>Kẹp 2rãnh cỡ dây 185mm2</v>
          </cell>
          <cell r="DX8" t="str">
            <v>Kẹp 2rãnh cỡ dây 240mm2</v>
          </cell>
          <cell r="DY8" t="str">
            <v>Rack 2 sứ hạ thế + bulon</v>
          </cell>
          <cell r="DZ8" t="str">
            <v>Rack 3 sứ hạ thế + bulon</v>
          </cell>
          <cell r="EA8" t="str">
            <v>Rack 4 sứ hạ thế + bulon</v>
          </cell>
          <cell r="EB8" t="str">
            <v>Kẹp quai 2/0 + Chụp</v>
          </cell>
          <cell r="EC8" t="str">
            <v>Hotline 2/0</v>
          </cell>
          <cell r="ED8" t="str">
            <v>Kẹp quai 4/0</v>
          </cell>
          <cell r="EE8" t="str">
            <v>Hotline 4/0</v>
          </cell>
          <cell r="EF8" t="str">
            <v>Kẹp ép cỡ 35mm2</v>
          </cell>
          <cell r="EG8" t="str">
            <v>Kẹp ép cỡ 50mm2</v>
          </cell>
          <cell r="EH8" t="str">
            <v>Kẹp ép cỡ 70mm2</v>
          </cell>
          <cell r="EI8" t="str">
            <v>Kẹp ép cỡ 95mm2</v>
          </cell>
          <cell r="EJ8" t="str">
            <v>Kẹp ép cỡ 120mm2</v>
          </cell>
          <cell r="EK8" t="str">
            <v>Kẹp ép cỡ 150mm2</v>
          </cell>
          <cell r="EL8" t="str">
            <v>Kẹp ép cỡ 185mm2</v>
          </cell>
          <cell r="EM8" t="str">
            <v>Kẹp ép cỡ 240mm2</v>
          </cell>
          <cell r="EN8" t="str">
            <v>Kẹp APC 2 rảnh</v>
          </cell>
          <cell r="EO8" t="str">
            <v>Đầu cốt ép cỡ dây 50mm2</v>
          </cell>
          <cell r="EP8" t="str">
            <v>Đầu cốt ép cỡ dây 95mm2</v>
          </cell>
          <cell r="EQ8" t="str">
            <v>Đầu cốt ép cỡ dây 120mm2</v>
          </cell>
          <cell r="ER8" t="str">
            <v>Đầu cốt ép cỡ dây 150mm2</v>
          </cell>
          <cell r="ES8" t="str">
            <v>Đầu cốt ép cỡ dây 185mm2</v>
          </cell>
          <cell r="ET8" t="str">
            <v>Đầu cốt ép cỡ dây 240mm2</v>
          </cell>
          <cell r="EU8" t="str">
            <v>LBFCO100</v>
          </cell>
          <cell r="EV8" t="str">
            <v>LBFCO200</v>
          </cell>
          <cell r="EW8" t="str">
            <v>FCO200</v>
          </cell>
          <cell r="EX8" t="str">
            <v>FCO100</v>
          </cell>
          <cell r="EY8" t="str">
            <v>Dây buộc cổ sứ 50</v>
          </cell>
          <cell r="EZ8" t="str">
            <v>Dây buộc đầu sứ 50</v>
          </cell>
          <cell r="FA8" t="str">
            <v>Bulon móc 16x300</v>
          </cell>
          <cell r="FB8" t="str">
            <v>Kẹp treo cáp ABC 4x95</v>
          </cell>
          <cell r="FC8" t="str">
            <v>Ống co nhiệt ф65/25</v>
          </cell>
          <cell r="FD8" t="str">
            <v>DS3p</v>
          </cell>
          <cell r="FE8" t="str">
            <v>LBS</v>
          </cell>
          <cell r="FF8" t="str">
            <v>LTD</v>
          </cell>
          <cell r="FG8" t="str">
            <v>LA 12kV 10kA</v>
          </cell>
          <cell r="FH8" t="str">
            <v>LA 18kV 10kA</v>
          </cell>
          <cell r="FI8" t="str">
            <v>Tháo sứ đứng</v>
          </cell>
          <cell r="FJ8" t="str">
            <v>Tháo sứ đỉnh thẳng</v>
          </cell>
          <cell r="FK8" t="str">
            <v>Tháo sứ đỉnh góc</v>
          </cell>
          <cell r="FL8" t="str">
            <v>Tháo và lắp sứ thủy tinh 2 bát</v>
          </cell>
          <cell r="FM8" t="str">
            <v>Tháo và lắp sứ treo Polymer</v>
          </cell>
          <cell r="FN8" t="str">
            <v>Tháo và lắp Ulevit và sứ ống chỉ</v>
          </cell>
          <cell r="FO8" t="str">
            <v>Tháo và lắp sứ đứng + chân sứ</v>
          </cell>
          <cell r="FP8" t="str">
            <v>Tháo và lắp rack 2 sứ</v>
          </cell>
          <cell r="FQ8" t="str">
            <v>Tháo và lắp rack 3 sứ</v>
          </cell>
          <cell r="FR8" t="str">
            <v>Tháo và lắp rack 4 sứ</v>
          </cell>
          <cell r="FS8" t="str">
            <v>Tháo bộ chằng xuống đơn CX-12B</v>
          </cell>
          <cell r="FT8" t="str">
            <v>Tháo bộ chằng lệch đơn CL-12B</v>
          </cell>
          <cell r="FU8" t="str">
            <v>Tháo bộ chằng lệch hạ thế</v>
          </cell>
          <cell r="FV8" t="str">
            <v>Nhổ và trồng trụ 12m</v>
          </cell>
          <cell r="FW8" t="str">
            <v>Nhổ thu hồi trụ 10,5m</v>
          </cell>
          <cell r="FX8" t="str">
            <v>Nhổ và trồng trụ 8,4m</v>
          </cell>
          <cell r="FY8" t="str">
            <v>Nhổ trụ 8,4m</v>
          </cell>
          <cell r="FZ8" t="str">
            <v>Tháo thu hồi giá đỡ FCO</v>
          </cell>
          <cell r="GA8" t="str">
            <v>Tháo và lắp giá đỡ FCO</v>
          </cell>
          <cell r="GB8" t="str">
            <v>Tháo FCO</v>
          </cell>
          <cell r="GC8" t="str">
            <v>Tháo và lắp FCO</v>
          </cell>
          <cell r="GD8" t="str">
            <v>Tháo và lắp LA</v>
          </cell>
          <cell r="GE8" t="str">
            <v>Tháo lắp  TU</v>
          </cell>
          <cell r="GF8" t="str">
            <v>Tháo và lắp xà X-2.6K trụ PI</v>
          </cell>
          <cell r="GG8" t="str">
            <v>Tháo và lắp xà X-2.1K</v>
          </cell>
          <cell r="GH8" t="str">
            <v>Tháo lắp MBA 1 pha 50kVA</v>
          </cell>
          <cell r="GI8" t="str">
            <v>Tháo lắp MBA 1 pha 75kVA</v>
          </cell>
          <cell r="GJ8" t="str">
            <v>Vị trí vượt đường</v>
          </cell>
          <cell r="GK8" t="str">
            <v>GHI CHÚ</v>
          </cell>
        </row>
        <row r="9">
          <cell r="W9" t="str">
            <v>BTLT HH</v>
          </cell>
          <cell r="X9" t="str">
            <v>BTLT 10.5</v>
          </cell>
          <cell r="Y9" t="str">
            <v>BTLT 12HH</v>
          </cell>
          <cell r="Z9" t="str">
            <v>BTLT 12</v>
          </cell>
          <cell r="AA9" t="str">
            <v>BTLT 12 TC</v>
          </cell>
          <cell r="AB9" t="str">
            <v>BTLT 14</v>
          </cell>
          <cell r="AC9" t="str">
            <v>BTLT 20</v>
          </cell>
          <cell r="AD9" t="str">
            <v>M8a</v>
          </cell>
          <cell r="AE9" t="str">
            <v>M12</v>
          </cell>
          <cell r="AF9" t="str">
            <v>M12a</v>
          </cell>
          <cell r="AG9" t="str">
            <v>M12b</v>
          </cell>
          <cell r="AH9" t="str">
            <v>M12aa</v>
          </cell>
          <cell r="AI9" t="str">
            <v>M12ba</v>
          </cell>
          <cell r="AJ9" t="str">
            <v>M12bb</v>
          </cell>
          <cell r="AK9" t="str">
            <v>M12-2a</v>
          </cell>
          <cell r="AL9" t="str">
            <v>M12-2b</v>
          </cell>
          <cell r="AM9" t="str">
            <v>M12-2bn</v>
          </cell>
          <cell r="AN9" t="str">
            <v>M12b-aa(hh)</v>
          </cell>
          <cell r="AO9" t="str">
            <v>M12 CN</v>
          </cell>
          <cell r="AP9" t="str">
            <v>M12 PĐ</v>
          </cell>
          <cell r="AQ9" t="str">
            <v>M12BT ĐƠN</v>
          </cell>
          <cell r="AR9" t="str">
            <v>M12BT P500</v>
          </cell>
          <cell r="AS9" t="str">
            <v>M12BT ĐÔI</v>
          </cell>
          <cell r="AT9" t="str">
            <v>M14</v>
          </cell>
          <cell r="AU9" t="str">
            <v>M14a</v>
          </cell>
          <cell r="AV9" t="str">
            <v>M14b</v>
          </cell>
          <cell r="AW9" t="str">
            <v>M14BT ĐƠN</v>
          </cell>
          <cell r="AX9" t="str">
            <v>M14aa</v>
          </cell>
          <cell r="AY9" t="str">
            <v>M14ba</v>
          </cell>
          <cell r="AZ9" t="str">
            <v>M14bb</v>
          </cell>
          <cell r="BA9" t="str">
            <v>M14-2a</v>
          </cell>
          <cell r="BB9" t="str">
            <v>M14-2b</v>
          </cell>
          <cell r="BC9" t="str">
            <v>M14-2bn</v>
          </cell>
          <cell r="BD9" t="str">
            <v>M14-4b</v>
          </cell>
          <cell r="BE9" t="str">
            <v>BTCL-14-500</v>
          </cell>
          <cell r="BF9" t="str">
            <v>M20-4b</v>
          </cell>
          <cell r="BG9" t="str">
            <v>CX10-B</v>
          </cell>
          <cell r="BH9" t="str">
            <v>CL10-B</v>
          </cell>
          <cell r="BI9" t="str">
            <v>CXX10-B</v>
          </cell>
          <cell r="BJ9" t="str">
            <v>CX12-B</v>
          </cell>
          <cell r="BK9" t="str">
            <v>CL12-B</v>
          </cell>
          <cell r="BL9" t="str">
            <v>CXX12-B</v>
          </cell>
          <cell r="BM9" t="str">
            <v>CX14-B</v>
          </cell>
          <cell r="BN9" t="str">
            <v>CL14-B</v>
          </cell>
          <cell r="BO9" t="str">
            <v>CXX14-B</v>
          </cell>
          <cell r="BP9" t="str">
            <v>CX20-B</v>
          </cell>
          <cell r="BQ9" t="str">
            <v>CK-B</v>
          </cell>
          <cell r="BR9" t="str">
            <v>CKK-B</v>
          </cell>
          <cell r="BS9" t="str">
            <v>Khoảng cách</v>
          </cell>
          <cell r="BT9" t="str">
            <v>NXX</v>
          </cell>
          <cell r="BU9" t="str">
            <v>NXL</v>
          </cell>
          <cell r="BV9" t="str">
            <v xml:space="preserve">MNX12-2 </v>
          </cell>
          <cell r="BW9" t="str">
            <v>MNL12-2</v>
          </cell>
          <cell r="BX9" t="str">
            <v xml:space="preserve">MNX12-4 </v>
          </cell>
          <cell r="BY9" t="str">
            <v xml:space="preserve">MNL12-4 </v>
          </cell>
          <cell r="BZ9" t="str">
            <v xml:space="preserve">MNX15-4 </v>
          </cell>
          <cell r="CA9" t="str">
            <v>MNL15-4</v>
          </cell>
          <cell r="CB9" t="str">
            <v xml:space="preserve">MNX15-6 </v>
          </cell>
          <cell r="CC9" t="str">
            <v xml:space="preserve">MNL15-6 </v>
          </cell>
          <cell r="CD9" t="str">
            <v xml:space="preserve">MNX18-6 </v>
          </cell>
          <cell r="CE9" t="str">
            <v xml:space="preserve">MNL18-6 </v>
          </cell>
          <cell r="CN9" t="str">
            <v>X-20Đ</v>
          </cell>
          <cell r="CO9" t="str">
            <v>X-22K-Đ</v>
          </cell>
          <cell r="CP9" t="str">
            <v>X-22K-K</v>
          </cell>
          <cell r="CQ9" t="str">
            <v>X-22Đ</v>
          </cell>
          <cell r="CR9" t="str">
            <v>X-22K-Đ-C920</v>
          </cell>
          <cell r="CS9" t="str">
            <v>X-22K-K-C920</v>
          </cell>
          <cell r="CT9" t="str">
            <v>X-1,66K</v>
          </cell>
          <cell r="CU9" t="str">
            <v>X-1,66Đ</v>
          </cell>
          <cell r="CV9" t="str">
            <v>X-21KL</v>
          </cell>
          <cell r="CW9" t="str">
            <v>X-21ĐL</v>
          </cell>
          <cell r="CX9" t="str">
            <v>X-20ĐL2/3</v>
          </cell>
          <cell r="CY9" t="str">
            <v>X-20KL2/3</v>
          </cell>
          <cell r="CZ9" t="str">
            <v>X-24Đ</v>
          </cell>
          <cell r="DA9" t="str">
            <v>X-24KP500</v>
          </cell>
          <cell r="DB9" t="str">
            <v>X-24COPOSITE</v>
          </cell>
        </row>
        <row r="10">
          <cell r="B10" t="str">
            <v>AC50</v>
          </cell>
          <cell r="CH10" t="str">
            <v>TDLL12</v>
          </cell>
          <cell r="DB10" t="str">
            <v>X-24COMPOSITE</v>
          </cell>
          <cell r="DE10" t="str">
            <v>SĐU</v>
          </cell>
          <cell r="DF10" t="str">
            <v>CĐTply-X</v>
          </cell>
          <cell r="DJ10" t="str">
            <v>Đth-U</v>
          </cell>
          <cell r="DM10" t="str">
            <v>Nth-T</v>
          </cell>
          <cell r="EB10" t="str">
            <v xml:space="preserve">KQ2/0 </v>
          </cell>
          <cell r="EC10" t="str">
            <v>KH2/0</v>
          </cell>
          <cell r="ED10" t="str">
            <v xml:space="preserve">KQ4/0 </v>
          </cell>
          <cell r="EE10" t="str">
            <v>KH4/0</v>
          </cell>
          <cell r="EG10" t="str">
            <v>ke50</v>
          </cell>
          <cell r="EJ10" t="str">
            <v>ke120</v>
          </cell>
          <cell r="EK10" t="str">
            <v>ke150</v>
          </cell>
          <cell r="EW10" t="str">
            <v>FCO200</v>
          </cell>
          <cell r="EX10" t="str">
            <v>FCO100-22</v>
          </cell>
          <cell r="EY10" t="str">
            <v>ssf50</v>
          </cell>
          <cell r="EZ10" t="str">
            <v>ttf50</v>
          </cell>
          <cell r="FA10" t="str">
            <v>BMOC16300</v>
          </cell>
          <cell r="FB10" t="str">
            <v>KNGUNG95</v>
          </cell>
        </row>
        <row r="11">
          <cell r="A11" t="str">
            <v>174/106</v>
          </cell>
          <cell r="V11" t="str">
            <v>I-DT</v>
          </cell>
          <cell r="Y11">
            <v>1</v>
          </cell>
          <cell r="BK11">
            <v>1</v>
          </cell>
          <cell r="BU11">
            <v>1</v>
          </cell>
          <cell r="CO11">
            <v>1</v>
          </cell>
          <cell r="DE11">
            <v>2</v>
          </cell>
          <cell r="EG11">
            <v>2</v>
          </cell>
          <cell r="EL11">
            <v>6</v>
          </cell>
          <cell r="EZ11">
            <v>2</v>
          </cell>
        </row>
        <row r="12">
          <cell r="A12">
            <v>1</v>
          </cell>
          <cell r="B12">
            <v>15.7</v>
          </cell>
          <cell r="C12">
            <v>15.7</v>
          </cell>
          <cell r="V12" t="str">
            <v>2DT</v>
          </cell>
          <cell r="Z12">
            <v>2</v>
          </cell>
          <cell r="AS12">
            <v>1</v>
          </cell>
          <cell r="CH12">
            <v>1</v>
          </cell>
          <cell r="CP12">
            <v>1</v>
          </cell>
          <cell r="DB12">
            <v>1</v>
          </cell>
          <cell r="DF12">
            <v>3</v>
          </cell>
          <cell r="DJ12">
            <v>1</v>
          </cell>
          <cell r="DM12">
            <v>1</v>
          </cell>
          <cell r="EB12">
            <v>3</v>
          </cell>
          <cell r="EC12">
            <v>3</v>
          </cell>
          <cell r="EX12">
            <v>3</v>
          </cell>
          <cell r="GM12">
            <v>3</v>
          </cell>
          <cell r="GP12">
            <v>3</v>
          </cell>
        </row>
        <row r="13">
          <cell r="A13">
            <v>2</v>
          </cell>
          <cell r="B13">
            <v>40</v>
          </cell>
          <cell r="C13">
            <v>55.7</v>
          </cell>
          <cell r="V13" t="str">
            <v>IG</v>
          </cell>
          <cell r="Z13">
            <v>2</v>
          </cell>
          <cell r="AS13">
            <v>1</v>
          </cell>
          <cell r="CV13">
            <v>1</v>
          </cell>
          <cell r="DE13">
            <v>6</v>
          </cell>
          <cell r="DF13">
            <v>6</v>
          </cell>
          <cell r="DJ13">
            <v>1</v>
          </cell>
          <cell r="DM13">
            <v>2</v>
          </cell>
          <cell r="EB13">
            <v>3</v>
          </cell>
          <cell r="EC13">
            <v>3</v>
          </cell>
          <cell r="EY13">
            <v>6</v>
          </cell>
          <cell r="GM13">
            <v>6</v>
          </cell>
        </row>
        <row r="14">
          <cell r="A14">
            <v>3</v>
          </cell>
          <cell r="B14">
            <v>40</v>
          </cell>
          <cell r="C14">
            <v>95.7</v>
          </cell>
          <cell r="V14" t="str">
            <v>I</v>
          </cell>
          <cell r="Z14">
            <v>1</v>
          </cell>
          <cell r="AE14">
            <v>1</v>
          </cell>
          <cell r="CW14">
            <v>1</v>
          </cell>
          <cell r="DE14">
            <v>3</v>
          </cell>
          <cell r="DJ14">
            <v>1</v>
          </cell>
          <cell r="EZ14">
            <v>3</v>
          </cell>
        </row>
        <row r="15">
          <cell r="A15">
            <v>4</v>
          </cell>
          <cell r="B15">
            <v>35</v>
          </cell>
          <cell r="C15">
            <v>130.69999999999999</v>
          </cell>
          <cell r="V15" t="str">
            <v>I</v>
          </cell>
          <cell r="Z15">
            <v>1</v>
          </cell>
          <cell r="AE15">
            <v>1</v>
          </cell>
          <cell r="CW15">
            <v>1</v>
          </cell>
          <cell r="DE15">
            <v>3</v>
          </cell>
          <cell r="DJ15">
            <v>1</v>
          </cell>
          <cell r="EZ15">
            <v>3</v>
          </cell>
        </row>
        <row r="16">
          <cell r="A16">
            <v>5</v>
          </cell>
          <cell r="B16">
            <v>40</v>
          </cell>
          <cell r="C16">
            <v>170.7</v>
          </cell>
          <cell r="V16" t="str">
            <v>I</v>
          </cell>
          <cell r="Z16">
            <v>1</v>
          </cell>
          <cell r="AE16">
            <v>1</v>
          </cell>
          <cell r="CW16">
            <v>1</v>
          </cell>
          <cell r="DE16">
            <v>3</v>
          </cell>
          <cell r="DJ16">
            <v>1</v>
          </cell>
          <cell r="EZ16">
            <v>3</v>
          </cell>
        </row>
        <row r="17">
          <cell r="A17">
            <v>6</v>
          </cell>
          <cell r="B17">
            <v>35</v>
          </cell>
          <cell r="C17">
            <v>205.7</v>
          </cell>
          <cell r="V17" t="str">
            <v>2DT</v>
          </cell>
          <cell r="Z17">
            <v>2</v>
          </cell>
          <cell r="AS17">
            <v>1</v>
          </cell>
          <cell r="CH17">
            <v>1</v>
          </cell>
          <cell r="CO17">
            <v>1</v>
          </cell>
          <cell r="CP17">
            <v>1</v>
          </cell>
          <cell r="DE17">
            <v>8</v>
          </cell>
          <cell r="DF17">
            <v>6</v>
          </cell>
          <cell r="DM17">
            <v>2</v>
          </cell>
          <cell r="EG17">
            <v>8</v>
          </cell>
          <cell r="EZ17">
            <v>8</v>
          </cell>
        </row>
        <row r="18">
          <cell r="A18">
            <v>7</v>
          </cell>
          <cell r="B18">
            <v>40</v>
          </cell>
          <cell r="C18">
            <v>245.7</v>
          </cell>
          <cell r="V18" t="str">
            <v>I</v>
          </cell>
          <cell r="Z18">
            <v>1</v>
          </cell>
          <cell r="AE18">
            <v>1</v>
          </cell>
          <cell r="CW18">
            <v>1</v>
          </cell>
          <cell r="DE18">
            <v>3</v>
          </cell>
          <cell r="DJ18">
            <v>1</v>
          </cell>
          <cell r="EZ18">
            <v>3</v>
          </cell>
        </row>
        <row r="19">
          <cell r="A19">
            <v>8</v>
          </cell>
          <cell r="B19">
            <v>40</v>
          </cell>
          <cell r="C19">
            <v>285.7</v>
          </cell>
          <cell r="V19" t="str">
            <v>I</v>
          </cell>
          <cell r="Z19">
            <v>1</v>
          </cell>
          <cell r="AE19">
            <v>1</v>
          </cell>
          <cell r="CW19">
            <v>1</v>
          </cell>
          <cell r="DE19">
            <v>3</v>
          </cell>
          <cell r="DJ19">
            <v>1</v>
          </cell>
          <cell r="EZ19">
            <v>3</v>
          </cell>
        </row>
        <row r="20">
          <cell r="A20">
            <v>9</v>
          </cell>
          <cell r="B20">
            <v>40</v>
          </cell>
          <cell r="C20">
            <v>325.7</v>
          </cell>
          <cell r="V20" t="str">
            <v>I</v>
          </cell>
          <cell r="Z20">
            <v>1</v>
          </cell>
          <cell r="AE20">
            <v>1</v>
          </cell>
          <cell r="CW20">
            <v>1</v>
          </cell>
          <cell r="DE20">
            <v>3</v>
          </cell>
          <cell r="DJ20">
            <v>1</v>
          </cell>
          <cell r="EZ20">
            <v>3</v>
          </cell>
        </row>
        <row r="21">
          <cell r="A21">
            <v>10</v>
          </cell>
          <cell r="B21">
            <v>40</v>
          </cell>
          <cell r="C21">
            <v>365.7</v>
          </cell>
          <cell r="V21" t="str">
            <v>I</v>
          </cell>
          <cell r="Z21">
            <v>1</v>
          </cell>
          <cell r="AE21">
            <v>1</v>
          </cell>
          <cell r="CW21">
            <v>1</v>
          </cell>
          <cell r="DE21">
            <v>3</v>
          </cell>
          <cell r="DJ21">
            <v>1</v>
          </cell>
          <cell r="EZ21">
            <v>3</v>
          </cell>
        </row>
        <row r="22">
          <cell r="A22">
            <v>11</v>
          </cell>
          <cell r="B22">
            <v>40</v>
          </cell>
          <cell r="C22">
            <v>405.7</v>
          </cell>
          <cell r="V22" t="str">
            <v>I</v>
          </cell>
          <cell r="Z22">
            <v>1</v>
          </cell>
          <cell r="AE22">
            <v>1</v>
          </cell>
          <cell r="CH22">
            <v>1</v>
          </cell>
          <cell r="CW22">
            <v>1</v>
          </cell>
          <cell r="DE22">
            <v>3</v>
          </cell>
          <cell r="DJ22">
            <v>1</v>
          </cell>
          <cell r="EZ22">
            <v>3</v>
          </cell>
        </row>
        <row r="23">
          <cell r="A23">
            <v>12</v>
          </cell>
          <cell r="B23">
            <v>40</v>
          </cell>
          <cell r="C23">
            <v>445.7</v>
          </cell>
          <cell r="V23" t="str">
            <v>I</v>
          </cell>
          <cell r="Z23">
            <v>1</v>
          </cell>
          <cell r="AE23">
            <v>1</v>
          </cell>
          <cell r="CW23">
            <v>1</v>
          </cell>
          <cell r="DE23">
            <v>3</v>
          </cell>
          <cell r="DJ23">
            <v>1</v>
          </cell>
          <cell r="EZ23">
            <v>3</v>
          </cell>
        </row>
        <row r="24">
          <cell r="A24">
            <v>13</v>
          </cell>
          <cell r="B24">
            <v>40</v>
          </cell>
          <cell r="C24">
            <v>485.7</v>
          </cell>
          <cell r="V24" t="str">
            <v>I</v>
          </cell>
          <cell r="Z24">
            <v>1</v>
          </cell>
          <cell r="AE24">
            <v>1</v>
          </cell>
          <cell r="CW24">
            <v>1</v>
          </cell>
          <cell r="DE24">
            <v>3</v>
          </cell>
          <cell r="DJ24">
            <v>1</v>
          </cell>
          <cell r="EZ24">
            <v>3</v>
          </cell>
        </row>
        <row r="25">
          <cell r="A25">
            <v>14</v>
          </cell>
          <cell r="B25">
            <v>35</v>
          </cell>
          <cell r="C25">
            <v>520.70000000000005</v>
          </cell>
          <cell r="V25" t="str">
            <v>I</v>
          </cell>
          <cell r="Z25">
            <v>1</v>
          </cell>
          <cell r="AE25">
            <v>1</v>
          </cell>
          <cell r="CW25">
            <v>1</v>
          </cell>
          <cell r="DE25">
            <v>3</v>
          </cell>
          <cell r="DJ25">
            <v>1</v>
          </cell>
          <cell r="EZ25">
            <v>3</v>
          </cell>
        </row>
        <row r="26">
          <cell r="A26">
            <v>15</v>
          </cell>
          <cell r="B26">
            <v>35</v>
          </cell>
          <cell r="C26">
            <v>555.70000000000005</v>
          </cell>
          <cell r="V26" t="str">
            <v>2DT</v>
          </cell>
          <cell r="Z26">
            <v>2</v>
          </cell>
          <cell r="AS26">
            <v>1</v>
          </cell>
          <cell r="CH26">
            <v>1</v>
          </cell>
          <cell r="CO26">
            <v>1</v>
          </cell>
          <cell r="CP26">
            <v>1</v>
          </cell>
          <cell r="DE26">
            <v>8</v>
          </cell>
          <cell r="DF26">
            <v>6</v>
          </cell>
          <cell r="DM26">
            <v>2</v>
          </cell>
          <cell r="EG26">
            <v>8</v>
          </cell>
          <cell r="EZ26">
            <v>8</v>
          </cell>
        </row>
        <row r="27">
          <cell r="A27">
            <v>16</v>
          </cell>
          <cell r="B27">
            <v>40</v>
          </cell>
          <cell r="C27">
            <v>595.70000000000005</v>
          </cell>
          <cell r="V27" t="str">
            <v>I</v>
          </cell>
          <cell r="Z27">
            <v>1</v>
          </cell>
          <cell r="AE27">
            <v>1</v>
          </cell>
          <cell r="CW27">
            <v>1</v>
          </cell>
          <cell r="DE27">
            <v>3</v>
          </cell>
          <cell r="DJ27">
            <v>1</v>
          </cell>
          <cell r="EZ27">
            <v>3</v>
          </cell>
        </row>
        <row r="28">
          <cell r="A28">
            <v>17</v>
          </cell>
          <cell r="B28">
            <v>40</v>
          </cell>
          <cell r="C28">
            <v>635.70000000000005</v>
          </cell>
          <cell r="V28" t="str">
            <v>I</v>
          </cell>
          <cell r="Z28">
            <v>1</v>
          </cell>
          <cell r="AE28">
            <v>1</v>
          </cell>
          <cell r="CW28">
            <v>1</v>
          </cell>
          <cell r="DE28">
            <v>3</v>
          </cell>
          <cell r="DJ28">
            <v>1</v>
          </cell>
          <cell r="EZ28">
            <v>3</v>
          </cell>
        </row>
        <row r="29">
          <cell r="A29">
            <v>18</v>
          </cell>
          <cell r="B29">
            <v>40</v>
          </cell>
          <cell r="C29">
            <v>675.7</v>
          </cell>
          <cell r="V29" t="str">
            <v>I</v>
          </cell>
          <cell r="Z29">
            <v>1</v>
          </cell>
          <cell r="AE29">
            <v>1</v>
          </cell>
          <cell r="CW29">
            <v>1</v>
          </cell>
          <cell r="DE29">
            <v>3</v>
          </cell>
          <cell r="DJ29">
            <v>1</v>
          </cell>
          <cell r="EZ29">
            <v>3</v>
          </cell>
        </row>
        <row r="30">
          <cell r="A30">
            <v>19</v>
          </cell>
          <cell r="B30">
            <v>40</v>
          </cell>
          <cell r="C30">
            <v>715.7</v>
          </cell>
          <cell r="V30" t="str">
            <v>I</v>
          </cell>
          <cell r="Z30">
            <v>1</v>
          </cell>
          <cell r="AE30">
            <v>1</v>
          </cell>
          <cell r="CW30">
            <v>1</v>
          </cell>
          <cell r="DE30">
            <v>3</v>
          </cell>
          <cell r="DJ30">
            <v>1</v>
          </cell>
          <cell r="EZ30">
            <v>3</v>
          </cell>
        </row>
        <row r="31">
          <cell r="A31">
            <v>20</v>
          </cell>
          <cell r="B31">
            <v>40</v>
          </cell>
          <cell r="C31">
            <v>755.7</v>
          </cell>
          <cell r="V31" t="str">
            <v>DT</v>
          </cell>
          <cell r="Z31">
            <v>2</v>
          </cell>
          <cell r="AS31">
            <v>1</v>
          </cell>
          <cell r="CO31">
            <v>1</v>
          </cell>
          <cell r="DF31">
            <v>3</v>
          </cell>
          <cell r="DM31">
            <v>1</v>
          </cell>
        </row>
        <row r="114">
          <cell r="A114" t="str">
            <v>TỔNG</v>
          </cell>
          <cell r="B114">
            <v>755.7</v>
          </cell>
          <cell r="C114">
            <v>755.7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W114">
            <v>0</v>
          </cell>
          <cell r="X114">
            <v>0</v>
          </cell>
          <cell r="Y114">
            <v>1</v>
          </cell>
          <cell r="Z114">
            <v>25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15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5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1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1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4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4</v>
          </cell>
          <cell r="CP114">
            <v>3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1</v>
          </cell>
          <cell r="CW114">
            <v>15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1</v>
          </cell>
          <cell r="DC114">
            <v>0</v>
          </cell>
          <cell r="DD114">
            <v>0</v>
          </cell>
          <cell r="DE114">
            <v>69</v>
          </cell>
          <cell r="DF114">
            <v>24</v>
          </cell>
          <cell r="DG114">
            <v>0</v>
          </cell>
          <cell r="DH114">
            <v>0</v>
          </cell>
          <cell r="DI114">
            <v>0</v>
          </cell>
          <cell r="DJ114">
            <v>17</v>
          </cell>
          <cell r="DK114">
            <v>0</v>
          </cell>
          <cell r="DL114">
            <v>0</v>
          </cell>
          <cell r="DM114">
            <v>8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6</v>
          </cell>
          <cell r="EC114">
            <v>6</v>
          </cell>
          <cell r="ED114">
            <v>0</v>
          </cell>
          <cell r="EE114">
            <v>0</v>
          </cell>
          <cell r="EF114">
            <v>0</v>
          </cell>
          <cell r="EG114">
            <v>18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6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0</v>
          </cell>
          <cell r="EU114">
            <v>0</v>
          </cell>
          <cell r="EV114">
            <v>0</v>
          </cell>
          <cell r="EW114">
            <v>0</v>
          </cell>
          <cell r="EX114">
            <v>3</v>
          </cell>
          <cell r="EY114">
            <v>6</v>
          </cell>
          <cell r="EZ114">
            <v>63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0</v>
          </cell>
          <cell r="FH114">
            <v>0</v>
          </cell>
          <cell r="FI114">
            <v>0</v>
          </cell>
          <cell r="FJ114">
            <v>0</v>
          </cell>
          <cell r="FK114">
            <v>0</v>
          </cell>
          <cell r="FL114">
            <v>0</v>
          </cell>
          <cell r="FM114">
            <v>0</v>
          </cell>
          <cell r="FN114">
            <v>0</v>
          </cell>
          <cell r="FO114">
            <v>0</v>
          </cell>
          <cell r="FP114">
            <v>0</v>
          </cell>
          <cell r="FQ114">
            <v>0</v>
          </cell>
          <cell r="FR114">
            <v>0</v>
          </cell>
          <cell r="FS114">
            <v>0</v>
          </cell>
          <cell r="FT114">
            <v>0</v>
          </cell>
          <cell r="FU114">
            <v>0</v>
          </cell>
          <cell r="FV114">
            <v>0</v>
          </cell>
          <cell r="FW114">
            <v>0</v>
          </cell>
          <cell r="FX114">
            <v>0</v>
          </cell>
          <cell r="FY114">
            <v>0</v>
          </cell>
          <cell r="FZ114">
            <v>0</v>
          </cell>
          <cell r="GA114">
            <v>0</v>
          </cell>
          <cell r="GB114">
            <v>0</v>
          </cell>
          <cell r="GC114">
            <v>0</v>
          </cell>
          <cell r="GD114">
            <v>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B1" t="str">
            <v>Mã</v>
          </cell>
          <cell r="F1" t="str">
            <v>Loại</v>
          </cell>
          <cell r="G1" t="str">
            <v>Đơn vị</v>
          </cell>
          <cell r="H1" t="str">
            <v>Dự toán</v>
          </cell>
          <cell r="I1" t="str">
            <v>Thi Công</v>
          </cell>
        </row>
        <row r="2">
          <cell r="B2" t="str">
            <v>TR371</v>
          </cell>
          <cell r="C2">
            <v>0</v>
          </cell>
          <cell r="D2">
            <v>1</v>
          </cell>
          <cell r="E2" t="str">
            <v>T1.1432</v>
          </cell>
          <cell r="F2" t="str">
            <v>Máy biến áp 12,7/0,22-0,44kV 37,5kVA</v>
          </cell>
          <cell r="G2" t="str">
            <v>máy</v>
          </cell>
          <cell r="H2">
            <v>3</v>
          </cell>
          <cell r="I2">
            <v>3</v>
          </cell>
        </row>
        <row r="3">
          <cell r="B3" t="str">
            <v>FCO100-22</v>
          </cell>
          <cell r="C3" t="str">
            <v>x</v>
          </cell>
          <cell r="D3">
            <v>3</v>
          </cell>
          <cell r="E3" t="str">
            <v>T2.3505</v>
          </cell>
          <cell r="F3" t="str">
            <v>FCO 24kV - 100A</v>
          </cell>
          <cell r="G3" t="str">
            <v>cái</v>
          </cell>
          <cell r="H3">
            <v>3</v>
          </cell>
          <cell r="I3">
            <v>3</v>
          </cell>
        </row>
        <row r="4">
          <cell r="B4" t="str">
            <v>FCO100-22</v>
          </cell>
          <cell r="C4">
            <v>0</v>
          </cell>
          <cell r="D4">
            <v>2</v>
          </cell>
          <cell r="E4" t="str">
            <v>T2.3505</v>
          </cell>
          <cell r="F4" t="str">
            <v>FCO 24kV - 100A</v>
          </cell>
          <cell r="G4" t="str">
            <v>cái</v>
          </cell>
          <cell r="H4">
            <v>3</v>
          </cell>
          <cell r="I4">
            <v>3</v>
          </cell>
        </row>
        <row r="5">
          <cell r="B5" t="str">
            <v>LA18</v>
          </cell>
          <cell r="C5">
            <v>0</v>
          </cell>
          <cell r="D5">
            <v>3</v>
          </cell>
          <cell r="E5" t="str">
            <v>T2.5004</v>
          </cell>
          <cell r="F5" t="str">
            <v>LA 18kV 10kA</v>
          </cell>
          <cell r="G5" t="str">
            <v>cái</v>
          </cell>
          <cell r="H5">
            <v>3</v>
          </cell>
          <cell r="I5">
            <v>3</v>
          </cell>
        </row>
        <row r="6">
          <cell r="B6" t="str">
            <v>Stply</v>
          </cell>
          <cell r="C6" t="str">
            <v>x</v>
          </cell>
          <cell r="D6">
            <v>18</v>
          </cell>
          <cell r="E6">
            <v>0</v>
          </cell>
          <cell r="F6" t="str">
            <v xml:space="preserve">Sứ treo polymer </v>
          </cell>
          <cell r="G6" t="str">
            <v>cái</v>
          </cell>
          <cell r="H6">
            <v>18</v>
          </cell>
          <cell r="I6">
            <v>18</v>
          </cell>
        </row>
        <row r="7">
          <cell r="B7" t="str">
            <v>SD</v>
          </cell>
          <cell r="C7" t="str">
            <v>x</v>
          </cell>
          <cell r="D7">
            <v>43</v>
          </cell>
          <cell r="E7">
            <v>0</v>
          </cell>
          <cell r="F7" t="str">
            <v>Sứ đứng 24KV</v>
          </cell>
          <cell r="G7" t="str">
            <v>cái</v>
          </cell>
          <cell r="H7">
            <v>43</v>
          </cell>
          <cell r="I7">
            <v>43</v>
          </cell>
        </row>
        <row r="8">
          <cell r="B8" t="str">
            <v>atm125</v>
          </cell>
          <cell r="C8" t="str">
            <v>x</v>
          </cell>
          <cell r="D8">
            <v>1</v>
          </cell>
          <cell r="E8">
            <v>0</v>
          </cell>
          <cell r="F8" t="str">
            <v>MCCB 3 cực 400V -125A - 30KA</v>
          </cell>
          <cell r="G8" t="str">
            <v>cái</v>
          </cell>
          <cell r="H8">
            <v>1</v>
          </cell>
          <cell r="I8">
            <v>1</v>
          </cell>
        </row>
        <row r="9">
          <cell r="B9" t="str">
            <v>ATM200</v>
          </cell>
          <cell r="C9">
            <v>0</v>
          </cell>
          <cell r="D9">
            <v>4</v>
          </cell>
          <cell r="E9" t="str">
            <v>T2.8403</v>
          </cell>
          <cell r="F9" t="str">
            <v>MCCB 3 cực 400V -200A - 35KA</v>
          </cell>
          <cell r="G9" t="str">
            <v>cái</v>
          </cell>
          <cell r="H9">
            <v>1</v>
          </cell>
          <cell r="I9">
            <v>1</v>
          </cell>
        </row>
        <row r="10">
          <cell r="B10" t="str">
            <v>CV25</v>
          </cell>
          <cell r="C10" t="str">
            <v>x</v>
          </cell>
          <cell r="D10">
            <v>36</v>
          </cell>
          <cell r="E10">
            <v>0</v>
          </cell>
          <cell r="F10" t="str">
            <v>Cáp đồng bọc CV25</v>
          </cell>
          <cell r="G10" t="str">
            <v>mét</v>
          </cell>
          <cell r="H10">
            <v>36</v>
          </cell>
          <cell r="I10">
            <v>36</v>
          </cell>
        </row>
        <row r="11">
          <cell r="B11" t="str">
            <v>CV95</v>
          </cell>
          <cell r="C11">
            <v>0</v>
          </cell>
          <cell r="D11">
            <v>0</v>
          </cell>
          <cell r="E11" t="str">
            <v>T4.4201</v>
          </cell>
          <cell r="F11" t="str">
            <v>Cáp đồng bọc CV95</v>
          </cell>
          <cell r="G11" t="str">
            <v>mét</v>
          </cell>
          <cell r="H11">
            <v>54</v>
          </cell>
          <cell r="I11">
            <v>54</v>
          </cell>
        </row>
        <row r="12">
          <cell r="B12" t="str">
            <v>CV11</v>
          </cell>
          <cell r="C12">
            <v>0</v>
          </cell>
          <cell r="D12">
            <v>0</v>
          </cell>
          <cell r="E12">
            <v>0</v>
          </cell>
          <cell r="F12" t="str">
            <v>Cáp đồng bọc CV11 (2m)</v>
          </cell>
          <cell r="G12" t="str">
            <v>mét</v>
          </cell>
          <cell r="H12">
            <v>2</v>
          </cell>
          <cell r="I12">
            <v>2</v>
          </cell>
        </row>
        <row r="13">
          <cell r="B13" t="str">
            <v>CVV4X4</v>
          </cell>
          <cell r="C13">
            <v>0</v>
          </cell>
          <cell r="D13">
            <v>0</v>
          </cell>
          <cell r="E13">
            <v>0</v>
          </cell>
          <cell r="F13" t="str">
            <v xml:space="preserve">Cáp CVV 4x4mm2  </v>
          </cell>
          <cell r="G13" t="str">
            <v>mét</v>
          </cell>
          <cell r="H13">
            <v>2.5</v>
          </cell>
          <cell r="I13">
            <v>2.5</v>
          </cell>
        </row>
        <row r="14">
          <cell r="B14" t="str">
            <v>XLPE25</v>
          </cell>
          <cell r="C14" t="str">
            <v>x</v>
          </cell>
          <cell r="D14">
            <v>6</v>
          </cell>
          <cell r="E14">
            <v>0</v>
          </cell>
          <cell r="F14" t="str">
            <v>Cáp 24KV C/XLPE/PVC 25mm2</v>
          </cell>
          <cell r="G14" t="str">
            <v>mét</v>
          </cell>
          <cell r="H14">
            <v>6</v>
          </cell>
          <cell r="I14">
            <v>6</v>
          </cell>
        </row>
        <row r="15">
          <cell r="B15" t="str">
            <v>XLPE25</v>
          </cell>
          <cell r="C15">
            <v>0</v>
          </cell>
          <cell r="D15">
            <v>0</v>
          </cell>
          <cell r="E15">
            <v>0</v>
          </cell>
          <cell r="F15" t="str">
            <v>Cáp 24KV C/XLPE/PVC 25mm2</v>
          </cell>
          <cell r="G15" t="str">
            <v>mét</v>
          </cell>
          <cell r="H15">
            <v>12</v>
          </cell>
          <cell r="I15">
            <v>12</v>
          </cell>
        </row>
        <row r="16">
          <cell r="B16" t="str">
            <v>ACX50</v>
          </cell>
          <cell r="C16" t="str">
            <v>x</v>
          </cell>
          <cell r="D16">
            <v>1466.8</v>
          </cell>
          <cell r="E16">
            <v>1438</v>
          </cell>
          <cell r="F16" t="str">
            <v>Cáp nhôm lõi thép bọc 24KV ACX50 mm2</v>
          </cell>
          <cell r="G16" t="str">
            <v>mét</v>
          </cell>
          <cell r="H16">
            <v>1466.8</v>
          </cell>
          <cell r="I16">
            <v>1466.8</v>
          </cell>
        </row>
        <row r="17">
          <cell r="B17" t="str">
            <v>ABC4x95</v>
          </cell>
          <cell r="C17" t="str">
            <v>x</v>
          </cell>
          <cell r="D17">
            <v>592.62</v>
          </cell>
          <cell r="E17">
            <v>570</v>
          </cell>
          <cell r="F17" t="str">
            <v>Cáp nhôm ABC 4x95mm2</v>
          </cell>
          <cell r="G17" t="str">
            <v>mét</v>
          </cell>
          <cell r="H17">
            <v>581</v>
          </cell>
          <cell r="I17">
            <v>581</v>
          </cell>
        </row>
        <row r="18">
          <cell r="B18" t="str">
            <v>m25</v>
          </cell>
          <cell r="C18" t="str">
            <v>x</v>
          </cell>
          <cell r="D18">
            <v>2.69</v>
          </cell>
          <cell r="E18">
            <v>0</v>
          </cell>
          <cell r="F18" t="str">
            <v>Cáp đồng trần M25mm2: 12m (luồn trong thân trụ)</v>
          </cell>
          <cell r="G18" t="str">
            <v>kg</v>
          </cell>
          <cell r="H18">
            <v>10.76</v>
          </cell>
          <cell r="I18">
            <v>10.76</v>
          </cell>
        </row>
        <row r="19">
          <cell r="B19" t="str">
            <v>m25</v>
          </cell>
          <cell r="C19" t="str">
            <v>x</v>
          </cell>
          <cell r="D19">
            <v>2.46</v>
          </cell>
          <cell r="E19">
            <v>0</v>
          </cell>
          <cell r="F19" t="str">
            <v>Cáp đồng trần M25mm2 (11m)</v>
          </cell>
          <cell r="G19" t="str">
            <v>kg</v>
          </cell>
          <cell r="H19">
            <v>4.92</v>
          </cell>
          <cell r="I19">
            <v>4.92</v>
          </cell>
        </row>
        <row r="20">
          <cell r="B20" t="str">
            <v>M25</v>
          </cell>
          <cell r="C20">
            <v>0</v>
          </cell>
          <cell r="D20">
            <v>0</v>
          </cell>
          <cell r="E20">
            <v>0</v>
          </cell>
          <cell r="F20" t="str">
            <v>Cáp đồng trần M25mm2</v>
          </cell>
          <cell r="G20" t="str">
            <v>kg</v>
          </cell>
          <cell r="H20">
            <v>11.9</v>
          </cell>
          <cell r="I20">
            <v>11.9</v>
          </cell>
        </row>
        <row r="21">
          <cell r="B21" t="str">
            <v>AC50</v>
          </cell>
          <cell r="C21" t="str">
            <v>x</v>
          </cell>
          <cell r="D21">
            <v>95.3</v>
          </cell>
          <cell r="E21">
            <v>479.3</v>
          </cell>
          <cell r="F21" t="str">
            <v>Cáp nhôm lõi thép AC-50/8</v>
          </cell>
          <cell r="G21" t="str">
            <v>kg</v>
          </cell>
          <cell r="H21">
            <v>95.3</v>
          </cell>
          <cell r="I21">
            <v>95.3</v>
          </cell>
        </row>
        <row r="22">
          <cell r="B22" t="str">
            <v>T12540</v>
          </cell>
          <cell r="C22" t="str">
            <v>x</v>
          </cell>
          <cell r="D22">
            <v>1</v>
          </cell>
          <cell r="E22">
            <v>0</v>
          </cell>
          <cell r="F22" t="str">
            <v>Trụ BTLT 12m F540 dự ứng lực (k=2)</v>
          </cell>
          <cell r="G22" t="str">
            <v>trụ</v>
          </cell>
          <cell r="H22">
            <v>15</v>
          </cell>
          <cell r="I22">
            <v>15</v>
          </cell>
        </row>
        <row r="23">
          <cell r="B23" t="str">
            <v>T14</v>
          </cell>
          <cell r="C23" t="str">
            <v>x</v>
          </cell>
          <cell r="D23">
            <v>1</v>
          </cell>
          <cell r="E23">
            <v>0</v>
          </cell>
          <cell r="F23" t="str">
            <v>Trụ BTLT 14m F650 dự ứng lực (k=2)</v>
          </cell>
          <cell r="G23" t="str">
            <v>trụ</v>
          </cell>
          <cell r="H23">
            <v>2</v>
          </cell>
          <cell r="I23">
            <v>2</v>
          </cell>
        </row>
        <row r="24">
          <cell r="B24" t="str">
            <v>T84</v>
          </cell>
          <cell r="C24" t="str">
            <v>x</v>
          </cell>
          <cell r="D24">
            <v>1</v>
          </cell>
          <cell r="E24">
            <v>0</v>
          </cell>
          <cell r="F24" t="str">
            <v>Trụ BTLT 8,4m F300 dự ứng lực (k=2)</v>
          </cell>
          <cell r="G24" t="str">
            <v>trụ</v>
          </cell>
          <cell r="H24">
            <v>23</v>
          </cell>
          <cell r="I24">
            <v>23</v>
          </cell>
        </row>
        <row r="25">
          <cell r="B25" t="str">
            <v>B12150</v>
          </cell>
          <cell r="C25" t="str">
            <v>x</v>
          </cell>
          <cell r="D25">
            <v>2</v>
          </cell>
          <cell r="E25">
            <v>0</v>
          </cell>
          <cell r="F25" t="str">
            <v>Boulon 12x150+ 2 long đền vuông D14-50x50x3/Zn</v>
          </cell>
          <cell r="G25" t="str">
            <v>bộ</v>
          </cell>
          <cell r="H25">
            <v>2</v>
          </cell>
          <cell r="I25">
            <v>2</v>
          </cell>
        </row>
        <row r="26">
          <cell r="B26" t="str">
            <v>B16150</v>
          </cell>
          <cell r="C26">
            <v>0</v>
          </cell>
          <cell r="D26">
            <v>0</v>
          </cell>
          <cell r="E26">
            <v>0</v>
          </cell>
          <cell r="F26" t="str">
            <v>Boulon 16x150+ 2 long đền vuông D18-50x50x3/Zn</v>
          </cell>
          <cell r="G26" t="str">
            <v>bộ</v>
          </cell>
          <cell r="H26">
            <v>2</v>
          </cell>
          <cell r="I26">
            <v>2</v>
          </cell>
        </row>
        <row r="27">
          <cell r="B27" t="str">
            <v>B16250</v>
          </cell>
          <cell r="C27" t="str">
            <v>x</v>
          </cell>
          <cell r="D27">
            <v>2</v>
          </cell>
          <cell r="E27">
            <v>0</v>
          </cell>
          <cell r="F27" t="str">
            <v>Boulon 16x250+ 2 long đền vuông D18-50x50x3/Zn</v>
          </cell>
          <cell r="G27" t="str">
            <v>bộ</v>
          </cell>
          <cell r="H27">
            <v>2</v>
          </cell>
          <cell r="I27">
            <v>2</v>
          </cell>
        </row>
        <row r="28">
          <cell r="B28" t="str">
            <v>B16250</v>
          </cell>
          <cell r="C28" t="str">
            <v>x</v>
          </cell>
          <cell r="D28">
            <v>1</v>
          </cell>
          <cell r="E28">
            <v>0</v>
          </cell>
          <cell r="F28" t="str">
            <v>Boulon 16x250+ 2 long đền vuông D18-50x50x3/Zn</v>
          </cell>
          <cell r="G28" t="str">
            <v>bộ</v>
          </cell>
          <cell r="H28">
            <v>1</v>
          </cell>
          <cell r="I28">
            <v>1</v>
          </cell>
        </row>
        <row r="29">
          <cell r="B29" t="str">
            <v>B16250</v>
          </cell>
          <cell r="C29" t="str">
            <v>x</v>
          </cell>
          <cell r="D29">
            <v>2</v>
          </cell>
          <cell r="E29">
            <v>0</v>
          </cell>
          <cell r="F29" t="str">
            <v>Boulon 16x250+ 2 long đền vuông D18-50x50x3/Zn</v>
          </cell>
          <cell r="G29" t="str">
            <v>bộ</v>
          </cell>
          <cell r="H29">
            <v>14</v>
          </cell>
          <cell r="I29">
            <v>14</v>
          </cell>
        </row>
        <row r="30">
          <cell r="B30" t="str">
            <v>B16250</v>
          </cell>
          <cell r="C30" t="str">
            <v>x</v>
          </cell>
          <cell r="D30">
            <v>1</v>
          </cell>
          <cell r="E30">
            <v>0</v>
          </cell>
          <cell r="F30" t="str">
            <v>Boulon 16x250+ 2 long đền vuông D18-50x50x3/Zn</v>
          </cell>
          <cell r="G30" t="str">
            <v>bộ</v>
          </cell>
          <cell r="H30">
            <v>2</v>
          </cell>
          <cell r="I30">
            <v>2</v>
          </cell>
        </row>
        <row r="31">
          <cell r="B31" t="str">
            <v>B16250</v>
          </cell>
          <cell r="C31" t="str">
            <v>x</v>
          </cell>
          <cell r="D31">
            <v>10</v>
          </cell>
          <cell r="E31">
            <v>0</v>
          </cell>
          <cell r="F31" t="str">
            <v>Boulon 16x250+ 2 long đền vuông D18-50x50x3/Zn</v>
          </cell>
          <cell r="G31" t="str">
            <v>bộ</v>
          </cell>
          <cell r="H31">
            <v>10</v>
          </cell>
          <cell r="I31">
            <v>10</v>
          </cell>
        </row>
        <row r="32">
          <cell r="B32" t="str">
            <v>B16250</v>
          </cell>
          <cell r="C32">
            <v>0</v>
          </cell>
          <cell r="D32">
            <v>0</v>
          </cell>
          <cell r="E32">
            <v>0</v>
          </cell>
          <cell r="F32" t="str">
            <v>Boulon 16x250+ 2 long đền vuông D18-50x50x3/Zn</v>
          </cell>
          <cell r="G32" t="str">
            <v>bộ</v>
          </cell>
          <cell r="H32">
            <v>2</v>
          </cell>
          <cell r="I32">
            <v>2</v>
          </cell>
        </row>
        <row r="33">
          <cell r="B33" t="str">
            <v>B16300</v>
          </cell>
          <cell r="C33" t="str">
            <v>x</v>
          </cell>
          <cell r="D33">
            <v>1</v>
          </cell>
          <cell r="E33">
            <v>0</v>
          </cell>
          <cell r="F33" t="str">
            <v>Boulon 16x300+ 2 long đền vuông D18-50x50x3/Zn</v>
          </cell>
          <cell r="G33" t="str">
            <v>bộ</v>
          </cell>
          <cell r="H33">
            <v>1</v>
          </cell>
          <cell r="I33">
            <v>1</v>
          </cell>
        </row>
        <row r="34">
          <cell r="B34" t="str">
            <v>B16300</v>
          </cell>
          <cell r="C34" t="str">
            <v>x</v>
          </cell>
          <cell r="D34">
            <v>1</v>
          </cell>
          <cell r="E34">
            <v>0</v>
          </cell>
          <cell r="F34" t="str">
            <v>Boulon 16x300+ 2 long đền vuông D18-50x50x3/Zn</v>
          </cell>
          <cell r="G34" t="str">
            <v>bộ</v>
          </cell>
          <cell r="H34">
            <v>2</v>
          </cell>
          <cell r="I34">
            <v>2</v>
          </cell>
        </row>
        <row r="35">
          <cell r="B35" t="str">
            <v>B16300</v>
          </cell>
          <cell r="C35" t="str">
            <v>x</v>
          </cell>
          <cell r="D35">
            <v>9</v>
          </cell>
          <cell r="E35">
            <v>0</v>
          </cell>
          <cell r="F35" t="str">
            <v>Boulon 16x300+ 2 long đền vuông D18-50x50x3/Zn</v>
          </cell>
          <cell r="G35" t="str">
            <v>bộ</v>
          </cell>
          <cell r="H35">
            <v>9</v>
          </cell>
          <cell r="I35">
            <v>9</v>
          </cell>
        </row>
        <row r="36">
          <cell r="B36" t="str">
            <v>B16300</v>
          </cell>
          <cell r="C36">
            <v>0</v>
          </cell>
          <cell r="D36">
            <v>0</v>
          </cell>
          <cell r="E36">
            <v>0</v>
          </cell>
          <cell r="F36" t="str">
            <v>Boulon 16x300+ 2 long đền vuông D18-50x50x3/Zn</v>
          </cell>
          <cell r="G36" t="str">
            <v>bộ</v>
          </cell>
          <cell r="H36">
            <v>1</v>
          </cell>
          <cell r="I36">
            <v>1</v>
          </cell>
        </row>
        <row r="37">
          <cell r="B37" t="str">
            <v>B16300v</v>
          </cell>
          <cell r="C37" t="str">
            <v>x</v>
          </cell>
          <cell r="D37">
            <v>2</v>
          </cell>
          <cell r="E37">
            <v>0</v>
          </cell>
          <cell r="F37" t="str">
            <v>Boulon 16x300VRS+ 4 long đền vuông D18-50x50x3/Zn</v>
          </cell>
          <cell r="G37" t="str">
            <v>bộ</v>
          </cell>
          <cell r="H37">
            <v>2</v>
          </cell>
          <cell r="I37">
            <v>2</v>
          </cell>
        </row>
        <row r="38">
          <cell r="B38" t="str">
            <v>B16300v</v>
          </cell>
          <cell r="C38" t="str">
            <v>x</v>
          </cell>
          <cell r="D38">
            <v>2</v>
          </cell>
          <cell r="E38">
            <v>0</v>
          </cell>
          <cell r="F38" t="str">
            <v>Boulon 16x300VRS+ 4 long đền vuông D18-50x50x3/Zn</v>
          </cell>
          <cell r="G38" t="str">
            <v>bộ</v>
          </cell>
          <cell r="H38">
            <v>4</v>
          </cell>
          <cell r="I38">
            <v>4</v>
          </cell>
        </row>
        <row r="39">
          <cell r="B39" t="str">
            <v>B16350</v>
          </cell>
          <cell r="C39" t="str">
            <v>x</v>
          </cell>
          <cell r="D39">
            <v>2</v>
          </cell>
          <cell r="E39">
            <v>0</v>
          </cell>
          <cell r="F39" t="str">
            <v>Boulon 16x350+ 2 long đền vuông D18-50x50x3/Zn</v>
          </cell>
          <cell r="G39" t="str">
            <v>bộ</v>
          </cell>
          <cell r="H39">
            <v>2</v>
          </cell>
          <cell r="I39">
            <v>2</v>
          </cell>
        </row>
        <row r="40">
          <cell r="B40" t="str">
            <v>B16400</v>
          </cell>
          <cell r="C40">
            <v>0</v>
          </cell>
          <cell r="D40">
            <v>0</v>
          </cell>
          <cell r="E40">
            <v>0</v>
          </cell>
          <cell r="F40" t="str">
            <v>Boulon 16x400+ 2 long đền vuông D18-50x50x3/Zn</v>
          </cell>
          <cell r="G40" t="str">
            <v>bộ</v>
          </cell>
          <cell r="H40">
            <v>1</v>
          </cell>
          <cell r="I40">
            <v>1</v>
          </cell>
        </row>
        <row r="41">
          <cell r="B41" t="str">
            <v>B16450V</v>
          </cell>
          <cell r="C41" t="str">
            <v>x</v>
          </cell>
          <cell r="D41">
            <v>1</v>
          </cell>
          <cell r="E41">
            <v>0</v>
          </cell>
          <cell r="F41" t="str">
            <v>Boulon 16x450VRS+ 4 long đền vuông D18-50x50x3/Zn</v>
          </cell>
          <cell r="G41" t="str">
            <v>bộ</v>
          </cell>
          <cell r="H41">
            <v>7</v>
          </cell>
          <cell r="I41">
            <v>7</v>
          </cell>
        </row>
        <row r="42">
          <cell r="B42" t="str">
            <v>B1650</v>
          </cell>
          <cell r="C42" t="str">
            <v>x</v>
          </cell>
          <cell r="D42">
            <v>4</v>
          </cell>
          <cell r="E42">
            <v>0</v>
          </cell>
          <cell r="F42" t="str">
            <v>Boulon 16x50+ 2 long đền vuông D18-50x50x3/Zn</v>
          </cell>
          <cell r="G42" t="str">
            <v>bộ</v>
          </cell>
          <cell r="H42">
            <v>4</v>
          </cell>
          <cell r="I42">
            <v>4</v>
          </cell>
        </row>
        <row r="43">
          <cell r="B43" t="str">
            <v>B1650</v>
          </cell>
          <cell r="C43" t="str">
            <v>x</v>
          </cell>
          <cell r="D43">
            <v>4</v>
          </cell>
          <cell r="E43">
            <v>0</v>
          </cell>
          <cell r="F43" t="str">
            <v>Boulon 16x50+ 2 long đền vuông D18-50x50x3/Zn</v>
          </cell>
          <cell r="G43" t="str">
            <v>bộ</v>
          </cell>
          <cell r="H43">
            <v>12</v>
          </cell>
          <cell r="I43">
            <v>12</v>
          </cell>
        </row>
        <row r="44">
          <cell r="B44" t="str">
            <v>B1650</v>
          </cell>
          <cell r="C44" t="str">
            <v>x</v>
          </cell>
          <cell r="D44">
            <v>1</v>
          </cell>
          <cell r="E44">
            <v>0</v>
          </cell>
          <cell r="F44" t="str">
            <v>Boulon 16x50+ 2 long đền vuông D18-50x50x3/Zn</v>
          </cell>
          <cell r="G44" t="str">
            <v>bộ</v>
          </cell>
          <cell r="H44">
            <v>7</v>
          </cell>
          <cell r="I44">
            <v>7</v>
          </cell>
        </row>
        <row r="45">
          <cell r="B45" t="str">
            <v>B1650</v>
          </cell>
          <cell r="C45" t="str">
            <v>x</v>
          </cell>
          <cell r="D45">
            <v>2</v>
          </cell>
          <cell r="E45">
            <v>0</v>
          </cell>
          <cell r="F45" t="str">
            <v>Boulon 16x50+ 2 long đền vuông D18-50x50x3/Zn</v>
          </cell>
          <cell r="G45" t="str">
            <v>bộ</v>
          </cell>
          <cell r="H45">
            <v>4</v>
          </cell>
          <cell r="I45">
            <v>4</v>
          </cell>
        </row>
        <row r="46">
          <cell r="B46" t="str">
            <v>B1650</v>
          </cell>
          <cell r="C46">
            <v>0</v>
          </cell>
          <cell r="D46">
            <v>0</v>
          </cell>
          <cell r="E46">
            <v>0</v>
          </cell>
          <cell r="F46" t="str">
            <v>Boulon 16x50+ 2 long đền vuông D18-50x50x3/Zn</v>
          </cell>
          <cell r="G46" t="str">
            <v>bộ</v>
          </cell>
          <cell r="H46">
            <v>6</v>
          </cell>
          <cell r="I46">
            <v>6</v>
          </cell>
        </row>
        <row r="47">
          <cell r="B47" t="str">
            <v>B16500</v>
          </cell>
          <cell r="C47" t="str">
            <v>x</v>
          </cell>
          <cell r="D47">
            <v>1</v>
          </cell>
          <cell r="E47">
            <v>0</v>
          </cell>
          <cell r="F47" t="str">
            <v>Boulon 16x500+ 2 long đền vuông D18-50x50x3/Zn</v>
          </cell>
          <cell r="G47" t="str">
            <v>bộ</v>
          </cell>
          <cell r="H47">
            <v>3</v>
          </cell>
          <cell r="I47">
            <v>3</v>
          </cell>
        </row>
        <row r="48">
          <cell r="B48" t="str">
            <v>B16500V</v>
          </cell>
          <cell r="C48" t="str">
            <v>x</v>
          </cell>
          <cell r="D48">
            <v>1</v>
          </cell>
          <cell r="E48">
            <v>0</v>
          </cell>
          <cell r="F48" t="str">
            <v>Boulon 16x500VRS+ 4 long đền vuông D18-50x50x3/Zn</v>
          </cell>
          <cell r="G48" t="str">
            <v>bộ</v>
          </cell>
          <cell r="H48">
            <v>7</v>
          </cell>
          <cell r="I48">
            <v>7</v>
          </cell>
        </row>
        <row r="49">
          <cell r="B49" t="str">
            <v>B16550</v>
          </cell>
          <cell r="C49" t="str">
            <v>x</v>
          </cell>
          <cell r="D49">
            <v>1</v>
          </cell>
          <cell r="E49">
            <v>0</v>
          </cell>
          <cell r="F49" t="str">
            <v>Boulon 16x550+ 2 long đền vuông D18-50x50x3/Zn</v>
          </cell>
          <cell r="G49" t="str">
            <v>bộ</v>
          </cell>
          <cell r="H49">
            <v>3</v>
          </cell>
          <cell r="I49">
            <v>3</v>
          </cell>
        </row>
        <row r="50">
          <cell r="B50" t="str">
            <v>B16550V</v>
          </cell>
          <cell r="C50" t="str">
            <v>x</v>
          </cell>
          <cell r="D50">
            <v>1</v>
          </cell>
          <cell r="E50">
            <v>0</v>
          </cell>
          <cell r="F50" t="str">
            <v>Boulon 16x550VRS+ 4 long đền vuông D18-50x50x3/Zn</v>
          </cell>
          <cell r="G50" t="str">
            <v>bộ</v>
          </cell>
          <cell r="H50">
            <v>4</v>
          </cell>
          <cell r="I50">
            <v>4</v>
          </cell>
        </row>
        <row r="51">
          <cell r="B51" t="str">
            <v>B16550V</v>
          </cell>
          <cell r="C51" t="str">
            <v>x</v>
          </cell>
          <cell r="D51">
            <v>1</v>
          </cell>
          <cell r="E51">
            <v>0</v>
          </cell>
          <cell r="F51" t="str">
            <v>Boulon 16x550VRS+ 4 long đền vuông D18-50x50x3/Zn</v>
          </cell>
          <cell r="G51" t="str">
            <v>bộ</v>
          </cell>
          <cell r="H51">
            <v>1</v>
          </cell>
          <cell r="I51">
            <v>1</v>
          </cell>
        </row>
        <row r="52">
          <cell r="B52" t="str">
            <v>B16550v</v>
          </cell>
          <cell r="C52" t="str">
            <v>x</v>
          </cell>
          <cell r="D52">
            <v>2</v>
          </cell>
          <cell r="E52">
            <v>0</v>
          </cell>
          <cell r="F52" t="str">
            <v>Boulon 16x550VRS+ 4 long đền vuông D18-50x50x3/Zn</v>
          </cell>
          <cell r="G52" t="str">
            <v>bộ</v>
          </cell>
          <cell r="H52">
            <v>6</v>
          </cell>
          <cell r="I52">
            <v>6</v>
          </cell>
        </row>
        <row r="53">
          <cell r="B53" t="str">
            <v>B16600V</v>
          </cell>
          <cell r="C53" t="str">
            <v>x</v>
          </cell>
          <cell r="D53">
            <v>1</v>
          </cell>
          <cell r="E53">
            <v>0</v>
          </cell>
          <cell r="F53" t="str">
            <v>Boulon 16x600VRS+ 4 long đền vuông D18-50x50x3/Zn</v>
          </cell>
          <cell r="G53" t="str">
            <v>bộ</v>
          </cell>
          <cell r="H53">
            <v>7</v>
          </cell>
          <cell r="I53">
            <v>7</v>
          </cell>
        </row>
        <row r="54">
          <cell r="B54" t="str">
            <v>B16600V</v>
          </cell>
          <cell r="C54" t="str">
            <v>x</v>
          </cell>
          <cell r="D54">
            <v>1</v>
          </cell>
          <cell r="E54">
            <v>0</v>
          </cell>
          <cell r="F54" t="str">
            <v>Boulon 16x600VRS+ 4 long đền vuông D18-50x50x3/Zn</v>
          </cell>
          <cell r="G54" t="str">
            <v>bộ</v>
          </cell>
          <cell r="H54">
            <v>4</v>
          </cell>
          <cell r="I54">
            <v>4</v>
          </cell>
        </row>
        <row r="55">
          <cell r="B55" t="str">
            <v>B16600V</v>
          </cell>
          <cell r="C55" t="str">
            <v>x</v>
          </cell>
          <cell r="D55">
            <v>1</v>
          </cell>
          <cell r="E55">
            <v>0</v>
          </cell>
          <cell r="F55" t="str">
            <v>Boulon 16x600VRS+ 4 long đền vuông D18-50x50x3/Zn</v>
          </cell>
          <cell r="G55" t="str">
            <v>bộ</v>
          </cell>
          <cell r="H55">
            <v>1</v>
          </cell>
          <cell r="I55">
            <v>1</v>
          </cell>
        </row>
        <row r="56">
          <cell r="B56" t="str">
            <v>B16750V</v>
          </cell>
          <cell r="C56" t="str">
            <v>x</v>
          </cell>
          <cell r="D56">
            <v>1</v>
          </cell>
          <cell r="E56">
            <v>0</v>
          </cell>
          <cell r="F56" t="str">
            <v>Boulon 16x750VRS+ 4 long đền vuông D18-50x50x3/Zn</v>
          </cell>
          <cell r="G56" t="str">
            <v>bộ</v>
          </cell>
          <cell r="H56">
            <v>4</v>
          </cell>
          <cell r="I56">
            <v>4</v>
          </cell>
        </row>
        <row r="57">
          <cell r="B57" t="str">
            <v>B16750V</v>
          </cell>
          <cell r="C57" t="str">
            <v>x</v>
          </cell>
          <cell r="D57">
            <v>1</v>
          </cell>
          <cell r="E57">
            <v>0</v>
          </cell>
          <cell r="F57" t="str">
            <v>Boulon 16x750VRS+ 4 long đền vuông D18-50x50x3/Zn</v>
          </cell>
          <cell r="G57" t="str">
            <v>bộ</v>
          </cell>
          <cell r="H57">
            <v>1</v>
          </cell>
          <cell r="I57">
            <v>1</v>
          </cell>
        </row>
        <row r="58">
          <cell r="B58" t="str">
            <v>BANG</v>
          </cell>
          <cell r="C58">
            <v>0</v>
          </cell>
          <cell r="D58">
            <v>0</v>
          </cell>
          <cell r="E58" t="str">
            <v>D3.3201</v>
          </cell>
          <cell r="F58" t="str">
            <v>Bảng tên trạm</v>
          </cell>
          <cell r="G58" t="str">
            <v>bộ</v>
          </cell>
          <cell r="H58">
            <v>1</v>
          </cell>
          <cell r="I58">
            <v>1</v>
          </cell>
        </row>
        <row r="59">
          <cell r="B59" t="str">
            <v>BANGKEO</v>
          </cell>
          <cell r="C59">
            <v>0</v>
          </cell>
          <cell r="D59">
            <v>0</v>
          </cell>
          <cell r="E59">
            <v>0</v>
          </cell>
          <cell r="F59" t="str">
            <v>Băng keo cách điện hạ thế</v>
          </cell>
          <cell r="G59" t="str">
            <v>cuộn</v>
          </cell>
          <cell r="H59">
            <v>3</v>
          </cell>
          <cell r="I59">
            <v>3</v>
          </cell>
        </row>
        <row r="60">
          <cell r="B60" t="str">
            <v>BANGKEOt</v>
          </cell>
          <cell r="C60" t="str">
            <v>x</v>
          </cell>
          <cell r="D60">
            <v>3</v>
          </cell>
          <cell r="E60">
            <v>0</v>
          </cell>
          <cell r="F60" t="str">
            <v>Băng keo cách điện trung thế</v>
          </cell>
          <cell r="G60" t="str">
            <v>cuộn</v>
          </cell>
          <cell r="H60">
            <v>3</v>
          </cell>
          <cell r="I60">
            <v>3</v>
          </cell>
        </row>
        <row r="61">
          <cell r="B61" t="str">
            <v>batli</v>
          </cell>
          <cell r="C61" t="str">
            <v>x</v>
          </cell>
          <cell r="D61">
            <v>3</v>
          </cell>
          <cell r="E61">
            <v>0</v>
          </cell>
          <cell r="F61" t="str">
            <v>Bass LI bắt FCO</v>
          </cell>
          <cell r="G61" t="str">
            <v>Bộ</v>
          </cell>
          <cell r="H61">
            <v>3</v>
          </cell>
          <cell r="I61">
            <v>3</v>
          </cell>
        </row>
        <row r="62">
          <cell r="B62" t="str">
            <v>batlL</v>
          </cell>
          <cell r="C62">
            <v>0</v>
          </cell>
          <cell r="D62">
            <v>0</v>
          </cell>
          <cell r="E62">
            <v>0</v>
          </cell>
          <cell r="F62" t="str">
            <v>Bass LL bắt FCO và LA</v>
          </cell>
          <cell r="G62" t="str">
            <v>bộ</v>
          </cell>
          <cell r="H62">
            <v>3</v>
          </cell>
          <cell r="I62">
            <v>3</v>
          </cell>
        </row>
        <row r="63">
          <cell r="B63" t="str">
            <v>BM16300</v>
          </cell>
          <cell r="C63" t="str">
            <v>x</v>
          </cell>
          <cell r="D63">
            <v>6</v>
          </cell>
          <cell r="E63">
            <v>0</v>
          </cell>
          <cell r="F63" t="str">
            <v>Boulon mắt 16x300+ 1 long đền vuông D18-50x50x3/Zn</v>
          </cell>
          <cell r="G63" t="str">
            <v>bộ</v>
          </cell>
          <cell r="H63">
            <v>6</v>
          </cell>
          <cell r="I63">
            <v>6</v>
          </cell>
        </row>
        <row r="64">
          <cell r="B64" t="str">
            <v>BMoc16250</v>
          </cell>
          <cell r="C64" t="str">
            <v>x</v>
          </cell>
          <cell r="D64">
            <v>9</v>
          </cell>
          <cell r="E64">
            <v>0</v>
          </cell>
          <cell r="F64" t="str">
            <v>Boulon móc 16x250+ 1 long đền tròn D18-50x50x3/Zn</v>
          </cell>
          <cell r="G64" t="str">
            <v>bộ</v>
          </cell>
          <cell r="H64">
            <v>9</v>
          </cell>
          <cell r="I64">
            <v>9</v>
          </cell>
        </row>
        <row r="65">
          <cell r="B65" t="str">
            <v>CHI6K</v>
          </cell>
          <cell r="C65">
            <v>0</v>
          </cell>
          <cell r="D65">
            <v>2</v>
          </cell>
          <cell r="E65">
            <v>0</v>
          </cell>
          <cell r="F65" t="str">
            <v>Dây chảy 6K</v>
          </cell>
          <cell r="G65" t="str">
            <v>Sợi</v>
          </cell>
          <cell r="H65">
            <v>3</v>
          </cell>
          <cell r="I65">
            <v>3</v>
          </cell>
        </row>
        <row r="66">
          <cell r="B66" t="str">
            <v>chi8k</v>
          </cell>
          <cell r="C66" t="str">
            <v>x</v>
          </cell>
          <cell r="D66">
            <v>3</v>
          </cell>
          <cell r="E66">
            <v>0</v>
          </cell>
          <cell r="F66" t="str">
            <v xml:space="preserve">Dây chảy 8K </v>
          </cell>
          <cell r="G66" t="str">
            <v>Sợi</v>
          </cell>
          <cell r="H66">
            <v>3</v>
          </cell>
          <cell r="I66">
            <v>3</v>
          </cell>
        </row>
        <row r="67">
          <cell r="B67" t="str">
            <v>Chupl</v>
          </cell>
          <cell r="C67">
            <v>0</v>
          </cell>
          <cell r="D67">
            <v>4</v>
          </cell>
          <cell r="E67">
            <v>0</v>
          </cell>
          <cell r="F67" t="str">
            <v>Chụp đầu cực LA</v>
          </cell>
          <cell r="G67" t="str">
            <v>cái</v>
          </cell>
          <cell r="H67">
            <v>3</v>
          </cell>
          <cell r="I67">
            <v>3</v>
          </cell>
        </row>
        <row r="68">
          <cell r="B68" t="str">
            <v>Chupm</v>
          </cell>
          <cell r="C68">
            <v>0</v>
          </cell>
          <cell r="D68">
            <v>3</v>
          </cell>
          <cell r="E68">
            <v>0</v>
          </cell>
          <cell r="F68" t="str">
            <v>Chụp đầu cực MBA</v>
          </cell>
          <cell r="G68" t="str">
            <v>cái</v>
          </cell>
          <cell r="H68">
            <v>3</v>
          </cell>
          <cell r="I68">
            <v>3</v>
          </cell>
        </row>
        <row r="69">
          <cell r="B69" t="str">
            <v>chupU</v>
          </cell>
          <cell r="C69" t="str">
            <v>x</v>
          </cell>
          <cell r="D69">
            <v>6</v>
          </cell>
          <cell r="E69">
            <v>0</v>
          </cell>
          <cell r="F69" t="str">
            <v>Chụp kẹp Uquai</v>
          </cell>
          <cell r="G69" t="str">
            <v>bộ</v>
          </cell>
          <cell r="H69">
            <v>6</v>
          </cell>
          <cell r="I69">
            <v>6</v>
          </cell>
        </row>
        <row r="70">
          <cell r="B70" t="str">
            <v>chupU</v>
          </cell>
          <cell r="C70">
            <v>0</v>
          </cell>
          <cell r="D70">
            <v>5</v>
          </cell>
          <cell r="E70">
            <v>0</v>
          </cell>
          <cell r="F70" t="str">
            <v>Chụp kẹp Uquai</v>
          </cell>
          <cell r="G70" t="str">
            <v>bộ</v>
          </cell>
          <cell r="H70">
            <v>3</v>
          </cell>
          <cell r="I70">
            <v>3</v>
          </cell>
        </row>
        <row r="71">
          <cell r="B71" t="str">
            <v>Comp24</v>
          </cell>
          <cell r="C71" t="str">
            <v>x</v>
          </cell>
          <cell r="D71">
            <v>1</v>
          </cell>
          <cell r="E71">
            <v>0</v>
          </cell>
          <cell r="F71" t="str">
            <v>Xà compoxit 110x80x5-2400mm (bắt FCO, LA)</v>
          </cell>
          <cell r="G71" t="str">
            <v>thanh</v>
          </cell>
          <cell r="H71">
            <v>1</v>
          </cell>
          <cell r="I71">
            <v>1</v>
          </cell>
        </row>
        <row r="72">
          <cell r="B72" t="str">
            <v>comp24</v>
          </cell>
          <cell r="C72">
            <v>0</v>
          </cell>
          <cell r="D72">
            <v>0</v>
          </cell>
          <cell r="E72">
            <v>0</v>
          </cell>
          <cell r="F72" t="str">
            <v>Xà compoxit 110x80x5-2400mm (bắt FCO, LA)</v>
          </cell>
          <cell r="G72" t="str">
            <v>thanh</v>
          </cell>
          <cell r="H72">
            <v>1</v>
          </cell>
          <cell r="I72">
            <v>1</v>
          </cell>
        </row>
        <row r="73">
          <cell r="B73" t="str">
            <v>cos25</v>
          </cell>
          <cell r="C73" t="str">
            <v>x</v>
          </cell>
          <cell r="D73">
            <v>6</v>
          </cell>
          <cell r="E73" t="str">
            <v>D4.5001</v>
          </cell>
          <cell r="F73" t="str">
            <v>Đầu cosse ép Cu 25mm2+ chụp đầu coss</v>
          </cell>
          <cell r="G73" t="str">
            <v>cái</v>
          </cell>
          <cell r="H73">
            <v>6</v>
          </cell>
          <cell r="I73">
            <v>6</v>
          </cell>
        </row>
        <row r="74">
          <cell r="B74" t="str">
            <v>COS5</v>
          </cell>
          <cell r="C74">
            <v>0</v>
          </cell>
          <cell r="D74">
            <v>0</v>
          </cell>
          <cell r="E74" t="str">
            <v>D4.5001</v>
          </cell>
          <cell r="F74" t="str">
            <v>Đầu cosse ép Cu 5mm2</v>
          </cell>
          <cell r="G74" t="str">
            <v>cái</v>
          </cell>
          <cell r="H74">
            <v>6</v>
          </cell>
          <cell r="I74">
            <v>6</v>
          </cell>
        </row>
        <row r="75">
          <cell r="B75" t="str">
            <v>COS95</v>
          </cell>
          <cell r="C75">
            <v>0</v>
          </cell>
          <cell r="D75">
            <v>0</v>
          </cell>
          <cell r="E75" t="str">
            <v>D4.5004</v>
          </cell>
          <cell r="F75" t="str">
            <v>Đầu cosse ép Cu 95mm2+ chụp đầu coss</v>
          </cell>
          <cell r="G75" t="str">
            <v>cái</v>
          </cell>
          <cell r="H75">
            <v>6</v>
          </cell>
          <cell r="I75">
            <v>6</v>
          </cell>
        </row>
        <row r="76">
          <cell r="B76" t="str">
            <v>cose50</v>
          </cell>
          <cell r="C76" t="str">
            <v>x</v>
          </cell>
          <cell r="D76">
            <v>3</v>
          </cell>
          <cell r="E76">
            <v>0</v>
          </cell>
          <cell r="F76" t="str">
            <v>Đầu cosse ép Cu-Al 50mm2+ chụp đầu coss</v>
          </cell>
          <cell r="G76" t="str">
            <v>cái</v>
          </cell>
          <cell r="H76">
            <v>3</v>
          </cell>
          <cell r="I76">
            <v>3</v>
          </cell>
        </row>
        <row r="77">
          <cell r="B77" t="str">
            <v>cose95</v>
          </cell>
          <cell r="C77" t="str">
            <v>x</v>
          </cell>
          <cell r="D77">
            <v>6</v>
          </cell>
          <cell r="E77">
            <v>0</v>
          </cell>
          <cell r="F77" t="str">
            <v>Đầu cosse ép Cu-Al 95mm2+ chụp đầu coss</v>
          </cell>
          <cell r="G77" t="str">
            <v>cái</v>
          </cell>
          <cell r="H77">
            <v>6</v>
          </cell>
          <cell r="I77">
            <v>6</v>
          </cell>
        </row>
        <row r="78">
          <cell r="B78" t="str">
            <v>CSD</v>
          </cell>
          <cell r="C78" t="str">
            <v>x</v>
          </cell>
          <cell r="D78">
            <v>43</v>
          </cell>
          <cell r="E78">
            <v>0</v>
          </cell>
          <cell r="F78" t="str">
            <v>Chân sứ đứng D20 bọc chì</v>
          </cell>
          <cell r="G78" t="str">
            <v>cái</v>
          </cell>
          <cell r="H78">
            <v>43</v>
          </cell>
          <cell r="I78">
            <v>43</v>
          </cell>
        </row>
        <row r="79">
          <cell r="B79" t="str">
            <v>CTD+K</v>
          </cell>
          <cell r="C79" t="str">
            <v>x</v>
          </cell>
          <cell r="D79">
            <v>2</v>
          </cell>
          <cell r="E79">
            <v>0</v>
          </cell>
          <cell r="F79" t="str">
            <v>Cọc tiếp đất Þ 16- 2,4m + kẹp cọc</v>
          </cell>
          <cell r="G79" t="str">
            <v>bộ</v>
          </cell>
          <cell r="H79">
            <v>8</v>
          </cell>
          <cell r="I79">
            <v>8</v>
          </cell>
        </row>
        <row r="80">
          <cell r="B80" t="str">
            <v>CTD+K</v>
          </cell>
          <cell r="C80" t="str">
            <v>x</v>
          </cell>
          <cell r="D80">
            <v>1</v>
          </cell>
          <cell r="E80">
            <v>0</v>
          </cell>
          <cell r="F80" t="str">
            <v>Cọc tiếp đất Þ 16- 2,4m + kẹp cọc</v>
          </cell>
          <cell r="G80" t="str">
            <v>bộ</v>
          </cell>
          <cell r="H80">
            <v>2</v>
          </cell>
          <cell r="I80">
            <v>2</v>
          </cell>
        </row>
        <row r="81">
          <cell r="B81" t="str">
            <v>CTD+K</v>
          </cell>
          <cell r="C81">
            <v>0</v>
          </cell>
          <cell r="D81">
            <v>0</v>
          </cell>
          <cell r="E81">
            <v>0</v>
          </cell>
          <cell r="F81" t="str">
            <v>Cọc tiếp đất Þ 16- 2,4m + kẹp cọc</v>
          </cell>
          <cell r="G81" t="str">
            <v>bộ</v>
          </cell>
          <cell r="H81">
            <v>10</v>
          </cell>
          <cell r="I81">
            <v>10</v>
          </cell>
        </row>
        <row r="82">
          <cell r="B82" t="str">
            <v>CUT114135</v>
          </cell>
          <cell r="C82">
            <v>0</v>
          </cell>
          <cell r="D82">
            <v>0</v>
          </cell>
          <cell r="E82">
            <v>0</v>
          </cell>
          <cell r="F82" t="str">
            <v>Co 135 độ PVC 114 (45 độ)</v>
          </cell>
          <cell r="G82" t="str">
            <v>cái</v>
          </cell>
          <cell r="H82">
            <v>2</v>
          </cell>
          <cell r="I82">
            <v>2</v>
          </cell>
        </row>
        <row r="83">
          <cell r="B83" t="str">
            <v>CUT114t</v>
          </cell>
          <cell r="C83">
            <v>0</v>
          </cell>
          <cell r="D83">
            <v>0</v>
          </cell>
          <cell r="E83">
            <v>0</v>
          </cell>
          <cell r="F83" t="str">
            <v>Co  90 độ PVC 114</v>
          </cell>
          <cell r="G83" t="str">
            <v>cái</v>
          </cell>
          <cell r="H83">
            <v>2</v>
          </cell>
          <cell r="I83">
            <v>2</v>
          </cell>
        </row>
        <row r="84">
          <cell r="B84" t="str">
            <v>d21</v>
          </cell>
          <cell r="C84" t="str">
            <v>x</v>
          </cell>
          <cell r="D84">
            <v>1</v>
          </cell>
          <cell r="E84">
            <v>0</v>
          </cell>
          <cell r="F84" t="str">
            <v>Đà Sắt góc L75 x75 x8 dài 2,1m (3 ốp)</v>
          </cell>
          <cell r="G84" t="str">
            <v>thanh</v>
          </cell>
          <cell r="H84">
            <v>7</v>
          </cell>
          <cell r="I84">
            <v>7</v>
          </cell>
        </row>
        <row r="85">
          <cell r="B85" t="str">
            <v>d21</v>
          </cell>
          <cell r="C85" t="str">
            <v>x</v>
          </cell>
          <cell r="D85">
            <v>2</v>
          </cell>
          <cell r="E85">
            <v>0</v>
          </cell>
          <cell r="F85" t="str">
            <v>Đà Sắt góc L75 x75 x8 dài 2,1m (3 ốp)</v>
          </cell>
          <cell r="G85" t="str">
            <v>thanh</v>
          </cell>
          <cell r="H85">
            <v>4</v>
          </cell>
          <cell r="I85">
            <v>4</v>
          </cell>
        </row>
        <row r="86">
          <cell r="B86" t="str">
            <v>d22</v>
          </cell>
          <cell r="C86" t="str">
            <v>x</v>
          </cell>
          <cell r="D86">
            <v>2</v>
          </cell>
          <cell r="E86">
            <v>0</v>
          </cell>
          <cell r="F86" t="str">
            <v>Đà Sắt góc L75 x75 x8 dài 2,2m (4 ốp)</v>
          </cell>
          <cell r="G86" t="str">
            <v>thanh</v>
          </cell>
          <cell r="H86">
            <v>2</v>
          </cell>
          <cell r="I86">
            <v>2</v>
          </cell>
        </row>
        <row r="87">
          <cell r="B87" t="str">
            <v>d22</v>
          </cell>
          <cell r="C87" t="str">
            <v>x</v>
          </cell>
          <cell r="D87">
            <v>2</v>
          </cell>
          <cell r="E87">
            <v>0</v>
          </cell>
          <cell r="F87" t="str">
            <v>Đà Sắt góc L75 x75 x8 dài 2,2m (4 ốp)</v>
          </cell>
          <cell r="G87" t="str">
            <v>thanh</v>
          </cell>
          <cell r="H87">
            <v>6</v>
          </cell>
          <cell r="I87">
            <v>6</v>
          </cell>
        </row>
        <row r="88">
          <cell r="B88" t="str">
            <v>Dbstt</v>
          </cell>
          <cell r="C88" t="str">
            <v>x</v>
          </cell>
          <cell r="D88">
            <v>43</v>
          </cell>
          <cell r="E88">
            <v>0</v>
          </cell>
          <cell r="F88" t="str">
            <v>Dây buộc đầu sứ TTF (50-70mm2)</v>
          </cell>
          <cell r="G88" t="str">
            <v>cái</v>
          </cell>
          <cell r="H88">
            <v>43</v>
          </cell>
          <cell r="I88">
            <v>43</v>
          </cell>
        </row>
        <row r="89">
          <cell r="B89" t="str">
            <v>DINH</v>
          </cell>
          <cell r="C89" t="str">
            <v>x</v>
          </cell>
          <cell r="D89">
            <v>0.38300000000000001</v>
          </cell>
          <cell r="E89">
            <v>0</v>
          </cell>
          <cell r="F89" t="str">
            <v>Đinh</v>
          </cell>
          <cell r="G89" t="str">
            <v>kg</v>
          </cell>
          <cell r="H89">
            <v>2.681</v>
          </cell>
          <cell r="I89">
            <v>2.681</v>
          </cell>
        </row>
        <row r="90">
          <cell r="B90" t="str">
            <v>DINH</v>
          </cell>
          <cell r="C90" t="str">
            <v>x</v>
          </cell>
          <cell r="D90">
            <v>0.75</v>
          </cell>
          <cell r="E90">
            <v>0</v>
          </cell>
          <cell r="F90" t="str">
            <v>Đinh</v>
          </cell>
          <cell r="G90" t="str">
            <v>kg</v>
          </cell>
          <cell r="H90">
            <v>3</v>
          </cell>
          <cell r="I90">
            <v>3</v>
          </cell>
        </row>
        <row r="91">
          <cell r="B91" t="str">
            <v>GIP70-35</v>
          </cell>
          <cell r="C91" t="str">
            <v>x</v>
          </cell>
          <cell r="D91">
            <v>2</v>
          </cell>
          <cell r="E91">
            <v>0</v>
          </cell>
          <cell r="F91" t="str">
            <v>Ghíp nối IPC 120;95;70;50-35</v>
          </cell>
          <cell r="G91" t="str">
            <v>cái</v>
          </cell>
          <cell r="H91">
            <v>8</v>
          </cell>
          <cell r="I91">
            <v>8</v>
          </cell>
        </row>
        <row r="92">
          <cell r="B92" t="str">
            <v>GIP95-35</v>
          </cell>
          <cell r="C92" t="str">
            <v>x</v>
          </cell>
          <cell r="D92">
            <v>50</v>
          </cell>
          <cell r="E92">
            <v>0</v>
          </cell>
          <cell r="F92" t="str">
            <v>Ghíp nối 2 boulon IPC 95-25</v>
          </cell>
          <cell r="G92" t="str">
            <v>cái</v>
          </cell>
          <cell r="H92">
            <v>50</v>
          </cell>
          <cell r="I92">
            <v>50</v>
          </cell>
        </row>
        <row r="93">
          <cell r="B93" t="str">
            <v>GNIU50</v>
          </cell>
          <cell r="C93" t="str">
            <v>x</v>
          </cell>
          <cell r="D93">
            <v>18</v>
          </cell>
          <cell r="E93">
            <v>0</v>
          </cell>
          <cell r="F93" t="str">
            <v>Giáp níu dừng dây bọc 50mm2 + yếm móng U + Mắt nối yếm</v>
          </cell>
          <cell r="G93" t="str">
            <v>cái</v>
          </cell>
          <cell r="H93">
            <v>18</v>
          </cell>
          <cell r="I93">
            <v>18</v>
          </cell>
        </row>
        <row r="94">
          <cell r="B94" t="str">
            <v>HOP9C</v>
          </cell>
          <cell r="C94" t="str">
            <v>x</v>
          </cell>
          <cell r="D94">
            <v>1</v>
          </cell>
          <cell r="E94">
            <v>0</v>
          </cell>
          <cell r="F94" t="str">
            <v>Hộp đấu MCCB phân đoạn</v>
          </cell>
          <cell r="G94" t="str">
            <v>cái</v>
          </cell>
          <cell r="H94">
            <v>1</v>
          </cell>
          <cell r="I94">
            <v>1</v>
          </cell>
        </row>
        <row r="95">
          <cell r="B95" t="str">
            <v>HOPPP</v>
          </cell>
          <cell r="C95" t="str">
            <v>x</v>
          </cell>
          <cell r="D95">
            <v>9</v>
          </cell>
          <cell r="E95" t="str">
            <v>D4.6303</v>
          </cell>
          <cell r="F95" t="str">
            <v>Hộp phân phối (loại 9 cực đấu trực tiếp)</v>
          </cell>
          <cell r="G95" t="str">
            <v>cái</v>
          </cell>
          <cell r="H95">
            <v>9</v>
          </cell>
          <cell r="I95">
            <v>9</v>
          </cell>
        </row>
        <row r="96">
          <cell r="B96" t="str">
            <v>KE279</v>
          </cell>
          <cell r="C96" t="str">
            <v>x</v>
          </cell>
          <cell r="D96">
            <v>2</v>
          </cell>
          <cell r="E96">
            <v>0</v>
          </cell>
          <cell r="F96" t="str">
            <v>Kẹp ép WR 279</v>
          </cell>
          <cell r="G96" t="str">
            <v>cái</v>
          </cell>
          <cell r="H96">
            <v>4</v>
          </cell>
          <cell r="I96">
            <v>4</v>
          </cell>
        </row>
        <row r="97">
          <cell r="B97" t="str">
            <v>ke279</v>
          </cell>
          <cell r="C97" t="str">
            <v>x</v>
          </cell>
          <cell r="D97">
            <v>12</v>
          </cell>
          <cell r="E97">
            <v>0</v>
          </cell>
          <cell r="F97" t="str">
            <v>Kẹp ép WR 279</v>
          </cell>
          <cell r="G97" t="str">
            <v>cái</v>
          </cell>
          <cell r="H97">
            <v>12</v>
          </cell>
          <cell r="I97">
            <v>12</v>
          </cell>
        </row>
        <row r="98">
          <cell r="B98" t="str">
            <v>ke279</v>
          </cell>
          <cell r="C98">
            <v>0</v>
          </cell>
          <cell r="D98">
            <v>0</v>
          </cell>
          <cell r="E98">
            <v>0</v>
          </cell>
          <cell r="F98" t="str">
            <v>Kẹp ép WR 279</v>
          </cell>
          <cell r="G98" t="str">
            <v>cái</v>
          </cell>
          <cell r="H98">
            <v>2</v>
          </cell>
          <cell r="I98">
            <v>2</v>
          </cell>
        </row>
        <row r="99">
          <cell r="B99" t="str">
            <v>ke419</v>
          </cell>
          <cell r="C99">
            <v>0</v>
          </cell>
          <cell r="D99">
            <v>0</v>
          </cell>
          <cell r="E99">
            <v>0</v>
          </cell>
          <cell r="F99" t="str">
            <v>Kẹp ép WR 419</v>
          </cell>
          <cell r="G99" t="str">
            <v>cái</v>
          </cell>
          <cell r="H99">
            <v>8</v>
          </cell>
          <cell r="I99">
            <v>8</v>
          </cell>
        </row>
        <row r="100">
          <cell r="B100" t="str">
            <v>KE95</v>
          </cell>
          <cell r="C100" t="str">
            <v>x</v>
          </cell>
          <cell r="D100">
            <v>16</v>
          </cell>
          <cell r="E100">
            <v>0</v>
          </cell>
          <cell r="F100" t="str">
            <v>Kẹp ép WR cỡ dây 95mm2</v>
          </cell>
          <cell r="G100" t="str">
            <v>cái</v>
          </cell>
          <cell r="H100">
            <v>16</v>
          </cell>
          <cell r="I100">
            <v>16</v>
          </cell>
        </row>
        <row r="101">
          <cell r="B101" t="str">
            <v>KEObit</v>
          </cell>
          <cell r="C101">
            <v>0</v>
          </cell>
          <cell r="D101">
            <v>0</v>
          </cell>
          <cell r="E101">
            <v>0</v>
          </cell>
          <cell r="F101" t="str">
            <v>Keo silicon bít miệng ống 190g/ống</v>
          </cell>
          <cell r="G101" t="str">
            <v>ống</v>
          </cell>
          <cell r="H101">
            <v>5</v>
          </cell>
          <cell r="I101">
            <v>5</v>
          </cell>
        </row>
        <row r="102">
          <cell r="B102" t="str">
            <v>keodan</v>
          </cell>
          <cell r="C102">
            <v>0</v>
          </cell>
          <cell r="D102">
            <v>0</v>
          </cell>
          <cell r="E102">
            <v>0</v>
          </cell>
          <cell r="F102" t="str">
            <v>Keo dán ống PVC (100gr)</v>
          </cell>
          <cell r="G102" t="str">
            <v>tuýp</v>
          </cell>
          <cell r="H102">
            <v>1</v>
          </cell>
          <cell r="I102">
            <v>1</v>
          </cell>
        </row>
        <row r="103">
          <cell r="B103" t="str">
            <v>KH2/0</v>
          </cell>
          <cell r="C103" t="str">
            <v>x</v>
          </cell>
          <cell r="D103">
            <v>3</v>
          </cell>
          <cell r="E103" t="str">
            <v>T4.3007</v>
          </cell>
          <cell r="F103" t="str">
            <v>Kẹp hotline 2/0</v>
          </cell>
          <cell r="G103" t="str">
            <v>cái</v>
          </cell>
          <cell r="H103">
            <v>3</v>
          </cell>
          <cell r="I103">
            <v>3</v>
          </cell>
        </row>
        <row r="104">
          <cell r="B104" t="str">
            <v>KH2/0</v>
          </cell>
          <cell r="C104">
            <v>0</v>
          </cell>
          <cell r="D104">
            <v>0</v>
          </cell>
          <cell r="E104" t="str">
            <v>T4.3007</v>
          </cell>
          <cell r="F104" t="str">
            <v>Kẹp hotline 2/0</v>
          </cell>
          <cell r="G104" t="str">
            <v>cái</v>
          </cell>
          <cell r="H104">
            <v>3</v>
          </cell>
          <cell r="I104">
            <v>3</v>
          </cell>
        </row>
        <row r="105">
          <cell r="B105" t="str">
            <v>KH4/0</v>
          </cell>
          <cell r="C105" t="str">
            <v>x</v>
          </cell>
          <cell r="D105">
            <v>3</v>
          </cell>
          <cell r="E105" t="str">
            <v>T4.3007</v>
          </cell>
          <cell r="F105" t="str">
            <v>Kẹp hotline 4/0</v>
          </cell>
          <cell r="G105" t="str">
            <v>cái</v>
          </cell>
          <cell r="H105">
            <v>3</v>
          </cell>
          <cell r="I105">
            <v>3</v>
          </cell>
        </row>
        <row r="106">
          <cell r="B106" t="str">
            <v>kn50</v>
          </cell>
          <cell r="C106" t="str">
            <v>x</v>
          </cell>
          <cell r="D106">
            <v>6</v>
          </cell>
          <cell r="E106">
            <v>0</v>
          </cell>
          <cell r="F106" t="str">
            <v>Khóa néo dây cỡ dây 50</v>
          </cell>
          <cell r="G106" t="str">
            <v>cái</v>
          </cell>
          <cell r="H106">
            <v>6</v>
          </cell>
          <cell r="I106">
            <v>6</v>
          </cell>
        </row>
        <row r="107">
          <cell r="B107" t="str">
            <v>KNGUNG95</v>
          </cell>
          <cell r="C107" t="str">
            <v>x</v>
          </cell>
          <cell r="D107">
            <v>7</v>
          </cell>
          <cell r="E107">
            <v>0</v>
          </cell>
          <cell r="F107" t="str">
            <v>Kẹp ngừng cáp ABC4x95mm2</v>
          </cell>
          <cell r="G107" t="str">
            <v>cái</v>
          </cell>
          <cell r="H107">
            <v>7</v>
          </cell>
          <cell r="I107">
            <v>7</v>
          </cell>
        </row>
        <row r="108">
          <cell r="B108" t="str">
            <v>KQ2/0</v>
          </cell>
          <cell r="C108" t="str">
            <v>x</v>
          </cell>
          <cell r="D108">
            <v>3</v>
          </cell>
          <cell r="E108">
            <v>0</v>
          </cell>
          <cell r="F108" t="str">
            <v>Kẹp quai đấu nóng 2/0</v>
          </cell>
          <cell r="G108" t="str">
            <v>cái</v>
          </cell>
          <cell r="H108">
            <v>3</v>
          </cell>
          <cell r="I108">
            <v>3</v>
          </cell>
        </row>
        <row r="109">
          <cell r="B109" t="str">
            <v>KQ2/0</v>
          </cell>
          <cell r="C109">
            <v>0</v>
          </cell>
          <cell r="D109">
            <v>0</v>
          </cell>
          <cell r="E109">
            <v>0</v>
          </cell>
          <cell r="F109" t="str">
            <v>Kẹp quai đấu nóng 2/0</v>
          </cell>
          <cell r="G109" t="str">
            <v>cái</v>
          </cell>
          <cell r="H109">
            <v>3</v>
          </cell>
          <cell r="I109">
            <v>3</v>
          </cell>
        </row>
        <row r="110">
          <cell r="B110" t="str">
            <v>KQ4/0</v>
          </cell>
          <cell r="C110" t="str">
            <v>x</v>
          </cell>
          <cell r="D110">
            <v>3</v>
          </cell>
          <cell r="E110">
            <v>0</v>
          </cell>
          <cell r="F110" t="str">
            <v>Kẹp quai đấu nóng  4/0</v>
          </cell>
          <cell r="G110" t="str">
            <v>cái</v>
          </cell>
          <cell r="H110">
            <v>3</v>
          </cell>
          <cell r="I110">
            <v>3</v>
          </cell>
        </row>
        <row r="111">
          <cell r="B111" t="str">
            <v>KTREO95</v>
          </cell>
          <cell r="C111" t="str">
            <v>x</v>
          </cell>
          <cell r="D111">
            <v>17</v>
          </cell>
          <cell r="E111">
            <v>0</v>
          </cell>
          <cell r="F111" t="str">
            <v>Kẹp treo cáp ABC4x95mm2</v>
          </cell>
          <cell r="G111" t="str">
            <v>cái</v>
          </cell>
          <cell r="H111">
            <v>17</v>
          </cell>
          <cell r="I111">
            <v>17</v>
          </cell>
        </row>
        <row r="112">
          <cell r="B112" t="str">
            <v>KVRN114</v>
          </cell>
          <cell r="C112">
            <v>0</v>
          </cell>
          <cell r="D112">
            <v>0</v>
          </cell>
          <cell r="E112">
            <v>0</v>
          </cell>
          <cell r="F112" t="str">
            <v>Khâu ven răng ngoài D114</v>
          </cell>
          <cell r="G112" t="str">
            <v>cái</v>
          </cell>
          <cell r="H112">
            <v>1</v>
          </cell>
          <cell r="I112">
            <v>1</v>
          </cell>
        </row>
        <row r="113">
          <cell r="B113" t="str">
            <v>KVRT114</v>
          </cell>
          <cell r="C113">
            <v>0</v>
          </cell>
          <cell r="D113">
            <v>0</v>
          </cell>
          <cell r="E113">
            <v>0</v>
          </cell>
          <cell r="F113" t="str">
            <v>Khâu ven răng trong  D114</v>
          </cell>
          <cell r="G113" t="str">
            <v>bộ</v>
          </cell>
          <cell r="H113">
            <v>1</v>
          </cell>
          <cell r="I113">
            <v>1</v>
          </cell>
        </row>
        <row r="114">
          <cell r="B114" t="str">
            <v>MT</v>
          </cell>
          <cell r="C114" t="str">
            <v>x</v>
          </cell>
          <cell r="D114">
            <v>36</v>
          </cell>
          <cell r="E114">
            <v>0</v>
          </cell>
          <cell r="F114" t="str">
            <v xml:space="preserve">Móc treo chữ U </v>
          </cell>
          <cell r="G114" t="str">
            <v>cái</v>
          </cell>
          <cell r="H114">
            <v>36</v>
          </cell>
          <cell r="I114">
            <v>36</v>
          </cell>
        </row>
        <row r="115">
          <cell r="B115" t="str">
            <v>MTREO A</v>
          </cell>
          <cell r="C115" t="str">
            <v>x</v>
          </cell>
          <cell r="D115">
            <v>4</v>
          </cell>
          <cell r="E115">
            <v>0</v>
          </cell>
          <cell r="F115" t="str">
            <v>Móc treo chữ A</v>
          </cell>
          <cell r="G115" t="str">
            <v>cái</v>
          </cell>
          <cell r="H115">
            <v>4</v>
          </cell>
          <cell r="I115">
            <v>4</v>
          </cell>
        </row>
        <row r="116">
          <cell r="B116" t="str">
            <v>OCN</v>
          </cell>
          <cell r="C116" t="str">
            <v>x</v>
          </cell>
          <cell r="D116">
            <v>6</v>
          </cell>
          <cell r="E116">
            <v>0</v>
          </cell>
          <cell r="F116" t="str">
            <v>ống co nhiệt cách điện 24kV D60</v>
          </cell>
          <cell r="G116" t="str">
            <v>m</v>
          </cell>
          <cell r="H116">
            <v>6</v>
          </cell>
          <cell r="I116">
            <v>6</v>
          </cell>
        </row>
        <row r="117">
          <cell r="B117" t="str">
            <v>OXC</v>
          </cell>
          <cell r="C117" t="str">
            <v>x</v>
          </cell>
          <cell r="D117">
            <v>2</v>
          </cell>
          <cell r="E117">
            <v>0</v>
          </cell>
          <cell r="F117" t="str">
            <v>Ốc xiết cáp</v>
          </cell>
          <cell r="G117" t="str">
            <v>cái</v>
          </cell>
          <cell r="H117">
            <v>4</v>
          </cell>
          <cell r="I117">
            <v>4</v>
          </cell>
        </row>
        <row r="118">
          <cell r="B118" t="str">
            <v>OXC1/0</v>
          </cell>
          <cell r="C118">
            <v>0</v>
          </cell>
          <cell r="D118">
            <v>0</v>
          </cell>
          <cell r="E118">
            <v>0</v>
          </cell>
          <cell r="F118" t="str">
            <v>Oác xiết cáp Cu 1/0</v>
          </cell>
          <cell r="G118" t="str">
            <v>cái</v>
          </cell>
          <cell r="H118">
            <v>6</v>
          </cell>
          <cell r="I118">
            <v>6</v>
          </cell>
        </row>
        <row r="119">
          <cell r="B119" t="str">
            <v>PVC114</v>
          </cell>
          <cell r="C119">
            <v>0</v>
          </cell>
          <cell r="D119">
            <v>0</v>
          </cell>
          <cell r="E119">
            <v>0</v>
          </cell>
          <cell r="F119" t="str">
            <v xml:space="preserve">Ống PVC D114x4,9mm </v>
          </cell>
          <cell r="G119" t="str">
            <v>m</v>
          </cell>
          <cell r="H119">
            <v>11</v>
          </cell>
          <cell r="I119">
            <v>11</v>
          </cell>
        </row>
        <row r="120">
          <cell r="B120" t="str">
            <v>R1</v>
          </cell>
          <cell r="C120" t="str">
            <v>x</v>
          </cell>
          <cell r="D120">
            <v>9</v>
          </cell>
          <cell r="E120">
            <v>0</v>
          </cell>
          <cell r="F120" t="str">
            <v>Uclevis + sứ ống chỉ</v>
          </cell>
          <cell r="G120" t="str">
            <v>bộ</v>
          </cell>
          <cell r="H120">
            <v>9</v>
          </cell>
          <cell r="I120">
            <v>9</v>
          </cell>
        </row>
        <row r="121">
          <cell r="B121" t="str">
            <v>t199</v>
          </cell>
          <cell r="C121" t="str">
            <v>x</v>
          </cell>
          <cell r="D121">
            <v>1</v>
          </cell>
          <cell r="E121">
            <v>0</v>
          </cell>
          <cell r="F121" t="str">
            <v>Thanh chống đà sắt góc L50x50x5 dài 1,99m</v>
          </cell>
          <cell r="G121" t="str">
            <v>thanh</v>
          </cell>
          <cell r="H121">
            <v>7</v>
          </cell>
          <cell r="I121">
            <v>7</v>
          </cell>
        </row>
        <row r="122">
          <cell r="B122" t="str">
            <v>t199</v>
          </cell>
          <cell r="C122" t="str">
            <v>x</v>
          </cell>
          <cell r="D122">
            <v>2</v>
          </cell>
          <cell r="E122">
            <v>0</v>
          </cell>
          <cell r="F122" t="str">
            <v>Thanh chống đà sắt góc L50x50x5 dài 1,99m</v>
          </cell>
          <cell r="G122" t="str">
            <v>thanh</v>
          </cell>
          <cell r="H122">
            <v>4</v>
          </cell>
          <cell r="I122">
            <v>4</v>
          </cell>
        </row>
        <row r="123">
          <cell r="B123" t="str">
            <v>t81</v>
          </cell>
          <cell r="C123" t="str">
            <v>x</v>
          </cell>
          <cell r="D123">
            <v>4</v>
          </cell>
          <cell r="E123">
            <v>0</v>
          </cell>
          <cell r="F123" t="str">
            <v>Thanh chống đà sắt góc L50x50x5 dài 0,81m</v>
          </cell>
          <cell r="G123" t="str">
            <v>thanh</v>
          </cell>
          <cell r="H123">
            <v>4</v>
          </cell>
          <cell r="I123">
            <v>4</v>
          </cell>
        </row>
        <row r="124">
          <cell r="B124" t="str">
            <v>t81</v>
          </cell>
          <cell r="C124" t="str">
            <v>x</v>
          </cell>
          <cell r="D124">
            <v>4</v>
          </cell>
          <cell r="E124">
            <v>0</v>
          </cell>
          <cell r="F124" t="str">
            <v>Thanh chống đà sắt góc L50x50x5 dài 0,81m</v>
          </cell>
          <cell r="G124" t="str">
            <v>thanh</v>
          </cell>
          <cell r="H124">
            <v>12</v>
          </cell>
          <cell r="I124">
            <v>12</v>
          </cell>
        </row>
        <row r="125">
          <cell r="B125" t="str">
            <v>TCX</v>
          </cell>
          <cell r="C125" t="str">
            <v>x</v>
          </cell>
          <cell r="D125">
            <v>2</v>
          </cell>
          <cell r="E125">
            <v>0</v>
          </cell>
          <cell r="F125" t="str">
            <v>Thanh chống đà Compoxit dẹp 10x40x920 cho đà 2,4m</v>
          </cell>
          <cell r="G125" t="str">
            <v>thanh</v>
          </cell>
          <cell r="H125">
            <v>2</v>
          </cell>
          <cell r="I125">
            <v>2</v>
          </cell>
        </row>
        <row r="126">
          <cell r="B126" t="str">
            <v>tcx</v>
          </cell>
          <cell r="C126">
            <v>0</v>
          </cell>
          <cell r="D126">
            <v>0</v>
          </cell>
          <cell r="E126">
            <v>0</v>
          </cell>
          <cell r="F126" t="str">
            <v>Thanh chống đà Compoxit dẹp 10x40x920 cho đà 2,4m</v>
          </cell>
          <cell r="G126" t="str">
            <v>thanh</v>
          </cell>
          <cell r="H126">
            <v>2</v>
          </cell>
          <cell r="I126">
            <v>2</v>
          </cell>
        </row>
        <row r="127">
          <cell r="B127" t="str">
            <v>XM</v>
          </cell>
          <cell r="C127" t="str">
            <v>x</v>
          </cell>
          <cell r="D127">
            <v>114</v>
          </cell>
          <cell r="E127">
            <v>0</v>
          </cell>
          <cell r="F127" t="str">
            <v xml:space="preserve">Ximăng </v>
          </cell>
          <cell r="G127" t="str">
            <v>kg</v>
          </cell>
          <cell r="H127">
            <v>798</v>
          </cell>
          <cell r="I127">
            <v>798</v>
          </cell>
        </row>
        <row r="128">
          <cell r="B128" t="str">
            <v>XM</v>
          </cell>
          <cell r="C128" t="str">
            <v>x</v>
          </cell>
          <cell r="D128">
            <v>352</v>
          </cell>
          <cell r="E128">
            <v>0</v>
          </cell>
          <cell r="F128" t="str">
            <v xml:space="preserve">Ximăng </v>
          </cell>
          <cell r="G128" t="str">
            <v>kg</v>
          </cell>
          <cell r="H128">
            <v>1408</v>
          </cell>
          <cell r="I128">
            <v>1408</v>
          </cell>
        </row>
        <row r="129">
          <cell r="B129" t="str">
            <v>XM</v>
          </cell>
          <cell r="C129" t="str">
            <v>x</v>
          </cell>
          <cell r="D129">
            <v>353</v>
          </cell>
          <cell r="E129">
            <v>0</v>
          </cell>
          <cell r="F129" t="str">
            <v xml:space="preserve">Ximăng </v>
          </cell>
          <cell r="G129" t="str">
            <v>kg</v>
          </cell>
          <cell r="H129">
            <v>353</v>
          </cell>
          <cell r="I129">
            <v>353</v>
          </cell>
        </row>
        <row r="130">
          <cell r="B130" t="str">
            <v>CV</v>
          </cell>
          <cell r="C130" t="str">
            <v>x</v>
          </cell>
          <cell r="D130">
            <v>0.23</v>
          </cell>
          <cell r="E130">
            <v>0</v>
          </cell>
          <cell r="F130" t="str">
            <v>Cát vàng</v>
          </cell>
          <cell r="G130" t="str">
            <v>m3</v>
          </cell>
          <cell r="H130">
            <v>1.61</v>
          </cell>
          <cell r="I130">
            <v>1.61</v>
          </cell>
        </row>
        <row r="131">
          <cell r="B131" t="str">
            <v>CV</v>
          </cell>
          <cell r="C131" t="str">
            <v>x</v>
          </cell>
          <cell r="D131">
            <v>0.70899999999999996</v>
          </cell>
          <cell r="E131">
            <v>0</v>
          </cell>
          <cell r="F131" t="str">
            <v>Cát vàng</v>
          </cell>
          <cell r="G131" t="str">
            <v>m3</v>
          </cell>
          <cell r="H131">
            <v>2.8359999999999999</v>
          </cell>
          <cell r="I131">
            <v>2.8359999999999999</v>
          </cell>
        </row>
        <row r="132">
          <cell r="B132" t="str">
            <v>CV</v>
          </cell>
          <cell r="C132" t="str">
            <v>x</v>
          </cell>
          <cell r="D132">
            <v>0.71</v>
          </cell>
          <cell r="E132">
            <v>0</v>
          </cell>
          <cell r="F132" t="str">
            <v>Cát vàng</v>
          </cell>
          <cell r="G132" t="str">
            <v>m3</v>
          </cell>
          <cell r="H132">
            <v>0.71</v>
          </cell>
          <cell r="I132">
            <v>0.71</v>
          </cell>
        </row>
        <row r="133">
          <cell r="B133" t="str">
            <v>GO-CH</v>
          </cell>
          <cell r="C133" t="str">
            <v>x</v>
          </cell>
          <cell r="D133">
            <v>8.5000000000000006E-3</v>
          </cell>
          <cell r="E133">
            <v>0</v>
          </cell>
          <cell r="F133" t="str">
            <v>Gỗ chống</v>
          </cell>
          <cell r="G133" t="str">
            <v>m3</v>
          </cell>
          <cell r="H133">
            <v>5.9500000000000004E-2</v>
          </cell>
          <cell r="I133">
            <v>5.9500000000000004E-2</v>
          </cell>
        </row>
        <row r="134">
          <cell r="B134" t="str">
            <v>GO-CH</v>
          </cell>
          <cell r="C134" t="str">
            <v>x</v>
          </cell>
          <cell r="D134">
            <v>1.6799999999999999E-2</v>
          </cell>
          <cell r="E134">
            <v>0</v>
          </cell>
          <cell r="F134" t="str">
            <v>Gỗ chống</v>
          </cell>
          <cell r="G134" t="str">
            <v>m3</v>
          </cell>
          <cell r="H134">
            <v>6.7199999999999996E-2</v>
          </cell>
          <cell r="I134">
            <v>6.7199999999999996E-2</v>
          </cell>
        </row>
        <row r="135">
          <cell r="B135" t="str">
            <v>GO-DN</v>
          </cell>
          <cell r="C135" t="str">
            <v>x</v>
          </cell>
          <cell r="D135">
            <v>5.4000000000000003E-3</v>
          </cell>
          <cell r="E135">
            <v>0</v>
          </cell>
          <cell r="F135" t="str">
            <v>Gỗ đà nẹp</v>
          </cell>
          <cell r="G135" t="str">
            <v>m3</v>
          </cell>
          <cell r="H135">
            <v>3.78E-2</v>
          </cell>
          <cell r="I135">
            <v>3.78E-2</v>
          </cell>
        </row>
        <row r="136">
          <cell r="B136" t="str">
            <v>GO-DN</v>
          </cell>
          <cell r="C136" t="str">
            <v>x</v>
          </cell>
          <cell r="D136">
            <v>1.0500000000000001E-2</v>
          </cell>
          <cell r="E136">
            <v>0</v>
          </cell>
          <cell r="F136" t="str">
            <v>Gỗ đà nẹp</v>
          </cell>
          <cell r="G136" t="str">
            <v>m3</v>
          </cell>
          <cell r="H136">
            <v>4.2000000000000003E-2</v>
          </cell>
          <cell r="I136">
            <v>4.2000000000000003E-2</v>
          </cell>
        </row>
        <row r="137">
          <cell r="B137" t="str">
            <v>GO-V</v>
          </cell>
          <cell r="C137" t="str">
            <v>x</v>
          </cell>
          <cell r="D137">
            <v>2.0199999999999999E-2</v>
          </cell>
          <cell r="E137">
            <v>0</v>
          </cell>
          <cell r="F137" t="str">
            <v>Gỗ ván (cả nẹp)</v>
          </cell>
          <cell r="G137" t="str">
            <v>m3</v>
          </cell>
          <cell r="H137">
            <v>0.1414</v>
          </cell>
          <cell r="I137">
            <v>0.1414</v>
          </cell>
        </row>
        <row r="138">
          <cell r="B138" t="str">
            <v>GO-V</v>
          </cell>
          <cell r="C138" t="str">
            <v>x</v>
          </cell>
          <cell r="D138">
            <v>3.9600000000000003E-2</v>
          </cell>
          <cell r="E138">
            <v>0</v>
          </cell>
          <cell r="F138" t="str">
            <v>Gỗ ván (cả nẹp)</v>
          </cell>
          <cell r="G138" t="str">
            <v>m3</v>
          </cell>
          <cell r="H138">
            <v>0.15840000000000001</v>
          </cell>
          <cell r="I138">
            <v>0.15840000000000001</v>
          </cell>
        </row>
        <row r="139">
          <cell r="B139" t="str">
            <v>D1X2</v>
          </cell>
          <cell r="C139" t="str">
            <v>x</v>
          </cell>
          <cell r="D139">
            <v>0.41299999999999998</v>
          </cell>
          <cell r="E139">
            <v>0</v>
          </cell>
          <cell r="F139" t="str">
            <v>Đá 1x2</v>
          </cell>
          <cell r="G139" t="str">
            <v>m3</v>
          </cell>
          <cell r="H139">
            <v>2.891</v>
          </cell>
          <cell r="I139">
            <v>2.891</v>
          </cell>
        </row>
        <row r="140">
          <cell r="B140" t="str">
            <v>D1X2</v>
          </cell>
          <cell r="C140" t="str">
            <v>x</v>
          </cell>
          <cell r="D140">
            <v>1.276</v>
          </cell>
          <cell r="E140">
            <v>0</v>
          </cell>
          <cell r="F140" t="str">
            <v>Đá 1x2</v>
          </cell>
          <cell r="G140" t="str">
            <v>m3</v>
          </cell>
          <cell r="H140">
            <v>5.1040000000000001</v>
          </cell>
          <cell r="I140">
            <v>5.1040000000000001</v>
          </cell>
        </row>
        <row r="141">
          <cell r="B141" t="str">
            <v>D1X2</v>
          </cell>
          <cell r="C141" t="str">
            <v>x</v>
          </cell>
          <cell r="D141">
            <v>1.2789999999999999</v>
          </cell>
          <cell r="E141">
            <v>0</v>
          </cell>
          <cell r="F141" t="str">
            <v>Đá 1x2</v>
          </cell>
          <cell r="G141" t="str">
            <v>m3</v>
          </cell>
          <cell r="H141">
            <v>1.2789999999999999</v>
          </cell>
          <cell r="I141">
            <v>1.2789999999999999</v>
          </cell>
        </row>
        <row r="142">
          <cell r="B142" t="str">
            <v>lcapdongTB95</v>
          </cell>
          <cell r="C142">
            <v>0</v>
          </cell>
          <cell r="D142">
            <v>0</v>
          </cell>
          <cell r="E142" t="str">
            <v>T4.4201</v>
          </cell>
          <cell r="F142" t="str">
            <v>Lắp cáp đồng xuống thiết bị &lt;150mm2</v>
          </cell>
          <cell r="G142" t="str">
            <v>m</v>
          </cell>
          <cell r="H142">
            <v>12</v>
          </cell>
          <cell r="I142">
            <v>12</v>
          </cell>
        </row>
        <row r="143">
          <cell r="B143" t="str">
            <v>BTLT 14</v>
          </cell>
          <cell r="C143" t="str">
            <v>x</v>
          </cell>
          <cell r="D143">
            <v>0</v>
          </cell>
          <cell r="E143">
            <v>0</v>
          </cell>
          <cell r="F143" t="str">
            <v>Trụ bê tông ly tâm 14m</v>
          </cell>
          <cell r="G143" t="str">
            <v>Trụ</v>
          </cell>
          <cell r="H143">
            <v>2</v>
          </cell>
          <cell r="I143">
            <v>2</v>
          </cell>
        </row>
        <row r="144">
          <cell r="B144" t="str">
            <v>C12m</v>
          </cell>
          <cell r="C144" t="str">
            <v>x</v>
          </cell>
          <cell r="D144">
            <v>1</v>
          </cell>
          <cell r="E144" t="str">
            <v>D2.5232</v>
          </cell>
          <cell r="F144" t="str">
            <v>Dựng trụ BTLT &lt;=12m thủ công + cơ giới</v>
          </cell>
          <cell r="G144" t="str">
            <v>trụ</v>
          </cell>
          <cell r="H144">
            <v>15</v>
          </cell>
          <cell r="I144">
            <v>15</v>
          </cell>
        </row>
        <row r="145">
          <cell r="B145" t="str">
            <v>C14m</v>
          </cell>
          <cell r="C145" t="str">
            <v>x</v>
          </cell>
          <cell r="D145">
            <v>1</v>
          </cell>
          <cell r="E145" t="str">
            <v>D2.5242</v>
          </cell>
          <cell r="F145" t="str">
            <v>Dựng trụ BTLT 14m thủ công + cơ giới</v>
          </cell>
          <cell r="G145" t="str">
            <v>trụ</v>
          </cell>
          <cell r="H145">
            <v>2</v>
          </cell>
          <cell r="I145">
            <v>2</v>
          </cell>
        </row>
        <row r="146">
          <cell r="B146" t="str">
            <v>C8m</v>
          </cell>
          <cell r="C146" t="str">
            <v>x</v>
          </cell>
          <cell r="D146">
            <v>1</v>
          </cell>
          <cell r="E146" t="str">
            <v>D2.5212</v>
          </cell>
          <cell r="F146" t="str">
            <v>Dựng trụ BTLT &lt;=8m thủ công +cơ giới</v>
          </cell>
          <cell r="G146" t="str">
            <v>trụ</v>
          </cell>
          <cell r="H146">
            <v>23</v>
          </cell>
          <cell r="I146">
            <v>23</v>
          </cell>
        </row>
        <row r="147">
          <cell r="B147" t="str">
            <v>CĐTply-X</v>
          </cell>
          <cell r="C147" t="str">
            <v>x</v>
          </cell>
          <cell r="D147">
            <v>18</v>
          </cell>
          <cell r="E147">
            <v>0</v>
          </cell>
          <cell r="F147" t="str">
            <v>Chuỗi sứ treo Polymer 25kV lắp vào xà : CĐT ply-X</v>
          </cell>
          <cell r="G147" t="str">
            <v>chuỗi</v>
          </cell>
          <cell r="H147">
            <v>18</v>
          </cell>
          <cell r="I147">
            <v>18</v>
          </cell>
        </row>
        <row r="148">
          <cell r="B148" t="str">
            <v>datd3</v>
          </cell>
          <cell r="C148" t="str">
            <v>x</v>
          </cell>
          <cell r="D148">
            <v>0.4</v>
          </cell>
          <cell r="E148" t="str">
            <v>AB.13121</v>
          </cell>
          <cell r="F148" t="str">
            <v>Đắp đất rãnh tiếp địa cấp 3, độ chặt k=0,85</v>
          </cell>
          <cell r="G148" t="str">
            <v>m3</v>
          </cell>
          <cell r="H148">
            <v>1.6</v>
          </cell>
          <cell r="I148">
            <v>1.6</v>
          </cell>
        </row>
        <row r="149">
          <cell r="B149" t="str">
            <v>datd3</v>
          </cell>
          <cell r="C149" t="str">
            <v>x</v>
          </cell>
          <cell r="D149">
            <v>0.08</v>
          </cell>
          <cell r="E149" t="str">
            <v>AB.13121</v>
          </cell>
          <cell r="F149" t="str">
            <v>Đắp đất rãnh tiếp địa cấp 3, độ chặt k=0,85</v>
          </cell>
          <cell r="G149" t="str">
            <v>m3</v>
          </cell>
          <cell r="H149">
            <v>0.16</v>
          </cell>
          <cell r="I149">
            <v>0.16</v>
          </cell>
        </row>
        <row r="150">
          <cell r="B150" t="str">
            <v>datd3</v>
          </cell>
          <cell r="C150">
            <v>0</v>
          </cell>
          <cell r="D150">
            <v>0</v>
          </cell>
          <cell r="E150" t="str">
            <v>AB.13121</v>
          </cell>
          <cell r="F150" t="str">
            <v>Đắp đất rãnh tiếp địa cấp 3, độ chặt k=0,85</v>
          </cell>
          <cell r="G150" t="str">
            <v>m3</v>
          </cell>
          <cell r="H150">
            <v>4.0999999999999996</v>
          </cell>
          <cell r="I150">
            <v>4.0999999999999996</v>
          </cell>
        </row>
        <row r="151">
          <cell r="B151" t="str">
            <v>DBT15012</v>
          </cell>
          <cell r="C151" t="str">
            <v>x</v>
          </cell>
          <cell r="D151">
            <v>0.46400000000000002</v>
          </cell>
          <cell r="E151" t="str">
            <v>AF.11210</v>
          </cell>
          <cell r="F151" t="str">
            <v>Đổ bê tông mác M150 đá 1x2</v>
          </cell>
          <cell r="G151" t="str">
            <v>m3</v>
          </cell>
          <cell r="H151">
            <v>3.2480000000000002</v>
          </cell>
          <cell r="I151">
            <v>3.2480000000000002</v>
          </cell>
        </row>
        <row r="152">
          <cell r="B152" t="str">
            <v>DBT15012</v>
          </cell>
          <cell r="C152" t="str">
            <v>x</v>
          </cell>
          <cell r="D152">
            <v>1.4319999999999999</v>
          </cell>
          <cell r="E152" t="str">
            <v>AF.11210</v>
          </cell>
          <cell r="F152" t="str">
            <v>Đổ bê tông mác M150 đá 1x2</v>
          </cell>
          <cell r="G152" t="str">
            <v>m3</v>
          </cell>
          <cell r="H152">
            <v>5.7279999999999998</v>
          </cell>
          <cell r="I152">
            <v>5.7279999999999998</v>
          </cell>
        </row>
        <row r="153">
          <cell r="B153" t="str">
            <v>DBT15012</v>
          </cell>
          <cell r="C153" t="str">
            <v>x</v>
          </cell>
          <cell r="D153">
            <v>1.4350000000000001</v>
          </cell>
          <cell r="E153" t="str">
            <v>AF.11210</v>
          </cell>
          <cell r="F153" t="str">
            <v>Đổ bê tông mác M150 đá 1x2</v>
          </cell>
          <cell r="G153" t="str">
            <v>m3</v>
          </cell>
          <cell r="H153">
            <v>1.4350000000000001</v>
          </cell>
          <cell r="I153">
            <v>1.4350000000000001</v>
          </cell>
        </row>
        <row r="154">
          <cell r="B154" t="str">
            <v>DCTD3</v>
          </cell>
          <cell r="C154" t="str">
            <v>x</v>
          </cell>
          <cell r="D154">
            <v>2</v>
          </cell>
          <cell r="E154" t="str">
            <v>D2.8103</v>
          </cell>
          <cell r="F154" t="str">
            <v>Đóng cọc tiếp địa đất cấp 3</v>
          </cell>
          <cell r="G154" t="str">
            <v>cọc</v>
          </cell>
          <cell r="H154">
            <v>8</v>
          </cell>
          <cell r="I154">
            <v>8</v>
          </cell>
        </row>
        <row r="155">
          <cell r="B155" t="str">
            <v>DCTD3</v>
          </cell>
          <cell r="C155" t="str">
            <v>x</v>
          </cell>
          <cell r="D155">
            <v>1</v>
          </cell>
          <cell r="E155" t="str">
            <v>D2.8103</v>
          </cell>
          <cell r="F155" t="str">
            <v>Đóng cọc tiếp địa đất cấp 3</v>
          </cell>
          <cell r="G155" t="str">
            <v>cọc</v>
          </cell>
          <cell r="H155">
            <v>2</v>
          </cell>
          <cell r="I155">
            <v>2</v>
          </cell>
        </row>
        <row r="156">
          <cell r="B156" t="str">
            <v>dctdtba</v>
          </cell>
          <cell r="C156">
            <v>0</v>
          </cell>
          <cell r="D156">
            <v>0</v>
          </cell>
          <cell r="E156" t="str">
            <v>D2.8103</v>
          </cell>
          <cell r="F156" t="str">
            <v>Đóng cọc tiếp địa trong TBA</v>
          </cell>
          <cell r="G156" t="str">
            <v>cọc</v>
          </cell>
          <cell r="H156">
            <v>10</v>
          </cell>
          <cell r="I156">
            <v>10</v>
          </cell>
        </row>
        <row r="157">
          <cell r="B157" t="str">
            <v>DDTT3P1m-m</v>
          </cell>
          <cell r="C157" t="str">
            <v>x</v>
          </cell>
          <cell r="D157">
            <v>1</v>
          </cell>
          <cell r="E157" t="str">
            <v>b</v>
          </cell>
          <cell r="F157" t="str">
            <v>Phân trung thế 3 pha XD mới 1 mạch</v>
          </cell>
          <cell r="G157" t="str">
            <v>Tbộ</v>
          </cell>
          <cell r="H157">
            <v>0</v>
          </cell>
          <cell r="I157">
            <v>0</v>
          </cell>
        </row>
        <row r="158">
          <cell r="B158" t="str">
            <v>DK3p5A</v>
          </cell>
          <cell r="C158">
            <v>0</v>
          </cell>
          <cell r="D158">
            <v>6</v>
          </cell>
          <cell r="E158">
            <v>0</v>
          </cell>
          <cell r="F158" t="str">
            <v>Điện kế 3 pha 4 dây 220/380V-5A</v>
          </cell>
          <cell r="G158" t="str">
            <v>cái</v>
          </cell>
          <cell r="H158">
            <v>1</v>
          </cell>
          <cell r="I158">
            <v>1</v>
          </cell>
        </row>
        <row r="159">
          <cell r="B159" t="str">
            <v>dtd3</v>
          </cell>
          <cell r="C159" t="str">
            <v>x</v>
          </cell>
          <cell r="D159">
            <v>0.4</v>
          </cell>
          <cell r="E159" t="str">
            <v>AB.11413</v>
          </cell>
          <cell r="F159" t="str">
            <v>Đào rãnh tiếp địa đất cấp 3, sâu &lt;1m</v>
          </cell>
          <cell r="G159" t="str">
            <v>m3</v>
          </cell>
          <cell r="H159">
            <v>1.6</v>
          </cell>
          <cell r="I159">
            <v>1.6</v>
          </cell>
        </row>
        <row r="160">
          <cell r="B160" t="str">
            <v>dtd3</v>
          </cell>
          <cell r="C160" t="str">
            <v>x</v>
          </cell>
          <cell r="D160">
            <v>0.08</v>
          </cell>
          <cell r="E160" t="str">
            <v>AB.11413</v>
          </cell>
          <cell r="F160" t="str">
            <v>Đào rãnh tiếp địa đất cấp 3, sâu &lt;1m</v>
          </cell>
          <cell r="G160" t="str">
            <v>m3</v>
          </cell>
          <cell r="H160">
            <v>0.16</v>
          </cell>
          <cell r="I160">
            <v>0.16</v>
          </cell>
        </row>
        <row r="161">
          <cell r="B161" t="str">
            <v>dtd3</v>
          </cell>
          <cell r="C161">
            <v>0</v>
          </cell>
          <cell r="D161">
            <v>0</v>
          </cell>
          <cell r="E161" t="str">
            <v>AB.11413</v>
          </cell>
          <cell r="F161" t="str">
            <v>Đào rãnh tiếp địa đất cấp 3, sâu &lt;1m</v>
          </cell>
          <cell r="G161" t="str">
            <v>m3</v>
          </cell>
          <cell r="H161">
            <v>4.0999999999999996</v>
          </cell>
          <cell r="I161">
            <v>4.0999999999999996</v>
          </cell>
        </row>
        <row r="162">
          <cell r="B162" t="str">
            <v>Đth-U</v>
          </cell>
          <cell r="C162" t="str">
            <v>x</v>
          </cell>
          <cell r="D162">
            <v>9</v>
          </cell>
          <cell r="E162">
            <v>0</v>
          </cell>
          <cell r="F162" t="str">
            <v>Bộ Uclevis đỡ dây trung hòa: Đth-U</v>
          </cell>
          <cell r="G162" t="str">
            <v>bộ</v>
          </cell>
          <cell r="H162">
            <v>9</v>
          </cell>
          <cell r="I162">
            <v>9</v>
          </cell>
        </row>
        <row r="163">
          <cell r="B163" t="str">
            <v>KDAABC95</v>
          </cell>
          <cell r="C163" t="str">
            <v>x</v>
          </cell>
          <cell r="D163">
            <v>0.56999999999999995</v>
          </cell>
          <cell r="E163" t="str">
            <v>D3.6306</v>
          </cell>
          <cell r="F163" t="str">
            <v>Kéo dây ABC 4x95mm2 (&lt;10m)</v>
          </cell>
          <cell r="G163" t="str">
            <v>km</v>
          </cell>
          <cell r="H163">
            <v>0.56999999999999995</v>
          </cell>
          <cell r="I163">
            <v>0.56999999999999995</v>
          </cell>
        </row>
        <row r="164">
          <cell r="B164" t="str">
            <v>KTD</v>
          </cell>
          <cell r="C164" t="str">
            <v>x</v>
          </cell>
          <cell r="D164">
            <v>2.69</v>
          </cell>
          <cell r="E164" t="str">
            <v>D2.7001</v>
          </cell>
          <cell r="F164" t="str">
            <v xml:space="preserve">Kéo dây tiếp địa </v>
          </cell>
          <cell r="G164" t="str">
            <v>kg</v>
          </cell>
          <cell r="H164">
            <v>10.76</v>
          </cell>
          <cell r="I164">
            <v>10.76</v>
          </cell>
        </row>
        <row r="165">
          <cell r="B165" t="str">
            <v>KTD</v>
          </cell>
          <cell r="C165" t="str">
            <v>x</v>
          </cell>
          <cell r="D165">
            <v>2.46</v>
          </cell>
          <cell r="E165" t="str">
            <v>D2.7001</v>
          </cell>
          <cell r="F165" t="str">
            <v xml:space="preserve">Kéo dây tiếp địa </v>
          </cell>
          <cell r="G165" t="str">
            <v>kg</v>
          </cell>
          <cell r="H165">
            <v>4.92</v>
          </cell>
          <cell r="I165">
            <v>4.92</v>
          </cell>
        </row>
        <row r="166">
          <cell r="B166" t="str">
            <v>ktdtba</v>
          </cell>
          <cell r="C166">
            <v>0</v>
          </cell>
          <cell r="D166">
            <v>0</v>
          </cell>
          <cell r="E166" t="str">
            <v>T4.7001</v>
          </cell>
          <cell r="F166" t="str">
            <v>Kéo dây tiếp địa trong TBA</v>
          </cell>
          <cell r="G166" t="str">
            <v>m</v>
          </cell>
          <cell r="H166">
            <v>53</v>
          </cell>
          <cell r="I166">
            <v>53</v>
          </cell>
        </row>
        <row r="167">
          <cell r="B167" t="str">
            <v>LCHSNply</v>
          </cell>
          <cell r="C167" t="str">
            <v>x</v>
          </cell>
          <cell r="D167">
            <v>18</v>
          </cell>
          <cell r="E167" t="str">
            <v>D3.2401</v>
          </cell>
          <cell r="F167" t="str">
            <v>Lắp chuỗi sứ néo Polymer</v>
          </cell>
          <cell r="G167" t="str">
            <v>chuỗi</v>
          </cell>
          <cell r="H167">
            <v>18</v>
          </cell>
          <cell r="I167">
            <v>18</v>
          </cell>
        </row>
        <row r="168">
          <cell r="B168" t="str">
            <v>LSDD</v>
          </cell>
          <cell r="C168" t="str">
            <v>x</v>
          </cell>
          <cell r="D168">
            <v>43</v>
          </cell>
          <cell r="E168" t="str">
            <v>D3.1115</v>
          </cell>
          <cell r="F168" t="str">
            <v>Lắp sứ đứng 24KV + ty</v>
          </cell>
          <cell r="G168" t="str">
            <v>bộ</v>
          </cell>
          <cell r="H168">
            <v>43</v>
          </cell>
          <cell r="I168">
            <v>43</v>
          </cell>
        </row>
        <row r="169">
          <cell r="B169" t="str">
            <v>LSOC</v>
          </cell>
          <cell r="C169" t="str">
            <v>x</v>
          </cell>
          <cell r="D169">
            <v>9</v>
          </cell>
          <cell r="E169" t="str">
            <v>D3.1211</v>
          </cell>
          <cell r="F169" t="str">
            <v>Lắp đặt sứ hạ thế, loại 1 sứ</v>
          </cell>
          <cell r="G169" t="str">
            <v>bộ</v>
          </cell>
          <cell r="H169">
            <v>9</v>
          </cell>
          <cell r="I169">
            <v>9</v>
          </cell>
        </row>
        <row r="170">
          <cell r="B170" t="str">
            <v>M12</v>
          </cell>
          <cell r="C170" t="str">
            <v>x</v>
          </cell>
          <cell r="D170">
            <v>0</v>
          </cell>
          <cell r="E170">
            <v>0</v>
          </cell>
          <cell r="F170" t="str">
            <v>Móng M12</v>
          </cell>
          <cell r="G170" t="str">
            <v>Móng</v>
          </cell>
          <cell r="H170">
            <v>7</v>
          </cell>
          <cell r="I170">
            <v>7</v>
          </cell>
        </row>
        <row r="171">
          <cell r="B171" t="str">
            <v>M12BT ĐÔI</v>
          </cell>
          <cell r="C171" t="str">
            <v>x</v>
          </cell>
          <cell r="D171">
            <v>0</v>
          </cell>
          <cell r="E171">
            <v>0</v>
          </cell>
          <cell r="F171" t="str">
            <v>Móng bê tông trụ đôi 12m</v>
          </cell>
          <cell r="G171" t="str">
            <v>Móng</v>
          </cell>
          <cell r="H171">
            <v>4</v>
          </cell>
          <cell r="I171">
            <v>4</v>
          </cell>
        </row>
        <row r="172">
          <cell r="B172" t="str">
            <v>M8</v>
          </cell>
          <cell r="C172" t="str">
            <v>x</v>
          </cell>
          <cell r="D172">
            <v>0</v>
          </cell>
          <cell r="E172">
            <v>0</v>
          </cell>
          <cell r="F172" t="str">
            <v>Móng M8</v>
          </cell>
          <cell r="G172" t="str">
            <v>Móng</v>
          </cell>
          <cell r="H172">
            <v>9</v>
          </cell>
          <cell r="I172">
            <v>9</v>
          </cell>
        </row>
        <row r="173">
          <cell r="B173" t="str">
            <v>MDAP3</v>
          </cell>
          <cell r="C173" t="str">
            <v>x</v>
          </cell>
          <cell r="D173">
            <v>0.11799999999999999</v>
          </cell>
          <cell r="E173" t="str">
            <v>AB.13112</v>
          </cell>
          <cell r="F173" t="str">
            <v>Đắp đất hố móng cột , độ chặt k=0,9</v>
          </cell>
          <cell r="G173" t="str">
            <v>m3</v>
          </cell>
          <cell r="H173">
            <v>1.0619999999999998</v>
          </cell>
          <cell r="I173">
            <v>1.0619999999999998</v>
          </cell>
        </row>
        <row r="174">
          <cell r="B174" t="str">
            <v>MDAP3</v>
          </cell>
          <cell r="C174" t="str">
            <v>x</v>
          </cell>
          <cell r="D174">
            <v>0.1</v>
          </cell>
          <cell r="E174" t="str">
            <v>AB.13112</v>
          </cell>
          <cell r="F174" t="str">
            <v>Đắp đất hố móng cột , độ chặt k=0,9</v>
          </cell>
          <cell r="G174" t="str">
            <v>m3</v>
          </cell>
          <cell r="H174">
            <v>0.70000000000000007</v>
          </cell>
          <cell r="I174">
            <v>0.70000000000000007</v>
          </cell>
        </row>
        <row r="175">
          <cell r="B175" t="str">
            <v>MDAP3</v>
          </cell>
          <cell r="C175" t="str">
            <v>x</v>
          </cell>
          <cell r="D175">
            <v>0.18</v>
          </cell>
          <cell r="E175" t="str">
            <v>AB.13112</v>
          </cell>
          <cell r="F175" t="str">
            <v>Đắp đất hố móng cột , độ chặt k=0,9</v>
          </cell>
          <cell r="G175" t="str">
            <v>m3</v>
          </cell>
          <cell r="H175">
            <v>1.26</v>
          </cell>
          <cell r="I175">
            <v>1.26</v>
          </cell>
        </row>
        <row r="176">
          <cell r="B176" t="str">
            <v>MDAP3</v>
          </cell>
          <cell r="C176" t="str">
            <v>x</v>
          </cell>
          <cell r="D176">
            <v>0.157</v>
          </cell>
          <cell r="E176" t="str">
            <v>AB.13112</v>
          </cell>
          <cell r="F176" t="str">
            <v>Đắp đất hố móng cột , độ chặt k=0,9</v>
          </cell>
          <cell r="G176" t="str">
            <v>m3</v>
          </cell>
          <cell r="H176">
            <v>0.628</v>
          </cell>
          <cell r="I176">
            <v>0.628</v>
          </cell>
        </row>
        <row r="177">
          <cell r="B177" t="str">
            <v>MDAP3</v>
          </cell>
          <cell r="C177" t="str">
            <v>x</v>
          </cell>
          <cell r="D177">
            <v>0.216</v>
          </cell>
          <cell r="E177" t="str">
            <v>AB.13112</v>
          </cell>
          <cell r="F177" t="str">
            <v>Đắp đất hố móng cột , độ chặt k=0,9</v>
          </cell>
          <cell r="G177" t="str">
            <v>m3</v>
          </cell>
          <cell r="H177">
            <v>0.216</v>
          </cell>
          <cell r="I177">
            <v>0.216</v>
          </cell>
        </row>
        <row r="178">
          <cell r="B178" t="str">
            <v>MDAP3</v>
          </cell>
          <cell r="C178" t="str">
            <v>x</v>
          </cell>
          <cell r="D178">
            <v>0.4</v>
          </cell>
          <cell r="E178" t="str">
            <v>AB.13112</v>
          </cell>
          <cell r="F178" t="str">
            <v>Đắp đất hố móng cột , độ chặt k=0,9</v>
          </cell>
          <cell r="G178" t="str">
            <v>m3</v>
          </cell>
          <cell r="H178">
            <v>0.8</v>
          </cell>
          <cell r="I178">
            <v>0.8</v>
          </cell>
        </row>
        <row r="179">
          <cell r="B179" t="str">
            <v>MDD3R1</v>
          </cell>
          <cell r="C179" t="str">
            <v>x</v>
          </cell>
          <cell r="D179">
            <v>0.67800000000000005</v>
          </cell>
          <cell r="E179" t="str">
            <v>AB.11443</v>
          </cell>
          <cell r="F179" t="str">
            <v>Đào đất móng cột, trụ, hố kiểm tra rộng &gt;1m, sâu &gt;1m, đất cấp 3 bằng thủ công</v>
          </cell>
          <cell r="G179" t="str">
            <v>m3</v>
          </cell>
          <cell r="H179">
            <v>4.7460000000000004</v>
          </cell>
          <cell r="I179">
            <v>4.7460000000000004</v>
          </cell>
        </row>
        <row r="180">
          <cell r="B180" t="str">
            <v>MDD3R1</v>
          </cell>
          <cell r="C180" t="str">
            <v>x</v>
          </cell>
          <cell r="D180">
            <v>1.8340000000000001</v>
          </cell>
          <cell r="E180" t="str">
            <v>AB.11443</v>
          </cell>
          <cell r="F180" t="str">
            <v>Đào đất móng cột, trụ, hố kiểm tra rộng &gt;1m, sâu &gt;1m, đất cấp 3 bằng thủ công</v>
          </cell>
          <cell r="G180" t="str">
            <v>m3</v>
          </cell>
          <cell r="H180">
            <v>7.3360000000000003</v>
          </cell>
          <cell r="I180">
            <v>7.3360000000000003</v>
          </cell>
        </row>
        <row r="181">
          <cell r="B181" t="str">
            <v>MDD3R1</v>
          </cell>
          <cell r="C181" t="str">
            <v>x</v>
          </cell>
          <cell r="D181">
            <v>1.988</v>
          </cell>
          <cell r="E181" t="str">
            <v>AB.11443</v>
          </cell>
          <cell r="F181" t="str">
            <v>Đào đất mĩng cột, trụ, hố kiểm tra rộng &gt;1m, sâu &gt;1m, đất cấp 3 bằng thủ cơng</v>
          </cell>
          <cell r="G181" t="str">
            <v>m3</v>
          </cell>
          <cell r="H181">
            <v>1.988</v>
          </cell>
          <cell r="I181">
            <v>1.988</v>
          </cell>
        </row>
        <row r="182">
          <cell r="B182" t="str">
            <v>Nth-T</v>
          </cell>
          <cell r="C182" t="str">
            <v>x</v>
          </cell>
          <cell r="D182">
            <v>6</v>
          </cell>
          <cell r="E182">
            <v>0</v>
          </cell>
          <cell r="F182" t="str">
            <v>Bộ khóa néo dây trung hòa vào trụ: Nth-T</v>
          </cell>
          <cell r="G182" t="str">
            <v>bộ</v>
          </cell>
          <cell r="H182">
            <v>6</v>
          </cell>
          <cell r="I182">
            <v>6</v>
          </cell>
        </row>
        <row r="183">
          <cell r="B183" t="str">
            <v>SĐU</v>
          </cell>
          <cell r="C183" t="str">
            <v>x</v>
          </cell>
          <cell r="D183">
            <v>43</v>
          </cell>
          <cell r="E183">
            <v>0</v>
          </cell>
          <cell r="F183" t="str">
            <v>Bộ cách điện đứng+ty sứ : SĐU</v>
          </cell>
          <cell r="G183" t="str">
            <v>bộ</v>
          </cell>
          <cell r="H183">
            <v>43</v>
          </cell>
          <cell r="I183">
            <v>43</v>
          </cell>
        </row>
        <row r="184">
          <cell r="B184" t="str">
            <v>TD85ABC</v>
          </cell>
          <cell r="C184" t="str">
            <v>x</v>
          </cell>
          <cell r="D184">
            <v>0</v>
          </cell>
          <cell r="E184">
            <v>0</v>
          </cell>
          <cell r="F184" t="str">
            <v>Tiếp địa lặp lại trụ 8.4m cáp ABC</v>
          </cell>
          <cell r="G184" t="str">
            <v>Bộ</v>
          </cell>
          <cell r="H184">
            <v>4</v>
          </cell>
          <cell r="I184">
            <v>4</v>
          </cell>
        </row>
        <row r="185">
          <cell r="B185" t="str">
            <v>TDLL12</v>
          </cell>
          <cell r="C185" t="str">
            <v>x</v>
          </cell>
          <cell r="D185">
            <v>0</v>
          </cell>
          <cell r="E185">
            <v>0</v>
          </cell>
          <cell r="F185" t="str">
            <v>Tiếp địa lặp lại trụ 12m</v>
          </cell>
          <cell r="G185" t="str">
            <v>Bộ</v>
          </cell>
          <cell r="H185">
            <v>2</v>
          </cell>
          <cell r="I185">
            <v>2</v>
          </cell>
        </row>
        <row r="186">
          <cell r="B186" t="str">
            <v>TI200</v>
          </cell>
          <cell r="C186">
            <v>0</v>
          </cell>
          <cell r="D186">
            <v>5</v>
          </cell>
          <cell r="E186">
            <v>0</v>
          </cell>
          <cell r="F186" t="str">
            <v xml:space="preserve">Biến dòng 600V - 200/5A </v>
          </cell>
          <cell r="G186" t="str">
            <v>cái</v>
          </cell>
          <cell r="H186">
            <v>3</v>
          </cell>
          <cell r="I186">
            <v>3</v>
          </cell>
        </row>
        <row r="187">
          <cell r="B187" t="str">
            <v>X-21ĐL</v>
          </cell>
          <cell r="C187" t="str">
            <v>x</v>
          </cell>
          <cell r="D187">
            <v>0</v>
          </cell>
          <cell r="E187">
            <v>0</v>
          </cell>
          <cell r="F187" t="str">
            <v>Bộ xà lệch đơn L75x75x8 dài 2,1m: X-21ĐL</v>
          </cell>
          <cell r="G187" t="str">
            <v>Bộ</v>
          </cell>
          <cell r="H187">
            <v>7</v>
          </cell>
          <cell r="I187">
            <v>7</v>
          </cell>
        </row>
        <row r="188">
          <cell r="B188" t="str">
            <v>X-21KL</v>
          </cell>
          <cell r="C188" t="str">
            <v>x</v>
          </cell>
          <cell r="D188">
            <v>0</v>
          </cell>
          <cell r="E188">
            <v>0</v>
          </cell>
          <cell r="F188" t="str">
            <v>Bộ xà lệch kép L75x75x8 dài 2,1m: X-21KL</v>
          </cell>
          <cell r="G188" t="str">
            <v>Bộ</v>
          </cell>
          <cell r="H188">
            <v>2</v>
          </cell>
          <cell r="I188">
            <v>2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 t="str">
            <v>Gồm có:</v>
          </cell>
          <cell r="G189">
            <v>0</v>
          </cell>
          <cell r="H189">
            <v>0</v>
          </cell>
          <cell r="I189">
            <v>0</v>
          </cell>
        </row>
        <row r="190">
          <cell r="B190">
            <v>0</v>
          </cell>
          <cell r="C190">
            <v>0</v>
          </cell>
          <cell r="D190">
            <v>10</v>
          </cell>
          <cell r="E190">
            <v>0</v>
          </cell>
          <cell r="F190" t="str">
            <v>Bộ dây dẫn 22kV xuống MBA</v>
          </cell>
          <cell r="G190" t="str">
            <v>Bộ</v>
          </cell>
          <cell r="H190">
            <v>1</v>
          </cell>
          <cell r="I190">
            <v>1</v>
          </cell>
        </row>
        <row r="191"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 t="str">
            <v>Gồm có:</v>
          </cell>
          <cell r="G191">
            <v>0</v>
          </cell>
          <cell r="H191">
            <v>0</v>
          </cell>
          <cell r="I191">
            <v>0</v>
          </cell>
        </row>
        <row r="192">
          <cell r="B192">
            <v>0</v>
          </cell>
          <cell r="C192">
            <v>0</v>
          </cell>
          <cell r="D192">
            <v>12</v>
          </cell>
          <cell r="E192">
            <v>0</v>
          </cell>
          <cell r="F192" t="str">
            <v>Bộ dây dẫn đo đếm</v>
          </cell>
          <cell r="G192" t="str">
            <v>Bộ</v>
          </cell>
          <cell r="H192">
            <v>1</v>
          </cell>
          <cell r="I192">
            <v>1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 t="str">
            <v>Gồm có:</v>
          </cell>
          <cell r="G193">
            <v>0</v>
          </cell>
          <cell r="H193">
            <v>0</v>
          </cell>
          <cell r="I193">
            <v>0</v>
          </cell>
        </row>
        <row r="194">
          <cell r="B194" t="str">
            <v>BANGnh</v>
          </cell>
          <cell r="C194">
            <v>0</v>
          </cell>
          <cell r="D194">
            <v>0</v>
          </cell>
          <cell r="E194" t="str">
            <v>D3.3201</v>
          </cell>
          <cell r="F194" t="str">
            <v>Bảng báo nguy hiểm trạm</v>
          </cell>
          <cell r="G194" t="str">
            <v>bộ</v>
          </cell>
          <cell r="H194">
            <v>1</v>
          </cell>
          <cell r="I194">
            <v>1</v>
          </cell>
        </row>
        <row r="195">
          <cell r="B195" t="str">
            <v>ke189</v>
          </cell>
          <cell r="C195">
            <v>0</v>
          </cell>
          <cell r="D195">
            <v>0</v>
          </cell>
          <cell r="E195">
            <v>0</v>
          </cell>
          <cell r="F195" t="str">
            <v>Kẹp ép WR 189</v>
          </cell>
          <cell r="G195" t="str">
            <v>cái</v>
          </cell>
          <cell r="H195">
            <v>2</v>
          </cell>
          <cell r="I195">
            <v>2</v>
          </cell>
        </row>
        <row r="196">
          <cell r="B196" t="str">
            <v>TUHI3P</v>
          </cell>
          <cell r="C196">
            <v>0</v>
          </cell>
          <cell r="D196">
            <v>0</v>
          </cell>
          <cell r="E196" t="str">
            <v>T5.1002</v>
          </cell>
          <cell r="F196" t="str">
            <v>Tủ  điện kế hai ngăn 3 pha trạm treo (tủ+cổ dê+bakelit+khóa)</v>
          </cell>
          <cell r="G196" t="str">
            <v>Bộ</v>
          </cell>
          <cell r="H196">
            <v>1</v>
          </cell>
          <cell r="I196">
            <v>1</v>
          </cell>
        </row>
        <row r="197">
          <cell r="B197">
            <v>0</v>
          </cell>
          <cell r="C197" t="str">
            <v>x</v>
          </cell>
          <cell r="D197">
            <v>0</v>
          </cell>
          <cell r="E197" t="str">
            <v>III</v>
          </cell>
          <cell r="F197" t="str">
            <v>Phần xà, néo</v>
          </cell>
          <cell r="G197">
            <v>0</v>
          </cell>
          <cell r="H197">
            <v>0</v>
          </cell>
          <cell r="I197">
            <v>0</v>
          </cell>
        </row>
        <row r="198">
          <cell r="B198">
            <v>0</v>
          </cell>
          <cell r="C198" t="str">
            <v>x</v>
          </cell>
          <cell r="D198">
            <v>0</v>
          </cell>
          <cell r="E198" t="str">
            <v>IV</v>
          </cell>
          <cell r="F198" t="str">
            <v>Phần dây, sứ và phụ kiện</v>
          </cell>
          <cell r="G198">
            <v>0</v>
          </cell>
          <cell r="H198">
            <v>0</v>
          </cell>
          <cell r="I198">
            <v>0</v>
          </cell>
        </row>
        <row r="199">
          <cell r="B199">
            <v>0</v>
          </cell>
          <cell r="C199" t="str">
            <v>x</v>
          </cell>
          <cell r="D199">
            <v>0</v>
          </cell>
          <cell r="E199" t="str">
            <v>b</v>
          </cell>
          <cell r="F199" t="str">
            <v>Phần hạ thế XDM</v>
          </cell>
          <cell r="G199" t="str">
            <v>Tbộ</v>
          </cell>
          <cell r="H199">
            <v>0</v>
          </cell>
          <cell r="I199">
            <v>0</v>
          </cell>
        </row>
        <row r="200">
          <cell r="B200">
            <v>0</v>
          </cell>
          <cell r="C200" t="str">
            <v>x</v>
          </cell>
          <cell r="D200">
            <v>1</v>
          </cell>
          <cell r="E200">
            <v>0</v>
          </cell>
          <cell r="F200" t="str">
            <v>Phần hạ thế xdm</v>
          </cell>
          <cell r="G200">
            <v>1</v>
          </cell>
          <cell r="H200">
            <v>0</v>
          </cell>
          <cell r="I200">
            <v>0</v>
          </cell>
        </row>
        <row r="201">
          <cell r="B201">
            <v>0</v>
          </cell>
          <cell r="C201" t="str">
            <v>x</v>
          </cell>
          <cell r="D201">
            <v>0</v>
          </cell>
          <cell r="E201" t="str">
            <v>VII</v>
          </cell>
          <cell r="F201" t="str">
            <v>Phần thiết bị đường dây 3 pha XDM 1 mạch</v>
          </cell>
          <cell r="G201">
            <v>0</v>
          </cell>
          <cell r="H201">
            <v>0</v>
          </cell>
          <cell r="I201">
            <v>0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 t="str">
            <v>B. PHẦN VẬT LIỆU</v>
          </cell>
          <cell r="G202">
            <v>0</v>
          </cell>
          <cell r="H202">
            <v>0</v>
          </cell>
          <cell r="I202">
            <v>0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 t="str">
            <v>Phụ kiện treo MBA</v>
          </cell>
          <cell r="G203">
            <v>0</v>
          </cell>
          <cell r="H203">
            <v>0</v>
          </cell>
          <cell r="I203">
            <v>0</v>
          </cell>
        </row>
        <row r="204">
          <cell r="B204">
            <v>0</v>
          </cell>
          <cell r="C204">
            <v>0</v>
          </cell>
          <cell r="D204">
            <v>6</v>
          </cell>
          <cell r="E204">
            <v>0</v>
          </cell>
          <cell r="F204" t="str">
            <v>Giá chùm treo 3 MBT</v>
          </cell>
          <cell r="G204">
            <v>0</v>
          </cell>
          <cell r="H204">
            <v>1</v>
          </cell>
          <cell r="I204">
            <v>1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 t="str">
            <v>Gồm có:</v>
          </cell>
          <cell r="G205">
            <v>0</v>
          </cell>
          <cell r="H205">
            <v>0</v>
          </cell>
          <cell r="I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 t="str">
            <v>Gồm có:</v>
          </cell>
          <cell r="G206">
            <v>0</v>
          </cell>
          <cell r="H206">
            <v>0</v>
          </cell>
          <cell r="I206">
            <v>0</v>
          </cell>
        </row>
        <row r="207">
          <cell r="B207">
            <v>0</v>
          </cell>
          <cell r="C207">
            <v>0</v>
          </cell>
          <cell r="D207">
            <v>11</v>
          </cell>
          <cell r="E207">
            <v>0</v>
          </cell>
          <cell r="F207" t="str">
            <v>Bộ dây dẫn cáp xuất hạ thế</v>
          </cell>
          <cell r="G207" t="str">
            <v>Bộ</v>
          </cell>
          <cell r="H207">
            <v>1</v>
          </cell>
          <cell r="I207">
            <v>1</v>
          </cell>
        </row>
        <row r="208">
          <cell r="B208" t="str">
            <v xml:space="preserve">BTLT 12 </v>
          </cell>
          <cell r="C208" t="str">
            <v>x</v>
          </cell>
          <cell r="D208">
            <v>0</v>
          </cell>
          <cell r="E208">
            <v>0</v>
          </cell>
          <cell r="F208" t="str">
            <v>Trụ bê tông ly tâm 12m</v>
          </cell>
          <cell r="G208" t="str">
            <v>Trụ</v>
          </cell>
          <cell r="H208">
            <v>15</v>
          </cell>
          <cell r="I208">
            <v>15</v>
          </cell>
        </row>
        <row r="209">
          <cell r="B209" t="str">
            <v>BTLT 8.4</v>
          </cell>
          <cell r="C209" t="str">
            <v>x</v>
          </cell>
          <cell r="D209">
            <v>0</v>
          </cell>
          <cell r="E209">
            <v>0</v>
          </cell>
          <cell r="F209" t="str">
            <v>Trụ bê tông ly tâm 8.4m</v>
          </cell>
          <cell r="G209" t="str">
            <v>Trụ</v>
          </cell>
          <cell r="H209">
            <v>23</v>
          </cell>
          <cell r="I209">
            <v>23</v>
          </cell>
        </row>
        <row r="210">
          <cell r="B210" t="str">
            <v>CD114dd23</v>
          </cell>
          <cell r="C210">
            <v>0</v>
          </cell>
          <cell r="D210">
            <v>0</v>
          </cell>
          <cell r="E210">
            <v>0</v>
          </cell>
          <cell r="F210" t="str">
            <v>Cổ dê trụ đôi kẹp 1 ống PVC Þ 114 (D230)</v>
          </cell>
          <cell r="G210" t="str">
            <v>bộ</v>
          </cell>
          <cell r="H210">
            <v>4</v>
          </cell>
          <cell r="I210">
            <v>4</v>
          </cell>
        </row>
        <row r="211">
          <cell r="B211" t="str">
            <v>CD114dd28</v>
          </cell>
          <cell r="C211">
            <v>0</v>
          </cell>
          <cell r="D211">
            <v>0</v>
          </cell>
          <cell r="E211">
            <v>0</v>
          </cell>
          <cell r="F211" t="str">
            <v>Cổ dê trụ đôi kẹp 1 ống PVC Þ 114 (D280)</v>
          </cell>
          <cell r="G211" t="str">
            <v>bộ</v>
          </cell>
          <cell r="H211">
            <v>2</v>
          </cell>
          <cell r="I211">
            <v>2</v>
          </cell>
        </row>
        <row r="212">
          <cell r="B212" t="str">
            <v>Chupf</v>
          </cell>
          <cell r="C212">
            <v>0</v>
          </cell>
          <cell r="D212">
            <v>5</v>
          </cell>
          <cell r="E212">
            <v>0</v>
          </cell>
          <cell r="F212" t="str">
            <v>Chụp đầu cực trên dưới FCO</v>
          </cell>
          <cell r="G212" t="str">
            <v>bộ</v>
          </cell>
          <cell r="H212">
            <v>3</v>
          </cell>
          <cell r="I212">
            <v>3</v>
          </cell>
        </row>
        <row r="213">
          <cell r="B213" t="str">
            <v>GTMBA50</v>
          </cell>
          <cell r="C213">
            <v>0</v>
          </cell>
          <cell r="D213">
            <v>0</v>
          </cell>
          <cell r="E213" t="str">
            <v>D2.6021</v>
          </cell>
          <cell r="F213" t="str">
            <v>Gía chùm treo máy biến áp &gt;= 3x50</v>
          </cell>
          <cell r="G213" t="str">
            <v>bộ</v>
          </cell>
          <cell r="H213">
            <v>1</v>
          </cell>
          <cell r="I213">
            <v>1</v>
          </cell>
        </row>
        <row r="214">
          <cell r="B214" t="str">
            <v>KDAC50.</v>
          </cell>
          <cell r="C214" t="str">
            <v>x</v>
          </cell>
          <cell r="D214">
            <v>0.47899999999999998</v>
          </cell>
          <cell r="E214" t="str">
            <v>D3.6211</v>
          </cell>
          <cell r="F214" t="str">
            <v>Kéo dây nhôm lõi thép cỡ dây 50mm2 (&lt;10m)</v>
          </cell>
          <cell r="G214" t="str">
            <v>km</v>
          </cell>
          <cell r="H214">
            <v>0.47899999999999998</v>
          </cell>
          <cell r="I214">
            <v>0.47899999999999998</v>
          </cell>
        </row>
        <row r="215">
          <cell r="B215" t="str">
            <v>KDAC50b</v>
          </cell>
          <cell r="C215" t="str">
            <v>x</v>
          </cell>
          <cell r="D215">
            <v>1.4379999999999999</v>
          </cell>
          <cell r="E215" t="str">
            <v>D3.6211</v>
          </cell>
          <cell r="F215" t="str">
            <v>Kéo dây nhôm bọc lõi thép cỡ dây 50mm2</v>
          </cell>
          <cell r="G215" t="str">
            <v>km</v>
          </cell>
          <cell r="H215">
            <v>1.4379999999999999</v>
          </cell>
          <cell r="I215">
            <v>1.4379999999999999</v>
          </cell>
        </row>
        <row r="216">
          <cell r="B216" t="str">
            <v>LVANK</v>
          </cell>
          <cell r="C216" t="str">
            <v>x</v>
          </cell>
          <cell r="D216">
            <v>2.5499999999999998E-2</v>
          </cell>
          <cell r="E216" t="str">
            <v>AF.81122</v>
          </cell>
          <cell r="F216" t="str">
            <v>Ván khuôn gỗ móng - móng vuông, chữ nhật</v>
          </cell>
          <cell r="G216" t="str">
            <v>100m2</v>
          </cell>
          <cell r="H216">
            <v>0.17849999999999999</v>
          </cell>
          <cell r="I216">
            <v>0.17849999999999999</v>
          </cell>
        </row>
        <row r="217">
          <cell r="B217" t="str">
            <v>LVANK</v>
          </cell>
          <cell r="C217" t="str">
            <v>x</v>
          </cell>
          <cell r="D217">
            <v>0.05</v>
          </cell>
          <cell r="E217" t="str">
            <v>AF.81122</v>
          </cell>
          <cell r="F217" t="str">
            <v>Ván khuôn gỗ móng - móng vuông, chữ nhật</v>
          </cell>
          <cell r="G217" t="str">
            <v>100m2</v>
          </cell>
          <cell r="H217">
            <v>0.2</v>
          </cell>
          <cell r="I217">
            <v>0.2</v>
          </cell>
        </row>
        <row r="218">
          <cell r="B218" t="str">
            <v>LX21D</v>
          </cell>
          <cell r="C218" t="str">
            <v>x</v>
          </cell>
          <cell r="D218">
            <v>1</v>
          </cell>
          <cell r="E218" t="str">
            <v>D2.6021d</v>
          </cell>
          <cell r="F218" t="str">
            <v>Lắp xà đỡ thẳng 29,42kg (X21Đ)</v>
          </cell>
          <cell r="G218" t="str">
            <v>bộ</v>
          </cell>
          <cell r="H218">
            <v>1</v>
          </cell>
          <cell r="I218">
            <v>1</v>
          </cell>
        </row>
        <row r="219">
          <cell r="B219" t="str">
            <v>LX22KN</v>
          </cell>
          <cell r="C219" t="str">
            <v>x</v>
          </cell>
          <cell r="D219">
            <v>1</v>
          </cell>
          <cell r="E219" t="str">
            <v>D2.6032b</v>
          </cell>
          <cell r="F219" t="str">
            <v>Lắp xà néo 58,63kg (X22K)</v>
          </cell>
          <cell r="G219" t="str">
            <v>bộ</v>
          </cell>
          <cell r="H219">
            <v>1</v>
          </cell>
          <cell r="I219">
            <v>1</v>
          </cell>
        </row>
        <row r="220">
          <cell r="B220" t="str">
            <v>LX22KN</v>
          </cell>
          <cell r="C220" t="str">
            <v>x</v>
          </cell>
          <cell r="D220">
            <v>1</v>
          </cell>
          <cell r="E220" t="str">
            <v>D2.6032b</v>
          </cell>
          <cell r="F220" t="str">
            <v>Lắp xà néo 58,63kg (X22K)</v>
          </cell>
          <cell r="G220" t="str">
            <v>bộ</v>
          </cell>
          <cell r="H220">
            <v>1</v>
          </cell>
          <cell r="I220">
            <v>1</v>
          </cell>
        </row>
        <row r="221">
          <cell r="B221" t="str">
            <v>LXCP</v>
          </cell>
          <cell r="C221" t="str">
            <v>x</v>
          </cell>
          <cell r="D221">
            <v>1</v>
          </cell>
          <cell r="E221" t="str">
            <v>D2.6011</v>
          </cell>
          <cell r="F221" t="str">
            <v>Lắp xà compoxit 2,4m (&lt;=15kg, NC = 0,8 Đà sắt)</v>
          </cell>
          <cell r="G221" t="str">
            <v>bộ</v>
          </cell>
          <cell r="H221">
            <v>1</v>
          </cell>
          <cell r="I221">
            <v>1</v>
          </cell>
        </row>
        <row r="222">
          <cell r="B222" t="str">
            <v>LXCP</v>
          </cell>
          <cell r="C222">
            <v>0</v>
          </cell>
          <cell r="D222">
            <v>0</v>
          </cell>
          <cell r="E222" t="str">
            <v>D2.6011</v>
          </cell>
          <cell r="F222" t="str">
            <v>Lắp xà compoxit 2,4m (&lt;=15kg, NC = 0,8 Đà sắt)</v>
          </cell>
          <cell r="G222" t="str">
            <v>bộ</v>
          </cell>
          <cell r="H222">
            <v>1</v>
          </cell>
          <cell r="I222">
            <v>1</v>
          </cell>
        </row>
        <row r="223">
          <cell r="B223" t="str">
            <v>M14BT ĐÔI</v>
          </cell>
          <cell r="C223" t="str">
            <v>x</v>
          </cell>
          <cell r="D223">
            <v>0</v>
          </cell>
          <cell r="E223">
            <v>0</v>
          </cell>
          <cell r="F223" t="str">
            <v>Móng bê tông trụ đôi 14m</v>
          </cell>
          <cell r="G223" t="str">
            <v>Móng</v>
          </cell>
          <cell r="H223">
            <v>1</v>
          </cell>
          <cell r="I223">
            <v>1</v>
          </cell>
        </row>
        <row r="224">
          <cell r="B224" t="str">
            <v>M8BT Đôi</v>
          </cell>
          <cell r="C224" t="str">
            <v>x</v>
          </cell>
          <cell r="D224">
            <v>0</v>
          </cell>
          <cell r="E224">
            <v>0</v>
          </cell>
          <cell r="F224" t="str">
            <v>Móng bê tông trụ đôi 8,4m</v>
          </cell>
          <cell r="G224" t="str">
            <v>Móng</v>
          </cell>
          <cell r="H224">
            <v>7</v>
          </cell>
          <cell r="I224">
            <v>7</v>
          </cell>
        </row>
        <row r="225">
          <cell r="B225" t="str">
            <v>MDD3</v>
          </cell>
          <cell r="C225" t="str">
            <v>x</v>
          </cell>
          <cell r="D225">
            <v>0.185</v>
          </cell>
          <cell r="E225" t="str">
            <v>AB.11423</v>
          </cell>
          <cell r="F225" t="str">
            <v>Đào hố móng đất cấp 3 sâu &gt;1m</v>
          </cell>
          <cell r="G225" t="str">
            <v>m3</v>
          </cell>
          <cell r="H225">
            <v>1.665</v>
          </cell>
          <cell r="I225">
            <v>1.665</v>
          </cell>
        </row>
        <row r="226">
          <cell r="B226" t="str">
            <v>MDD3</v>
          </cell>
          <cell r="C226" t="str">
            <v>x</v>
          </cell>
          <cell r="D226">
            <v>0.35299999999999998</v>
          </cell>
          <cell r="E226">
            <v>0</v>
          </cell>
          <cell r="F226" t="str">
            <v>Đào hố móng đất cấp 3 sâu &gt;1m</v>
          </cell>
          <cell r="G226" t="str">
            <v>m3</v>
          </cell>
          <cell r="H226">
            <v>2.4710000000000001</v>
          </cell>
          <cell r="I226">
            <v>2.4710000000000001</v>
          </cell>
        </row>
        <row r="227">
          <cell r="B227" t="str">
            <v>MDD3</v>
          </cell>
          <cell r="C227" t="str">
            <v>x</v>
          </cell>
          <cell r="D227">
            <v>0.4</v>
          </cell>
          <cell r="E227" t="str">
            <v>AB.11423</v>
          </cell>
          <cell r="F227" t="str">
            <v>Đào hố móng đất cấp 3 sâu &gt;1m</v>
          </cell>
          <cell r="G227" t="str">
            <v>m3</v>
          </cell>
          <cell r="H227">
            <v>0.8</v>
          </cell>
          <cell r="I227">
            <v>0.8</v>
          </cell>
        </row>
        <row r="228">
          <cell r="B228" t="str">
            <v>TDCĐ</v>
          </cell>
          <cell r="C228" t="str">
            <v>x</v>
          </cell>
          <cell r="D228">
            <v>1</v>
          </cell>
          <cell r="E228">
            <v>0</v>
          </cell>
          <cell r="F228" t="str">
            <v>Bộ tiếp địa cố định hạ thế 3 pha</v>
          </cell>
          <cell r="G228" t="str">
            <v>Bộ</v>
          </cell>
          <cell r="H228">
            <v>1</v>
          </cell>
          <cell r="I228">
            <v>1</v>
          </cell>
        </row>
        <row r="229">
          <cell r="B229" t="str">
            <v>Tdia</v>
          </cell>
          <cell r="C229">
            <v>0</v>
          </cell>
          <cell r="D229">
            <v>8</v>
          </cell>
          <cell r="E229">
            <v>0</v>
          </cell>
          <cell r="F229" t="str">
            <v>Tiếp địa TBA</v>
          </cell>
          <cell r="G229" t="str">
            <v>Bộ</v>
          </cell>
          <cell r="H229">
            <v>1</v>
          </cell>
          <cell r="I229">
            <v>1</v>
          </cell>
        </row>
        <row r="230">
          <cell r="B230" t="str">
            <v>TUTREO</v>
          </cell>
          <cell r="C230">
            <v>0</v>
          </cell>
          <cell r="D230">
            <v>9</v>
          </cell>
          <cell r="E230">
            <v>0</v>
          </cell>
          <cell r="F230" t="str">
            <v>Tủ CB, điện kế trạm treo</v>
          </cell>
          <cell r="G230" t="str">
            <v>Bộ</v>
          </cell>
          <cell r="H230">
            <v>1</v>
          </cell>
          <cell r="I230">
            <v>1</v>
          </cell>
        </row>
        <row r="231">
          <cell r="B231" t="str">
            <v>X-22K</v>
          </cell>
          <cell r="C231" t="str">
            <v>x</v>
          </cell>
          <cell r="D231">
            <v>0</v>
          </cell>
          <cell r="E231">
            <v>0</v>
          </cell>
          <cell r="F231" t="str">
            <v>Bộ xà kép L75x75x8 dài 2.2m: X-22K - C810</v>
          </cell>
          <cell r="G231" t="str">
            <v>Bộ</v>
          </cell>
          <cell r="H231">
            <v>1</v>
          </cell>
          <cell r="I231">
            <v>1</v>
          </cell>
        </row>
        <row r="232">
          <cell r="B232" t="str">
            <v>X-22KK</v>
          </cell>
          <cell r="C232" t="str">
            <v>x</v>
          </cell>
          <cell r="D232">
            <v>0</v>
          </cell>
          <cell r="E232">
            <v>0</v>
          </cell>
          <cell r="F232" t="str">
            <v>Bộ xà kép L75x75x8 dài 2.2m: X-22KK - C810 (trụ ghép)</v>
          </cell>
          <cell r="G232" t="str">
            <v>Bộ</v>
          </cell>
          <cell r="H232">
            <v>3</v>
          </cell>
          <cell r="I232">
            <v>3</v>
          </cell>
        </row>
        <row r="233">
          <cell r="B233" t="str">
            <v>Xà C24</v>
          </cell>
          <cell r="C233">
            <v>0</v>
          </cell>
          <cell r="D233">
            <v>7</v>
          </cell>
          <cell r="E233">
            <v>0</v>
          </cell>
          <cell r="F233" t="str">
            <v>Xà compositc 2,4m đỡ FCO, LA</v>
          </cell>
          <cell r="G233" t="str">
            <v>Bộ</v>
          </cell>
          <cell r="H233">
            <v>1</v>
          </cell>
          <cell r="I233">
            <v>1</v>
          </cell>
        </row>
        <row r="234">
          <cell r="B234" t="str">
            <v>X-Compoxit 24</v>
          </cell>
          <cell r="C234" t="str">
            <v>x</v>
          </cell>
          <cell r="D234">
            <v>0</v>
          </cell>
          <cell r="E234">
            <v>0</v>
          </cell>
          <cell r="F234" t="str">
            <v>Bộ xà Compoxit 2,4m đỡ FCO, LA</v>
          </cell>
          <cell r="G234" t="str">
            <v>Bộ</v>
          </cell>
          <cell r="H234">
            <v>1</v>
          </cell>
          <cell r="I234">
            <v>1</v>
          </cell>
        </row>
      </sheetData>
      <sheetData sheetId="27">
        <row r="7">
          <cell r="C7" t="str">
            <v>04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FF00"/>
  </sheetPr>
  <dimension ref="A1:W2741"/>
  <sheetViews>
    <sheetView showZeros="0" tabSelected="1" topLeftCell="A859" zoomScale="85" zoomScaleNormal="85" workbookViewId="0">
      <selection activeCell="F829" sqref="F829"/>
    </sheetView>
  </sheetViews>
  <sheetFormatPr defaultColWidth="8.90625" defaultRowHeight="13.8" outlineLevelRow="1"/>
  <cols>
    <col min="1" max="1" width="6.36328125" style="1" customWidth="1"/>
    <col min="2" max="2" width="11.08984375" style="40" bestFit="1" customWidth="1"/>
    <col min="3" max="3" width="6.453125" style="40" customWidth="1"/>
    <col min="4" max="4" width="5.36328125" style="1" customWidth="1"/>
    <col min="5" max="5" width="8.81640625" style="1" customWidth="1"/>
    <col min="6" max="6" width="44.90625" style="2" customWidth="1"/>
    <col min="7" max="7" width="7.36328125" style="1" customWidth="1"/>
    <col min="8" max="8" width="9.54296875" style="3" customWidth="1"/>
    <col min="9" max="9" width="10.1796875" style="377" customWidth="1"/>
    <col min="10" max="11" width="9" style="1" customWidth="1"/>
    <col min="12" max="12" width="11.08984375" style="4" customWidth="1"/>
    <col min="13" max="13" width="11.453125" style="378" customWidth="1"/>
    <col min="14" max="14" width="12.453125" style="1" customWidth="1"/>
    <col min="15" max="16" width="10.453125" style="1" customWidth="1"/>
    <col min="17" max="17" width="15.08984375" style="1" customWidth="1"/>
    <col min="18" max="19" width="10.453125" style="1" customWidth="1"/>
    <col min="20" max="20" width="11.90625" style="1" customWidth="1"/>
    <col min="21" max="21" width="14.36328125" style="1" customWidth="1"/>
    <col min="22" max="22" width="8.90625" style="1"/>
    <col min="23" max="23" width="13.08984375" style="1" customWidth="1"/>
    <col min="24" max="16384" width="8.90625" style="1"/>
  </cols>
  <sheetData>
    <row r="1" spans="4:16" hidden="1" outlineLevel="1">
      <c r="I1" s="3"/>
      <c r="L1" s="1"/>
      <c r="M1" s="4"/>
    </row>
    <row r="2" spans="4:16" hidden="1" outlineLevel="1">
      <c r="F2" s="5" t="s">
        <v>0</v>
      </c>
      <c r="G2" s="6" t="s">
        <v>1</v>
      </c>
      <c r="H2" s="7"/>
      <c r="I2" s="8">
        <v>10</v>
      </c>
      <c r="J2" s="9" t="s">
        <v>2</v>
      </c>
      <c r="K2" s="6" t="s">
        <v>3</v>
      </c>
      <c r="L2" s="6"/>
      <c r="M2" s="9">
        <v>1</v>
      </c>
      <c r="N2" s="9" t="s">
        <v>4</v>
      </c>
      <c r="O2" s="9">
        <v>1</v>
      </c>
      <c r="P2" s="9" t="s">
        <v>5</v>
      </c>
    </row>
    <row r="3" spans="4:16" hidden="1" outlineLevel="1">
      <c r="F3" s="10">
        <v>36</v>
      </c>
      <c r="G3" s="11" t="s">
        <v>6</v>
      </c>
      <c r="H3" s="7"/>
      <c r="I3" s="12">
        <v>46</v>
      </c>
      <c r="J3" s="9" t="s">
        <v>7</v>
      </c>
      <c r="K3" s="6" t="s">
        <v>8</v>
      </c>
      <c r="L3" s="6"/>
      <c r="M3" s="9">
        <v>0</v>
      </c>
      <c r="N3" s="9" t="s">
        <v>9</v>
      </c>
    </row>
    <row r="4" spans="4:16" hidden="1" outlineLevel="1">
      <c r="F4" s="10"/>
      <c r="G4" s="11" t="s">
        <v>10</v>
      </c>
      <c r="H4" s="7"/>
      <c r="I4" s="8">
        <v>3</v>
      </c>
      <c r="J4" s="9" t="s">
        <v>11</v>
      </c>
      <c r="K4" s="13" t="s">
        <v>12</v>
      </c>
      <c r="L4" s="6"/>
      <c r="M4" s="9">
        <v>0</v>
      </c>
      <c r="N4" s="14"/>
    </row>
    <row r="5" spans="4:16" hidden="1" outlineLevel="1">
      <c r="F5" s="10"/>
      <c r="G5" s="15" t="s">
        <v>13</v>
      </c>
      <c r="H5" s="8" t="s">
        <v>14</v>
      </c>
      <c r="I5" s="8" t="s">
        <v>15</v>
      </c>
      <c r="J5" s="15" t="s">
        <v>16</v>
      </c>
      <c r="K5" s="15" t="s">
        <v>17</v>
      </c>
      <c r="L5" s="9" t="s">
        <v>15</v>
      </c>
      <c r="M5" s="15" t="s">
        <v>18</v>
      </c>
      <c r="N5" s="16" t="s">
        <v>19</v>
      </c>
    </row>
    <row r="6" spans="4:16" ht="15.6" hidden="1" outlineLevel="1">
      <c r="F6" s="17"/>
      <c r="G6" s="18">
        <v>18</v>
      </c>
      <c r="H6" s="7" t="s">
        <v>20</v>
      </c>
      <c r="I6" s="19">
        <v>0</v>
      </c>
      <c r="J6" s="20">
        <f>I6*15</f>
        <v>0</v>
      </c>
      <c r="K6" s="21" t="s">
        <v>21</v>
      </c>
      <c r="L6" s="18">
        <v>0</v>
      </c>
      <c r="M6" s="22">
        <f>L6*3*15</f>
        <v>0</v>
      </c>
      <c r="N6" s="23">
        <f>I17+L17</f>
        <v>0</v>
      </c>
    </row>
    <row r="7" spans="4:16" ht="15.6" hidden="1" outlineLevel="1">
      <c r="D7" s="24"/>
      <c r="F7" s="25"/>
      <c r="G7" s="20" t="s">
        <v>22</v>
      </c>
      <c r="H7" s="26" t="s">
        <v>23</v>
      </c>
      <c r="I7" s="19"/>
      <c r="J7" s="20">
        <f>I7*25</f>
        <v>0</v>
      </c>
      <c r="K7" s="21" t="s">
        <v>24</v>
      </c>
      <c r="L7" s="18">
        <v>0</v>
      </c>
      <c r="M7" s="22">
        <f>L7*3*25</f>
        <v>0</v>
      </c>
      <c r="N7" s="27"/>
      <c r="P7" s="28"/>
    </row>
    <row r="8" spans="4:16" ht="15.6" hidden="1" outlineLevel="1">
      <c r="E8" s="29"/>
      <c r="F8" s="10"/>
      <c r="G8" s="18">
        <v>22</v>
      </c>
      <c r="H8" s="26" t="s">
        <v>25</v>
      </c>
      <c r="I8" s="19">
        <v>0</v>
      </c>
      <c r="J8" s="20">
        <f>I8*37.5</f>
        <v>0</v>
      </c>
      <c r="K8" s="21" t="s">
        <v>26</v>
      </c>
      <c r="L8" s="18">
        <v>0</v>
      </c>
      <c r="M8" s="22">
        <f>L8*3*37.5</f>
        <v>0</v>
      </c>
      <c r="N8" s="16" t="s">
        <v>27</v>
      </c>
    </row>
    <row r="9" spans="4:16" ht="15.6" hidden="1" outlineLevel="1">
      <c r="E9" s="24"/>
      <c r="F9" s="10"/>
      <c r="G9" s="30"/>
      <c r="H9" s="26" t="s">
        <v>28</v>
      </c>
      <c r="I9" s="19"/>
      <c r="J9" s="20">
        <f>I9*50</f>
        <v>0</v>
      </c>
      <c r="K9" s="21" t="s">
        <v>29</v>
      </c>
      <c r="L9" s="18">
        <v>1</v>
      </c>
      <c r="M9" s="22">
        <f>L9*3*50</f>
        <v>150</v>
      </c>
      <c r="N9" s="23">
        <f>J18+M18</f>
        <v>150</v>
      </c>
    </row>
    <row r="10" spans="4:16" ht="15.6" hidden="1" outlineLevel="1">
      <c r="E10" s="24"/>
      <c r="F10" s="10"/>
      <c r="G10" s="31"/>
      <c r="H10" s="32" t="s">
        <v>30</v>
      </c>
      <c r="I10" s="19"/>
      <c r="J10" s="20">
        <f>I10*75</f>
        <v>0</v>
      </c>
      <c r="K10" s="33" t="s">
        <v>31</v>
      </c>
      <c r="L10" s="18"/>
      <c r="M10" s="22">
        <f>L10*160</f>
        <v>0</v>
      </c>
      <c r="N10" s="34"/>
    </row>
    <row r="11" spans="4:16" ht="15.6" hidden="1" outlineLevel="1">
      <c r="E11" s="24"/>
      <c r="F11" s="10"/>
      <c r="G11" s="31"/>
      <c r="H11" s="32" t="s">
        <v>32</v>
      </c>
      <c r="I11" s="19"/>
      <c r="J11" s="20">
        <f>I11*100</f>
        <v>0</v>
      </c>
      <c r="K11" s="33" t="s">
        <v>33</v>
      </c>
      <c r="L11" s="18"/>
      <c r="M11" s="22">
        <f>L11*250</f>
        <v>0</v>
      </c>
      <c r="N11" s="34"/>
    </row>
    <row r="12" spans="4:16" ht="15.6" hidden="1" outlineLevel="1">
      <c r="E12" s="24"/>
      <c r="F12" s="10"/>
      <c r="G12" s="31"/>
      <c r="H12" s="35"/>
      <c r="I12" s="19"/>
      <c r="J12" s="36"/>
      <c r="K12" s="33" t="s">
        <v>34</v>
      </c>
      <c r="L12" s="18"/>
      <c r="M12" s="22">
        <f>L12*320</f>
        <v>0</v>
      </c>
      <c r="N12" s="34"/>
    </row>
    <row r="13" spans="4:16" ht="15.6" hidden="1" outlineLevel="1">
      <c r="E13" s="24"/>
      <c r="F13" s="10"/>
      <c r="G13" s="31"/>
      <c r="H13" s="35"/>
      <c r="I13" s="19"/>
      <c r="J13" s="36"/>
      <c r="K13" s="33" t="s">
        <v>35</v>
      </c>
      <c r="L13" s="18">
        <v>0</v>
      </c>
      <c r="M13" s="22">
        <f>L13*400</f>
        <v>0</v>
      </c>
      <c r="N13" s="34"/>
    </row>
    <row r="14" spans="4:16" ht="15.6" hidden="1" outlineLevel="1">
      <c r="E14" s="24"/>
      <c r="F14" s="10"/>
      <c r="G14" s="31"/>
      <c r="H14" s="35"/>
      <c r="I14" s="19"/>
      <c r="J14" s="36"/>
      <c r="K14" s="33" t="s">
        <v>36</v>
      </c>
      <c r="L14" s="18">
        <v>0</v>
      </c>
      <c r="M14" s="22">
        <f>L14*560</f>
        <v>0</v>
      </c>
      <c r="N14" s="34"/>
    </row>
    <row r="15" spans="4:16" ht="15.6" hidden="1" outlineLevel="1">
      <c r="E15" s="24"/>
      <c r="F15" s="10"/>
      <c r="G15" s="31"/>
      <c r="H15" s="35"/>
      <c r="I15" s="19"/>
      <c r="J15" s="36"/>
      <c r="K15" s="33" t="s">
        <v>37</v>
      </c>
      <c r="L15" s="18">
        <v>0</v>
      </c>
      <c r="M15" s="22">
        <f>L15*630</f>
        <v>0</v>
      </c>
      <c r="N15" s="34"/>
    </row>
    <row r="16" spans="4:16" ht="15.6" hidden="1" outlineLevel="1">
      <c r="E16" s="24"/>
      <c r="F16" s="10"/>
      <c r="G16" s="37"/>
      <c r="H16" s="32"/>
      <c r="I16" s="19"/>
      <c r="J16" s="36"/>
      <c r="K16" s="38">
        <v>1000</v>
      </c>
      <c r="L16" s="18">
        <v>0</v>
      </c>
      <c r="M16" s="22">
        <f>L16*1000</f>
        <v>0</v>
      </c>
      <c r="N16" s="39"/>
    </row>
    <row r="17" spans="1:23" ht="15.6" hidden="1" outlineLevel="1">
      <c r="E17" s="1">
        <f>chitiet!G5</f>
        <v>3</v>
      </c>
      <c r="F17" s="10"/>
      <c r="G17" s="41"/>
      <c r="H17" s="32"/>
      <c r="I17" s="19"/>
      <c r="J17" s="42"/>
      <c r="K17" s="43">
        <v>2000</v>
      </c>
      <c r="L17" s="18">
        <v>0</v>
      </c>
      <c r="M17" s="22">
        <f>L17*2000</f>
        <v>0</v>
      </c>
      <c r="N17" s="27"/>
    </row>
    <row r="18" spans="1:23" hidden="1" outlineLevel="1">
      <c r="G18" s="44"/>
      <c r="H18" s="45"/>
      <c r="I18" s="46"/>
      <c r="J18" s="47">
        <f>SUM(J6:J11)</f>
        <v>0</v>
      </c>
      <c r="K18" s="48"/>
      <c r="L18" s="49"/>
      <c r="M18" s="47">
        <f>SUM(M6:M17)</f>
        <v>150</v>
      </c>
      <c r="N18" s="50"/>
    </row>
    <row r="19" spans="1:23" s="51" customFormat="1" ht="42.75" customHeight="1" collapsed="1">
      <c r="A19" s="51" t="s">
        <v>38</v>
      </c>
      <c r="B19" s="52"/>
      <c r="C19" s="52"/>
      <c r="D19" s="53" t="s">
        <v>39</v>
      </c>
      <c r="E19" s="54"/>
      <c r="F19" s="54"/>
      <c r="G19" s="54"/>
      <c r="H19" s="55"/>
      <c r="I19" s="55"/>
      <c r="J19" s="54"/>
      <c r="K19" s="54"/>
      <c r="L19" s="54"/>
      <c r="M19" s="56"/>
    </row>
    <row r="20" spans="1:23" s="57" customFormat="1" ht="24" customHeight="1">
      <c r="A20" s="57">
        <v>1</v>
      </c>
      <c r="B20" s="58"/>
      <c r="C20" s="58"/>
      <c r="D20" s="59" t="str">
        <f>"Công trình: "&amp;[1]WORD!AB2</f>
        <v>Công trình:  Đường dây trung, hạ thế và TBA Xuân Hiệp 17, ấp Việt Kiều, xã Xuân Hiệp</v>
      </c>
      <c r="E20" s="60"/>
      <c r="F20" s="60"/>
      <c r="G20" s="60"/>
      <c r="H20" s="61"/>
      <c r="I20" s="61"/>
      <c r="J20" s="60"/>
      <c r="K20" s="60"/>
      <c r="L20" s="60"/>
      <c r="M20" s="56"/>
    </row>
    <row r="21" spans="1:23" s="57" customFormat="1" ht="21" customHeight="1">
      <c r="A21" s="62"/>
      <c r="B21" s="58"/>
      <c r="C21" s="58"/>
      <c r="D21" s="63" t="str">
        <f>"Địa điểm: "&amp;[1]WORD!AD2</f>
        <v>Địa điểm: Xã Xuân Hiệp - Huyện Xuân Lộc - TỉnhĐồngNai</v>
      </c>
      <c r="E21" s="64"/>
      <c r="F21" s="64"/>
      <c r="G21" s="64"/>
      <c r="H21" s="65"/>
      <c r="I21" s="65"/>
      <c r="J21" s="64"/>
      <c r="K21" s="64"/>
      <c r="L21" s="64"/>
      <c r="M21" s="66"/>
      <c r="N21" s="67"/>
      <c r="O21" s="67"/>
      <c r="P21" s="67"/>
      <c r="Q21" s="67"/>
      <c r="R21" s="67"/>
      <c r="S21" s="67"/>
      <c r="T21" s="67"/>
      <c r="U21" s="67"/>
      <c r="V21" s="67"/>
    </row>
    <row r="22" spans="1:23" s="51" customFormat="1" ht="27" customHeight="1">
      <c r="A22" s="68"/>
      <c r="B22" s="69" t="s">
        <v>40</v>
      </c>
      <c r="C22" s="69"/>
      <c r="D22" s="70" t="s">
        <v>41</v>
      </c>
      <c r="E22" s="70" t="s">
        <v>42</v>
      </c>
      <c r="F22" s="70" t="s">
        <v>43</v>
      </c>
      <c r="G22" s="70" t="s">
        <v>44</v>
      </c>
      <c r="H22" s="71" t="s">
        <v>45</v>
      </c>
      <c r="I22" s="72"/>
      <c r="J22" s="73"/>
      <c r="K22" s="74"/>
      <c r="L22" s="75" t="s">
        <v>46</v>
      </c>
      <c r="M22" s="56"/>
    </row>
    <row r="23" spans="1:23" s="51" customFormat="1" ht="27" customHeight="1">
      <c r="A23" s="68"/>
      <c r="B23" s="69"/>
      <c r="C23" s="69"/>
      <c r="D23" s="76"/>
      <c r="E23" s="76"/>
      <c r="F23" s="76"/>
      <c r="G23" s="76"/>
      <c r="H23" s="77" t="s">
        <v>47</v>
      </c>
      <c r="I23" s="77" t="s">
        <v>48</v>
      </c>
      <c r="J23" s="77" t="s">
        <v>49</v>
      </c>
      <c r="K23" s="77" t="s">
        <v>50</v>
      </c>
      <c r="L23" s="78"/>
      <c r="M23" s="56" t="s">
        <v>51</v>
      </c>
      <c r="N23" s="51" t="s">
        <v>52</v>
      </c>
    </row>
    <row r="24" spans="1:23" s="51" customFormat="1" ht="25.2" customHeight="1">
      <c r="A24" s="68" t="s">
        <v>52</v>
      </c>
      <c r="B24" s="69"/>
      <c r="C24" s="69"/>
      <c r="D24" s="79"/>
      <c r="E24" s="80"/>
      <c r="F24" s="81" t="s">
        <v>53</v>
      </c>
      <c r="G24" s="82"/>
      <c r="H24" s="83"/>
      <c r="I24" s="83"/>
      <c r="J24" s="82"/>
      <c r="K24" s="82"/>
      <c r="L24" s="84"/>
      <c r="M24" s="77" t="s">
        <v>54</v>
      </c>
      <c r="N24" s="85"/>
      <c r="O24" s="85"/>
      <c r="P24" s="85"/>
      <c r="Q24" s="85"/>
      <c r="R24" s="85"/>
      <c r="S24" s="85"/>
      <c r="T24" s="85"/>
      <c r="U24" s="85"/>
      <c r="V24" s="85"/>
    </row>
    <row r="25" spans="1:23" s="51" customFormat="1" ht="25.2" hidden="1" customHeight="1">
      <c r="A25" s="68">
        <f>IF(I25&gt;0,1,0)</f>
        <v>0</v>
      </c>
      <c r="B25" s="86" t="s">
        <v>55</v>
      </c>
      <c r="C25" s="86"/>
      <c r="D25" s="87">
        <f>IF(H25&gt;0,1,0)</f>
        <v>0</v>
      </c>
      <c r="E25" s="88" t="str">
        <f>VLOOKUP($B25,[1]DG!A:D,[1]DG!$B$2,)</f>
        <v>01.1161</v>
      </c>
      <c r="F25" s="89" t="str">
        <f>VLOOKUP($B25,[1]DG!A:D,[1]DG!$C$2,)</f>
        <v>Máy biến áp 12,7/0,22-0,44kV  15kVA</v>
      </c>
      <c r="G25" s="88" t="str">
        <f>VLOOKUP($B25,[1]DG!A:D,[1]DG!$D$2,)</f>
        <v>máy</v>
      </c>
      <c r="H25" s="90">
        <f>I6</f>
        <v>0</v>
      </c>
      <c r="I25" s="91">
        <f>IF(M25=$M$23,H25+J25-K25,0)</f>
        <v>0</v>
      </c>
      <c r="J25" s="92"/>
      <c r="K25" s="92"/>
      <c r="L25" s="93"/>
      <c r="M25" s="66">
        <v>15</v>
      </c>
      <c r="N25" s="85"/>
      <c r="O25" s="85"/>
      <c r="P25" s="85"/>
      <c r="Q25" s="85"/>
      <c r="R25" s="85"/>
      <c r="S25" s="85"/>
      <c r="T25" s="85"/>
      <c r="U25" s="85"/>
      <c r="V25" s="85"/>
      <c r="W25" s="85"/>
    </row>
    <row r="26" spans="1:23" s="51" customFormat="1" ht="25.2" hidden="1" customHeight="1">
      <c r="A26" s="68">
        <f t="shared" ref="A26:A89" si="0">IF(I26&gt;0,1,0)</f>
        <v>0</v>
      </c>
      <c r="B26" s="86" t="s">
        <v>56</v>
      </c>
      <c r="C26" s="86"/>
      <c r="D26" s="87">
        <f t="shared" ref="D26:D32" si="1">IF(H26&gt;0,D25+1,D25)</f>
        <v>0</v>
      </c>
      <c r="E26" s="88" t="str">
        <f>VLOOKUP($B26,[1]DG!A:D,[1]DG!$B$2,)</f>
        <v>02.3155</v>
      </c>
      <c r="F26" s="89" t="str">
        <f>VLOOKUP($B26,[1]DG!A:D,[1]DG!$C$2,)</f>
        <v>FCO 27kV - 100A</v>
      </c>
      <c r="G26" s="88" t="str">
        <f>VLOOKUP($B26,[1]DG!A:D,[1]DG!$D$2,)</f>
        <v>cái</v>
      </c>
      <c r="H26" s="94">
        <f>+H25</f>
        <v>0</v>
      </c>
      <c r="I26" s="91">
        <f t="shared" ref="I26:I89" si="2">IF(M26=$M$23,H26+J26-K26,0)</f>
        <v>0</v>
      </c>
      <c r="J26" s="92"/>
      <c r="K26" s="95"/>
      <c r="L26" s="96"/>
      <c r="M26" s="66">
        <v>15</v>
      </c>
      <c r="N26" s="85"/>
      <c r="O26" s="85"/>
      <c r="P26" s="85"/>
      <c r="Q26" s="85"/>
      <c r="R26" s="85"/>
      <c r="S26" s="85"/>
      <c r="T26" s="85"/>
      <c r="U26" s="85"/>
      <c r="V26" s="85"/>
      <c r="W26" s="85"/>
    </row>
    <row r="27" spans="1:23" s="51" customFormat="1" ht="25.2" hidden="1" customHeight="1">
      <c r="A27" s="68">
        <f t="shared" si="0"/>
        <v>0</v>
      </c>
      <c r="B27" s="69" t="s">
        <v>57</v>
      </c>
      <c r="C27" s="69"/>
      <c r="D27" s="87">
        <f t="shared" si="1"/>
        <v>0</v>
      </c>
      <c r="E27" s="88">
        <f>VLOOKUP($B27,[1]DG!A:D,[1]DG!$B$2,)</f>
        <v>0</v>
      </c>
      <c r="F27" s="89" t="str">
        <f>VLOOKUP($B27,[1]DG!A:D,[1]DG!$C$2,)</f>
        <v>Dây chảy 3K</v>
      </c>
      <c r="G27" s="88" t="str">
        <f>VLOOKUP($B27,[1]DG!A:D,[1]DG!$D$2,)</f>
        <v>Sợi</v>
      </c>
      <c r="H27" s="94">
        <f>H26</f>
        <v>0</v>
      </c>
      <c r="I27" s="91">
        <f t="shared" si="2"/>
        <v>0</v>
      </c>
      <c r="J27" s="92"/>
      <c r="K27" s="95"/>
      <c r="L27" s="96"/>
      <c r="M27" s="66">
        <v>15</v>
      </c>
      <c r="N27" s="97"/>
    </row>
    <row r="28" spans="1:23" s="51" customFormat="1" ht="25.2" hidden="1" customHeight="1">
      <c r="A28" s="68">
        <f t="shared" si="0"/>
        <v>0</v>
      </c>
      <c r="B28" s="69" t="s">
        <v>58</v>
      </c>
      <c r="C28" s="69"/>
      <c r="D28" s="87">
        <f t="shared" si="1"/>
        <v>0</v>
      </c>
      <c r="E28" s="88" t="str">
        <f>VLOOKUP($B28,[1]DG!A:D,[1]DG!$B$2,)</f>
        <v>02.5114</v>
      </c>
      <c r="F28" s="89" t="str">
        <f>VLOOKUP($B28,[1]DG!A:D,[1]DG!$C$2,)</f>
        <v>Chống sét van LA-18KV-10KA</v>
      </c>
      <c r="G28" s="88" t="str">
        <f>VLOOKUP($B28,[1]DG!A:D,[1]DG!$D$2,)</f>
        <v>cái</v>
      </c>
      <c r="H28" s="94">
        <f>H26</f>
        <v>0</v>
      </c>
      <c r="I28" s="91">
        <f t="shared" si="2"/>
        <v>0</v>
      </c>
      <c r="J28" s="92"/>
      <c r="K28" s="95"/>
      <c r="L28" s="96"/>
      <c r="M28" s="66">
        <v>15</v>
      </c>
      <c r="N28" s="97"/>
    </row>
    <row r="29" spans="1:23" s="51" customFormat="1" ht="25.2" hidden="1" customHeight="1">
      <c r="A29" s="68">
        <f t="shared" si="0"/>
        <v>0</v>
      </c>
      <c r="B29" s="98" t="s">
        <v>59</v>
      </c>
      <c r="C29" s="98"/>
      <c r="D29" s="87">
        <f t="shared" si="1"/>
        <v>0</v>
      </c>
      <c r="E29" s="88" t="str">
        <f>VLOOKUP($B29,[1]DG!A:D,[1]DG!$B$2,)</f>
        <v>02.8401</v>
      </c>
      <c r="F29" s="89" t="str">
        <f>VLOOKUP($B29,[1]DG!A:D,[1]DG!$C$2,)</f>
        <v>MCCB 3 cực 400V-75A - 10KA</v>
      </c>
      <c r="G29" s="88" t="str">
        <f>VLOOKUP($B29,[1]DG!A:D,[1]DG!$D$2,)</f>
        <v>cái</v>
      </c>
      <c r="H29" s="94">
        <f>H25</f>
        <v>0</v>
      </c>
      <c r="I29" s="91">
        <f t="shared" si="2"/>
        <v>0</v>
      </c>
      <c r="J29" s="92"/>
      <c r="K29" s="95"/>
      <c r="L29" s="96"/>
      <c r="M29" s="66">
        <v>15</v>
      </c>
      <c r="N29" s="97"/>
    </row>
    <row r="30" spans="1:23" s="51" customFormat="1" ht="25.2" hidden="1" customHeight="1">
      <c r="A30" s="68">
        <f t="shared" si="0"/>
        <v>0</v>
      </c>
      <c r="B30" s="86" t="s">
        <v>60</v>
      </c>
      <c r="C30" s="86"/>
      <c r="D30" s="87">
        <f t="shared" si="1"/>
        <v>0</v>
      </c>
      <c r="E30" s="88">
        <f>VLOOKUP($B30,[1]DG!A:D,[1]DG!$B$2,)</f>
        <v>0</v>
      </c>
      <c r="F30" s="89" t="str">
        <f>VLOOKUP($B30,[1]DG!A:D,[1]DG!$C$2,)</f>
        <v>Điện kế 1 pha 2 dây 220V-80A</v>
      </c>
      <c r="G30" s="88" t="str">
        <f>VLOOKUP($B30,[1]DG!A:D,[1]DG!$D$2,)</f>
        <v>cái</v>
      </c>
      <c r="H30" s="94">
        <f>H25</f>
        <v>0</v>
      </c>
      <c r="I30" s="91">
        <f t="shared" si="2"/>
        <v>0</v>
      </c>
      <c r="J30" s="95"/>
      <c r="K30" s="95"/>
      <c r="L30" s="96" t="s">
        <v>61</v>
      </c>
      <c r="M30" s="66">
        <v>15</v>
      </c>
      <c r="N30" s="97"/>
    </row>
    <row r="31" spans="1:23" s="51" customFormat="1" ht="25.2" hidden="1" customHeight="1">
      <c r="A31" s="68">
        <f t="shared" si="0"/>
        <v>0</v>
      </c>
      <c r="B31" s="69" t="s">
        <v>62</v>
      </c>
      <c r="C31" s="69"/>
      <c r="D31" s="87">
        <f t="shared" si="1"/>
        <v>0</v>
      </c>
      <c r="E31" s="88">
        <f>VLOOKUP($B31,[1]DG!A:D,[1]DG!$B$2,)</f>
        <v>0</v>
      </c>
      <c r="F31" s="89" t="str">
        <f>VLOOKUP($B31,[1]DG!A:D,[1]DG!$C$2,)</f>
        <v xml:space="preserve">Ampe kế 100/5A-600v +AS </v>
      </c>
      <c r="G31" s="88" t="str">
        <f>VLOOKUP($B31,[1]DG!A:D,[1]DG!$D$2,)</f>
        <v>Bộ</v>
      </c>
      <c r="H31" s="94">
        <f>H30</f>
        <v>0</v>
      </c>
      <c r="I31" s="91">
        <f t="shared" si="2"/>
        <v>0</v>
      </c>
      <c r="J31" s="95"/>
      <c r="K31" s="99"/>
      <c r="L31" s="96" t="s">
        <v>61</v>
      </c>
      <c r="M31" s="66">
        <v>15</v>
      </c>
      <c r="N31" s="97"/>
    </row>
    <row r="32" spans="1:23" s="51" customFormat="1" ht="25.2" hidden="1" customHeight="1">
      <c r="A32" s="68">
        <f t="shared" si="0"/>
        <v>0</v>
      </c>
      <c r="B32" s="69" t="s">
        <v>63</v>
      </c>
      <c r="C32" s="69"/>
      <c r="D32" s="87">
        <f t="shared" si="1"/>
        <v>0</v>
      </c>
      <c r="E32" s="88">
        <f>VLOOKUP($B32,[1]DG!A:D,[1]DG!$B$2,)</f>
        <v>0</v>
      </c>
      <c r="F32" s="89" t="str">
        <f>VLOOKUP($B32,[1]DG!A:D,[1]DG!$C$2,)</f>
        <v>Volt kế 500V + VS + 2xChì ống 1A-230V</v>
      </c>
      <c r="G32" s="88" t="str">
        <f>VLOOKUP($B32,[1]DG!A:D,[1]DG!$D$2,)</f>
        <v>Bộ</v>
      </c>
      <c r="H32" s="94">
        <f>H31</f>
        <v>0</v>
      </c>
      <c r="I32" s="91">
        <f t="shared" si="2"/>
        <v>0</v>
      </c>
      <c r="J32" s="95"/>
      <c r="K32" s="99"/>
      <c r="L32" s="96" t="s">
        <v>61</v>
      </c>
      <c r="M32" s="66">
        <v>15</v>
      </c>
      <c r="N32" s="97"/>
    </row>
    <row r="33" spans="1:14" s="51" customFormat="1" ht="25.2" hidden="1" customHeight="1">
      <c r="A33" s="68">
        <f t="shared" si="0"/>
        <v>0</v>
      </c>
      <c r="B33" s="69"/>
      <c r="C33" s="69"/>
      <c r="D33" s="100"/>
      <c r="E33" s="101"/>
      <c r="F33" s="102"/>
      <c r="G33" s="100"/>
      <c r="H33" s="103"/>
      <c r="I33" s="91">
        <f t="shared" si="2"/>
        <v>0</v>
      </c>
      <c r="J33" s="84"/>
      <c r="K33" s="100"/>
      <c r="L33" s="100"/>
      <c r="M33" s="66">
        <v>15</v>
      </c>
      <c r="N33" s="97"/>
    </row>
    <row r="34" spans="1:14" s="51" customFormat="1" ht="25.2" hidden="1" customHeight="1">
      <c r="A34" s="68">
        <f t="shared" si="0"/>
        <v>0</v>
      </c>
      <c r="B34" s="69"/>
      <c r="C34" s="69"/>
      <c r="D34" s="104"/>
      <c r="E34" s="105"/>
      <c r="F34" s="106" t="s">
        <v>64</v>
      </c>
      <c r="G34" s="107"/>
      <c r="H34" s="83"/>
      <c r="I34" s="91">
        <f t="shared" si="2"/>
        <v>0</v>
      </c>
      <c r="J34" s="107"/>
      <c r="K34" s="107"/>
      <c r="L34" s="100"/>
      <c r="M34" s="66">
        <v>15</v>
      </c>
      <c r="N34" s="97"/>
    </row>
    <row r="35" spans="1:14" s="51" customFormat="1" ht="25.2" hidden="1" customHeight="1">
      <c r="A35" s="68">
        <f t="shared" si="0"/>
        <v>0</v>
      </c>
      <c r="B35" s="69" t="s">
        <v>65</v>
      </c>
      <c r="C35" s="69"/>
      <c r="D35" s="108">
        <f>IF(H36&gt;0,1,0)</f>
        <v>0</v>
      </c>
      <c r="E35" s="109"/>
      <c r="F35" s="89" t="str">
        <f>VLOOKUP($B35,[1]DG!A:D,[1]DG!$C$2,)</f>
        <v>Boulon 16x300+ 2 long đền vuông D18-50x50x3/Zn</v>
      </c>
      <c r="G35" s="88" t="str">
        <f>VLOOKUP($B35,[1]DG!A:D,[1]DG!$D$2,)</f>
        <v>bộ</v>
      </c>
      <c r="H35" s="110">
        <f>H25*2</f>
        <v>0</v>
      </c>
      <c r="I35" s="91">
        <f t="shared" si="2"/>
        <v>0</v>
      </c>
      <c r="J35" s="92"/>
      <c r="K35" s="92"/>
      <c r="L35" s="93"/>
      <c r="M35" s="66">
        <v>15</v>
      </c>
      <c r="N35" s="97"/>
    </row>
    <row r="36" spans="1:14" s="51" customFormat="1" ht="25.2" hidden="1" customHeight="1">
      <c r="A36" s="68">
        <f t="shared" si="0"/>
        <v>0</v>
      </c>
      <c r="B36" s="69"/>
      <c r="C36" s="69"/>
      <c r="D36" s="111">
        <f>IF(H36&gt;0,D35+1,D35)</f>
        <v>0</v>
      </c>
      <c r="E36" s="112"/>
      <c r="F36" s="113" t="s">
        <v>66</v>
      </c>
      <c r="G36" s="114" t="s">
        <v>67</v>
      </c>
      <c r="H36" s="110">
        <f>H25*0</f>
        <v>0</v>
      </c>
      <c r="I36" s="91">
        <f t="shared" si="2"/>
        <v>0</v>
      </c>
      <c r="J36" s="95"/>
      <c r="K36" s="95"/>
      <c r="L36" s="96"/>
      <c r="M36" s="66">
        <v>15</v>
      </c>
    </row>
    <row r="37" spans="1:14" s="51" customFormat="1" ht="25.2" hidden="1" customHeight="1">
      <c r="A37" s="68">
        <f>IF(A36&gt;0,1,0)</f>
        <v>0</v>
      </c>
      <c r="B37" s="69"/>
      <c r="C37" s="69"/>
      <c r="D37" s="114"/>
      <c r="E37" s="112"/>
      <c r="F37" s="115" t="s">
        <v>68</v>
      </c>
      <c r="G37" s="96"/>
      <c r="H37" s="94"/>
      <c r="I37" s="91">
        <f t="shared" si="2"/>
        <v>0</v>
      </c>
      <c r="J37" s="95"/>
      <c r="K37" s="95"/>
      <c r="L37" s="96"/>
      <c r="M37" s="66">
        <v>15</v>
      </c>
      <c r="N37" s="56"/>
    </row>
    <row r="38" spans="1:14" s="51" customFormat="1" ht="25.2" hidden="1" customHeight="1">
      <c r="A38" s="68">
        <f t="shared" si="0"/>
        <v>0</v>
      </c>
      <c r="B38" s="86" t="s">
        <v>69</v>
      </c>
      <c r="C38" s="86"/>
      <c r="D38" s="96"/>
      <c r="E38" s="88">
        <f>VLOOKUP($B38,[1]DG!A:D,[1]DG!$B$2,)</f>
        <v>0</v>
      </c>
      <c r="F38" s="89" t="str">
        <f>VLOOKUP($B38,[1]DG!A:D,[1]DG!$C$2,)</f>
        <v>Trụ BTLT 12m F350 dự ứng lực</v>
      </c>
      <c r="G38" s="88" t="str">
        <f>VLOOKUP($B38,[1]DG!A:D,[1]DG!$D$2,)</f>
        <v>trụ</v>
      </c>
      <c r="H38" s="94">
        <f>1*H36</f>
        <v>0</v>
      </c>
      <c r="I38" s="91">
        <f t="shared" si="2"/>
        <v>0</v>
      </c>
      <c r="J38" s="92"/>
      <c r="K38" s="92"/>
      <c r="L38" s="96"/>
      <c r="M38" s="66">
        <v>15</v>
      </c>
      <c r="N38" s="56"/>
    </row>
    <row r="39" spans="1:14" s="51" customFormat="1" ht="25.2" hidden="1" customHeight="1">
      <c r="A39" s="68">
        <f t="shared" si="0"/>
        <v>0</v>
      </c>
      <c r="B39" s="86" t="s">
        <v>70</v>
      </c>
      <c r="C39" s="86"/>
      <c r="D39" s="96"/>
      <c r="E39" s="116"/>
      <c r="F39" s="89" t="str">
        <f>VLOOKUP($B39,[1]DG!A:D,[1]DG!$C$2,)</f>
        <v>Vật liệu dựng trụ</v>
      </c>
      <c r="G39" s="88" t="str">
        <f>VLOOKUP($B39,[1]DG!A:D,[1]DG!$D$2,)</f>
        <v>trụ</v>
      </c>
      <c r="H39" s="94">
        <f>H38</f>
        <v>0</v>
      </c>
      <c r="I39" s="91">
        <f t="shared" si="2"/>
        <v>0</v>
      </c>
      <c r="J39" s="92"/>
      <c r="K39" s="92"/>
      <c r="L39" s="96"/>
      <c r="M39" s="66">
        <v>15</v>
      </c>
      <c r="N39" s="56"/>
    </row>
    <row r="40" spans="1:14" s="51" customFormat="1" ht="25.2" hidden="1" customHeight="1">
      <c r="A40" s="68">
        <f t="shared" si="0"/>
        <v>0</v>
      </c>
      <c r="B40" s="86" t="s">
        <v>71</v>
      </c>
      <c r="C40" s="86"/>
      <c r="D40" s="96"/>
      <c r="E40" s="116"/>
      <c r="F40" s="89" t="str">
        <f>VLOOKUP($B40,[1]DG!A:D,[1]DG!$C$2,)</f>
        <v>Dựng trụ BTLT 12m trong TBA bằng thủ công + cơ giới</v>
      </c>
      <c r="G40" s="88" t="str">
        <f>VLOOKUP($B40,[1]DG!A:D,[1]DG!$D$2,)</f>
        <v>trụ</v>
      </c>
      <c r="H40" s="94">
        <f>H38</f>
        <v>0</v>
      </c>
      <c r="I40" s="91">
        <f t="shared" si="2"/>
        <v>0</v>
      </c>
      <c r="J40" s="92"/>
      <c r="K40" s="92"/>
      <c r="L40" s="96"/>
      <c r="M40" s="66">
        <v>15</v>
      </c>
      <c r="N40" s="56"/>
    </row>
    <row r="41" spans="1:14" s="51" customFormat="1" ht="25.2" hidden="1" customHeight="1">
      <c r="A41" s="68">
        <f t="shared" si="0"/>
        <v>0</v>
      </c>
      <c r="B41" s="69"/>
      <c r="C41" s="69"/>
      <c r="D41" s="111">
        <f>IF(H41&gt;0,D36+1,D36)</f>
        <v>0</v>
      </c>
      <c r="E41" s="112"/>
      <c r="F41" s="113" t="s">
        <v>72</v>
      </c>
      <c r="G41" s="114" t="s">
        <v>67</v>
      </c>
      <c r="H41" s="110">
        <f>H36</f>
        <v>0</v>
      </c>
      <c r="I41" s="91">
        <f t="shared" si="2"/>
        <v>0</v>
      </c>
      <c r="J41" s="95"/>
      <c r="K41" s="95"/>
      <c r="L41" s="96"/>
      <c r="M41" s="66">
        <v>15</v>
      </c>
    </row>
    <row r="42" spans="1:14" s="51" customFormat="1" ht="25.2" hidden="1" customHeight="1">
      <c r="A42" s="68">
        <f>IF(A41&gt;0,1,0)</f>
        <v>0</v>
      </c>
      <c r="B42" s="69"/>
      <c r="C42" s="69"/>
      <c r="D42" s="114"/>
      <c r="E42" s="112"/>
      <c r="F42" s="115" t="s">
        <v>68</v>
      </c>
      <c r="G42" s="96"/>
      <c r="H42" s="94"/>
      <c r="I42" s="91">
        <f t="shared" si="2"/>
        <v>0</v>
      </c>
      <c r="J42" s="95"/>
      <c r="K42" s="95"/>
      <c r="L42" s="96"/>
      <c r="M42" s="66">
        <v>15</v>
      </c>
      <c r="N42" s="56"/>
    </row>
    <row r="43" spans="1:14" s="51" customFormat="1" ht="25.2" hidden="1" customHeight="1">
      <c r="A43" s="68">
        <f t="shared" si="0"/>
        <v>0</v>
      </c>
      <c r="B43" s="86" t="s">
        <v>73</v>
      </c>
      <c r="C43" s="86"/>
      <c r="D43" s="96"/>
      <c r="E43" s="88" t="str">
        <f>VLOOKUP($B43,[1]DG!A:D,[1]DG!$B$2,)</f>
        <v>04.4001</v>
      </c>
      <c r="F43" s="89" t="str">
        <f>VLOOKUP($B43,[1]DG!A:D,[1]DG!$C$2,)</f>
        <v>Đà cản BTCT 1,2m</v>
      </c>
      <c r="G43" s="88" t="str">
        <f>VLOOKUP($B43,[1]DG!A:D,[1]DG!$D$2,)</f>
        <v>cái</v>
      </c>
      <c r="H43" s="94">
        <f>1*H41</f>
        <v>0</v>
      </c>
      <c r="I43" s="91">
        <f t="shared" si="2"/>
        <v>0</v>
      </c>
      <c r="J43" s="92"/>
      <c r="K43" s="92"/>
      <c r="L43" s="96"/>
      <c r="M43" s="66">
        <v>15</v>
      </c>
      <c r="N43" s="56"/>
    </row>
    <row r="44" spans="1:14" s="51" customFormat="1" ht="25.2" hidden="1" customHeight="1">
      <c r="A44" s="68">
        <f t="shared" si="0"/>
        <v>0</v>
      </c>
      <c r="B44" s="86" t="s">
        <v>74</v>
      </c>
      <c r="C44" s="86"/>
      <c r="D44" s="96"/>
      <c r="E44" s="88">
        <f>VLOOKUP($B44,[1]DG!A:D,[1]DG!$B$2,)</f>
        <v>0</v>
      </c>
      <c r="F44" s="89" t="str">
        <f>VLOOKUP($B44,[1]DG!A:D,[1]DG!$C$2,)</f>
        <v>Boulon 22x650+ 2 long đền vuông D24-50x50x3/Zn</v>
      </c>
      <c r="G44" s="88" t="str">
        <f>VLOOKUP($B44,[1]DG!A:D,[1]DG!$D$2,)</f>
        <v>bộ</v>
      </c>
      <c r="H44" s="94">
        <f>H41</f>
        <v>0</v>
      </c>
      <c r="I44" s="91">
        <f t="shared" si="2"/>
        <v>0</v>
      </c>
      <c r="J44" s="92"/>
      <c r="K44" s="92"/>
      <c r="L44" s="96"/>
      <c r="M44" s="66">
        <v>15</v>
      </c>
      <c r="N44" s="56"/>
    </row>
    <row r="45" spans="1:14" s="51" customFormat="1" ht="25.2" hidden="1" customHeight="1">
      <c r="A45" s="68">
        <f t="shared" si="0"/>
        <v>0</v>
      </c>
      <c r="B45" s="86" t="s">
        <v>75</v>
      </c>
      <c r="C45" s="86"/>
      <c r="D45" s="96"/>
      <c r="E45" s="88" t="str">
        <f>VLOOKUP($B45,[1]DG!A:D,[1]DG!$B$2,)</f>
        <v>03.1013</v>
      </c>
      <c r="F45" s="89" t="str">
        <f>VLOOKUP($B45,[1]DG!A:D,[1]DG!$C$2,)</f>
        <v>Đào hố móng đất cấp 3 sâu &gt;1m</v>
      </c>
      <c r="G45" s="88" t="str">
        <f>VLOOKUP($B45,[1]DG!A:D,[1]DG!$D$2,)</f>
        <v>m3</v>
      </c>
      <c r="H45" s="94">
        <f>H41*1.45</f>
        <v>0</v>
      </c>
      <c r="I45" s="91">
        <f t="shared" si="2"/>
        <v>0</v>
      </c>
      <c r="J45" s="92"/>
      <c r="K45" s="92"/>
      <c r="L45" s="96"/>
      <c r="M45" s="66">
        <v>15</v>
      </c>
      <c r="N45" s="56"/>
    </row>
    <row r="46" spans="1:14" s="51" customFormat="1" ht="25.2" hidden="1" customHeight="1">
      <c r="A46" s="68">
        <f t="shared" si="0"/>
        <v>0</v>
      </c>
      <c r="B46" s="86" t="s">
        <v>76</v>
      </c>
      <c r="C46" s="86"/>
      <c r="D46" s="96"/>
      <c r="E46" s="88" t="str">
        <f>VLOOKUP($B46,[1]DG!A:D,[1]DG!$B$2,)</f>
        <v>03.4113</v>
      </c>
      <c r="F46" s="89" t="str">
        <f>VLOOKUP($B46,[1]DG!A:D,[1]DG!$C$2,)</f>
        <v>Đắp đất hố móng, độ chặt k=0,95</v>
      </c>
      <c r="G46" s="88" t="str">
        <f>VLOOKUP($B46,[1]DG!A:D,[1]DG!$D$2,)</f>
        <v>m3</v>
      </c>
      <c r="H46" s="94">
        <f>H41*1.37</f>
        <v>0</v>
      </c>
      <c r="I46" s="91">
        <f t="shared" si="2"/>
        <v>0</v>
      </c>
      <c r="J46" s="92"/>
      <c r="K46" s="92"/>
      <c r="L46" s="96"/>
      <c r="M46" s="66">
        <v>15</v>
      </c>
      <c r="N46" s="56"/>
    </row>
    <row r="47" spans="1:14" s="51" customFormat="1" ht="25.2" hidden="1" customHeight="1">
      <c r="A47" s="68">
        <f t="shared" si="0"/>
        <v>0</v>
      </c>
      <c r="B47" s="69"/>
      <c r="C47" s="69"/>
      <c r="D47" s="111">
        <f>IF(H47&gt;0,D41+1,D41)</f>
        <v>0</v>
      </c>
      <c r="E47" s="112"/>
      <c r="F47" s="113" t="s">
        <v>77</v>
      </c>
      <c r="G47" s="114" t="s">
        <v>67</v>
      </c>
      <c r="H47" s="110">
        <f>SUM(H35:H35)</f>
        <v>0</v>
      </c>
      <c r="I47" s="91">
        <f t="shared" si="2"/>
        <v>0</v>
      </c>
      <c r="J47" s="95"/>
      <c r="K47" s="95"/>
      <c r="L47" s="96"/>
      <c r="M47" s="66">
        <v>15</v>
      </c>
    </row>
    <row r="48" spans="1:14" s="51" customFormat="1" ht="25.2" hidden="1" customHeight="1">
      <c r="A48" s="68">
        <f>IF(A47&gt;0,1,0)</f>
        <v>0</v>
      </c>
      <c r="B48" s="69"/>
      <c r="C48" s="69"/>
      <c r="D48" s="114"/>
      <c r="E48" s="112"/>
      <c r="F48" s="115" t="s">
        <v>68</v>
      </c>
      <c r="G48" s="96"/>
      <c r="H48" s="94"/>
      <c r="I48" s="91">
        <f t="shared" si="2"/>
        <v>0</v>
      </c>
      <c r="J48" s="95"/>
      <c r="K48" s="95"/>
      <c r="L48" s="96"/>
      <c r="M48" s="66">
        <v>15</v>
      </c>
      <c r="N48" s="56"/>
    </row>
    <row r="49" spans="1:14" s="51" customFormat="1" ht="25.2" hidden="1" customHeight="1">
      <c r="A49" s="68">
        <f t="shared" si="0"/>
        <v>0</v>
      </c>
      <c r="B49" s="69" t="s">
        <v>78</v>
      </c>
      <c r="C49" s="69"/>
      <c r="D49" s="96"/>
      <c r="E49" s="88" t="str">
        <f>VLOOKUP($B49,[1]DG!A:D,[1]DG!$B$2,)</f>
        <v>05.6001</v>
      </c>
      <c r="F49" s="89" t="str">
        <f>VLOOKUP($B49,[1]DG!A:D,[1]DG!$C$2,)</f>
        <v>Giá chữ "T" lắp FCO, LA (V50x50x5)</v>
      </c>
      <c r="G49" s="88" t="str">
        <f>VLOOKUP($B49,[1]DG!A:D,[1]DG!$D$2,)</f>
        <v>Kg</v>
      </c>
      <c r="H49" s="94">
        <f>1*H47</f>
        <v>0</v>
      </c>
      <c r="I49" s="91">
        <f t="shared" si="2"/>
        <v>0</v>
      </c>
      <c r="J49" s="92"/>
      <c r="K49" s="92"/>
      <c r="L49" s="96"/>
      <c r="M49" s="66">
        <v>15</v>
      </c>
      <c r="N49" s="56"/>
    </row>
    <row r="50" spans="1:14" s="51" customFormat="1" ht="25.2" hidden="1" customHeight="1">
      <c r="A50" s="68">
        <f t="shared" si="0"/>
        <v>0</v>
      </c>
      <c r="B50" s="69" t="s">
        <v>65</v>
      </c>
      <c r="C50" s="69"/>
      <c r="D50" s="96"/>
      <c r="E50" s="116"/>
      <c r="F50" s="89" t="str">
        <f>VLOOKUP($B50,[1]DG!A:D,[1]DG!$C$2,)</f>
        <v>Boulon 16x300+ 2 long đền vuông D18-50x50x3/Zn</v>
      </c>
      <c r="G50" s="88" t="str">
        <f>VLOOKUP($B50,[1]DG!A:D,[1]DG!$D$2,)</f>
        <v>bộ</v>
      </c>
      <c r="H50" s="94">
        <f>2*H47</f>
        <v>0</v>
      </c>
      <c r="I50" s="91">
        <f t="shared" si="2"/>
        <v>0</v>
      </c>
      <c r="J50" s="92"/>
      <c r="K50" s="92"/>
      <c r="L50" s="96"/>
      <c r="M50" s="66">
        <v>15</v>
      </c>
      <c r="N50" s="56"/>
    </row>
    <row r="51" spans="1:14" s="51" customFormat="1" ht="25.2" hidden="1" customHeight="1">
      <c r="A51" s="68">
        <f t="shared" si="0"/>
        <v>0</v>
      </c>
      <c r="B51" s="69" t="s">
        <v>79</v>
      </c>
      <c r="C51" s="69"/>
      <c r="D51" s="96"/>
      <c r="E51" s="116"/>
      <c r="F51" s="89" t="str">
        <f>VLOOKUP($B51,[1]DG!A:D,[1]DG!$C$2,)</f>
        <v>Boulon 12x50+ 2 long đền vuông D14-50x50x3/Zn</v>
      </c>
      <c r="G51" s="88" t="str">
        <f>VLOOKUP($B51,[1]DG!A:D,[1]DG!$D$2,)</f>
        <v>bộ</v>
      </c>
      <c r="H51" s="94">
        <f>2*H47</f>
        <v>0</v>
      </c>
      <c r="I51" s="91">
        <f t="shared" si="2"/>
        <v>0</v>
      </c>
      <c r="J51" s="92"/>
      <c r="K51" s="92"/>
      <c r="L51" s="96"/>
      <c r="M51" s="66">
        <v>15</v>
      </c>
      <c r="N51" s="56"/>
    </row>
    <row r="52" spans="1:14" s="51" customFormat="1" ht="25.2" hidden="1" customHeight="1">
      <c r="A52" s="68">
        <f t="shared" si="0"/>
        <v>0</v>
      </c>
      <c r="B52" s="69"/>
      <c r="C52" s="69"/>
      <c r="D52" s="111">
        <f>IF(H52&gt;0,D47+1,D47)</f>
        <v>0</v>
      </c>
      <c r="E52" s="112"/>
      <c r="F52" s="113" t="s">
        <v>80</v>
      </c>
      <c r="G52" s="114" t="s">
        <v>67</v>
      </c>
      <c r="H52" s="110">
        <f>H25</f>
        <v>0</v>
      </c>
      <c r="I52" s="91">
        <f t="shared" si="2"/>
        <v>0</v>
      </c>
      <c r="J52" s="95"/>
      <c r="K52" s="95"/>
      <c r="L52" s="96"/>
      <c r="M52" s="66">
        <v>15</v>
      </c>
    </row>
    <row r="53" spans="1:14" s="51" customFormat="1" ht="25.2" hidden="1" customHeight="1">
      <c r="A53" s="68">
        <f>IF(A52&gt;0,1,0)</f>
        <v>0</v>
      </c>
      <c r="B53" s="69"/>
      <c r="C53" s="69"/>
      <c r="D53" s="96"/>
      <c r="E53" s="116"/>
      <c r="F53" s="115" t="s">
        <v>68</v>
      </c>
      <c r="G53" s="96"/>
      <c r="H53" s="94"/>
      <c r="I53" s="91">
        <f t="shared" si="2"/>
        <v>0</v>
      </c>
      <c r="J53" s="95"/>
      <c r="K53" s="95"/>
      <c r="L53" s="96"/>
      <c r="M53" s="66">
        <v>15</v>
      </c>
    </row>
    <row r="54" spans="1:14" s="51" customFormat="1" ht="25.2" hidden="1" customHeight="1">
      <c r="A54" s="68">
        <f t="shared" si="0"/>
        <v>0</v>
      </c>
      <c r="B54" s="69" t="s">
        <v>81</v>
      </c>
      <c r="C54" s="69"/>
      <c r="D54" s="96"/>
      <c r="E54" s="88">
        <f>VLOOKUP($B54,[1]DG!A:D,[1]DG!$B$2,)</f>
        <v>0</v>
      </c>
      <c r="F54" s="89" t="str">
        <f>VLOOKUP($B54,[1]DG!A:D,[1]DG!$C$2,)&amp;": "&amp;$I$3&amp;"m"</f>
        <v>Cáp đồng trần M25mm2: 46m</v>
      </c>
      <c r="G54" s="88" t="str">
        <f>VLOOKUP($B54,[1]DG!A:D,[1]DG!$D$2,)</f>
        <v>kg</v>
      </c>
      <c r="H54" s="94">
        <f>$I$3*H52*0.224</f>
        <v>0</v>
      </c>
      <c r="I54" s="91">
        <f t="shared" si="2"/>
        <v>0</v>
      </c>
      <c r="J54" s="92"/>
      <c r="K54" s="92"/>
      <c r="L54" s="96"/>
      <c r="M54" s="66">
        <v>15</v>
      </c>
    </row>
    <row r="55" spans="1:14" s="51" customFormat="1" ht="25.2" hidden="1" customHeight="1">
      <c r="A55" s="68">
        <f t="shared" si="0"/>
        <v>0</v>
      </c>
      <c r="B55" s="86" t="s">
        <v>82</v>
      </c>
      <c r="C55" s="86"/>
      <c r="D55" s="96"/>
      <c r="E55" s="88">
        <f>VLOOKUP($B55,[1]DG!A:D,[1]DG!$B$2,)</f>
        <v>0</v>
      </c>
      <c r="F55" s="89" t="str">
        <f>VLOOKUP($B55,[1]DG!A:D,[1]DG!$C$2,)</f>
        <v>Cọc tiếp đất Þ 16- 2,4m + kẹp cọc mạ đồng</v>
      </c>
      <c r="G55" s="88" t="str">
        <f>VLOOKUP($B55,[1]DG!A:D,[1]DG!$D$2,)</f>
        <v>bộ</v>
      </c>
      <c r="H55" s="94">
        <f>$I$2*H52</f>
        <v>0</v>
      </c>
      <c r="I55" s="91">
        <f t="shared" si="2"/>
        <v>0</v>
      </c>
      <c r="J55" s="92"/>
      <c r="K55" s="92"/>
      <c r="L55" s="96"/>
      <c r="M55" s="66">
        <v>15</v>
      </c>
    </row>
    <row r="56" spans="1:14" s="51" customFormat="1" ht="25.2" hidden="1" customHeight="1">
      <c r="A56" s="68">
        <f t="shared" si="0"/>
        <v>0</v>
      </c>
      <c r="B56" s="86" t="s">
        <v>83</v>
      </c>
      <c r="C56" s="86"/>
      <c r="D56" s="96"/>
      <c r="E56" s="88" t="str">
        <f>VLOOKUP($B56,[1]DG!A:D,[1]DG!$B$2,)</f>
        <v>07.2403</v>
      </c>
      <c r="F56" s="89" t="str">
        <f>VLOOKUP($B56,[1]DG!A:D,[1]DG!$C$2,)</f>
        <v xml:space="preserve">Ống PVC D21x1,6mm </v>
      </c>
      <c r="G56" s="88" t="str">
        <f>VLOOKUP($B56,[1]DG!A:D,[1]DG!$D$2,)</f>
        <v>m</v>
      </c>
      <c r="H56" s="94">
        <f>6*H52</f>
        <v>0</v>
      </c>
      <c r="I56" s="91">
        <f t="shared" si="2"/>
        <v>0</v>
      </c>
      <c r="J56" s="92"/>
      <c r="K56" s="92"/>
      <c r="L56" s="96"/>
      <c r="M56" s="66">
        <v>15</v>
      </c>
    </row>
    <row r="57" spans="1:14" s="51" customFormat="1" ht="25.2" hidden="1" customHeight="1">
      <c r="A57" s="68">
        <f t="shared" si="0"/>
        <v>0</v>
      </c>
      <c r="B57" s="69" t="s">
        <v>84</v>
      </c>
      <c r="C57" s="69"/>
      <c r="D57" s="96"/>
      <c r="E57" s="88">
        <f>VLOOKUP($B57,[1]DG!A:D,[1]DG!$B$2,)</f>
        <v>0</v>
      </c>
      <c r="F57" s="89" t="str">
        <f>VLOOKUP($B57,[1]DG!A:D,[1]DG!$C$2,)</f>
        <v>Kẹp ép WR cỡ dây 50mm2</v>
      </c>
      <c r="G57" s="88" t="str">
        <f>VLOOKUP($B57,[1]DG!A:D,[1]DG!$D$2,)</f>
        <v>cái</v>
      </c>
      <c r="H57" s="94">
        <f>2*H52</f>
        <v>0</v>
      </c>
      <c r="I57" s="91">
        <f t="shared" si="2"/>
        <v>0</v>
      </c>
      <c r="J57" s="92"/>
      <c r="K57" s="92"/>
      <c r="L57" s="96"/>
      <c r="M57" s="66">
        <v>15</v>
      </c>
    </row>
    <row r="58" spans="1:14" s="51" customFormat="1" ht="25.2" hidden="1" customHeight="1">
      <c r="A58" s="68">
        <f t="shared" si="0"/>
        <v>0</v>
      </c>
      <c r="B58" s="69" t="s">
        <v>85</v>
      </c>
      <c r="C58" s="69"/>
      <c r="D58" s="96"/>
      <c r="E58" s="88">
        <f>VLOOKUP($B58,[1]DG!A:D,[1]DG!$B$2,)</f>
        <v>0</v>
      </c>
      <c r="F58" s="89" t="str">
        <f>VLOOKUP($B58,[1]DG!A:D,[1]DG!$C$2,)</f>
        <v>Kẹp ép cỡ dây 25mm2</v>
      </c>
      <c r="G58" s="88" t="str">
        <f>VLOOKUP($B58,[1]DG!A:D,[1]DG!$D$2,)</f>
        <v>cái</v>
      </c>
      <c r="H58" s="94">
        <f>H52*14</f>
        <v>0</v>
      </c>
      <c r="I58" s="91">
        <f t="shared" si="2"/>
        <v>0</v>
      </c>
      <c r="J58" s="92"/>
      <c r="K58" s="92"/>
      <c r="L58" s="96"/>
      <c r="M58" s="66">
        <v>15</v>
      </c>
    </row>
    <row r="59" spans="1:14" s="51" customFormat="1" ht="25.2" hidden="1" customHeight="1">
      <c r="A59" s="68">
        <f t="shared" si="0"/>
        <v>0</v>
      </c>
      <c r="B59" s="86" t="s">
        <v>86</v>
      </c>
      <c r="C59" s="86"/>
      <c r="D59" s="96"/>
      <c r="E59" s="88" t="str">
        <f>VLOOKUP($B59,[1]DG!A:D,[1]DG!$B$2,)</f>
        <v>06.3231</v>
      </c>
      <c r="F59" s="89" t="str">
        <f>VLOOKUP($B59,[1]DG!A:D,[1]DG!$C$2,)&amp;": CD 90-250"</f>
        <v>Cổ dê kẹp ống PVC  21: CD 90-250</v>
      </c>
      <c r="G59" s="88" t="str">
        <f>VLOOKUP($B59,[1]DG!A:D,[1]DG!$D$2,)</f>
        <v>bộ</v>
      </c>
      <c r="H59" s="94">
        <f>H52*0.415</f>
        <v>0</v>
      </c>
      <c r="I59" s="91">
        <f t="shared" si="2"/>
        <v>0</v>
      </c>
      <c r="J59" s="92"/>
      <c r="K59" s="92"/>
      <c r="L59" s="117"/>
      <c r="M59" s="66">
        <v>15</v>
      </c>
    </row>
    <row r="60" spans="1:14" s="51" customFormat="1" ht="25.2" hidden="1" customHeight="1">
      <c r="A60" s="68">
        <f t="shared" si="0"/>
        <v>0</v>
      </c>
      <c r="B60" s="86" t="s">
        <v>86</v>
      </c>
      <c r="C60" s="86"/>
      <c r="D60" s="96"/>
      <c r="E60" s="88" t="str">
        <f>VLOOKUP($B60,[1]DG!A:D,[1]DG!$B$2,)</f>
        <v>06.3231</v>
      </c>
      <c r="F60" s="89" t="str">
        <f>VLOOKUP($B60,[1]DG!A:D,[1]DG!$C$2,)&amp;": CD 90-280"</f>
        <v>Cổ dê kẹp ống PVC  21: CD 90-280</v>
      </c>
      <c r="G60" s="88" t="str">
        <f>VLOOKUP($B60,[1]DG!A:D,[1]DG!$D$2,)</f>
        <v>bộ</v>
      </c>
      <c r="H60" s="94">
        <f>H52*0.452</f>
        <v>0</v>
      </c>
      <c r="I60" s="91">
        <f t="shared" si="2"/>
        <v>0</v>
      </c>
      <c r="J60" s="92"/>
      <c r="K60" s="92"/>
      <c r="L60" s="117"/>
      <c r="M60" s="66">
        <v>15</v>
      </c>
    </row>
    <row r="61" spans="1:14" s="51" customFormat="1" ht="25.2" hidden="1" customHeight="1">
      <c r="A61" s="68">
        <f t="shared" si="0"/>
        <v>0</v>
      </c>
      <c r="B61" s="86" t="s">
        <v>86</v>
      </c>
      <c r="C61" s="86"/>
      <c r="D61" s="96"/>
      <c r="E61" s="88" t="str">
        <f>VLOOKUP($B61,[1]DG!A:D,[1]DG!$B$2,)</f>
        <v>06.3231</v>
      </c>
      <c r="F61" s="89" t="str">
        <f>VLOOKUP($B61,[1]DG!A:D,[1]DG!$C$2,)&amp;": CD 90-320"</f>
        <v>Cổ dê kẹp ống PVC  21: CD 90-320</v>
      </c>
      <c r="G61" s="88" t="str">
        <f>VLOOKUP($B61,[1]DG!A:D,[1]DG!$D$2,)</f>
        <v>bộ</v>
      </c>
      <c r="H61" s="94">
        <f>H52*0.501</f>
        <v>0</v>
      </c>
      <c r="I61" s="91">
        <f t="shared" si="2"/>
        <v>0</v>
      </c>
      <c r="J61" s="92"/>
      <c r="K61" s="92"/>
      <c r="L61" s="117"/>
      <c r="M61" s="66">
        <v>15</v>
      </c>
    </row>
    <row r="62" spans="1:14" s="51" customFormat="1" ht="25.2" hidden="1" customHeight="1">
      <c r="A62" s="68">
        <f t="shared" si="0"/>
        <v>0</v>
      </c>
      <c r="B62" s="86" t="s">
        <v>87</v>
      </c>
      <c r="C62" s="86"/>
      <c r="D62" s="96"/>
      <c r="E62" s="88" t="str">
        <f>VLOOKUP($B62,[1]DG!A:D,[1]DG!$B$2,)</f>
        <v>06.2110</v>
      </c>
      <c r="F62" s="89" t="str">
        <f>VLOOKUP($B62,[1]DG!A:D,[1]DG!$C$2,)&amp;": CD 90-320"</f>
        <v>Lắp cổ dề: CD 90-320</v>
      </c>
      <c r="G62" s="88" t="str">
        <f>VLOOKUP($B62,[1]DG!A:D,[1]DG!$D$2,)</f>
        <v>bộ</v>
      </c>
      <c r="H62" s="94">
        <f>H53*0.501</f>
        <v>0</v>
      </c>
      <c r="I62" s="91">
        <f t="shared" si="2"/>
        <v>0</v>
      </c>
      <c r="J62" s="92"/>
      <c r="K62" s="92"/>
      <c r="L62" s="117"/>
      <c r="M62" s="66">
        <v>15</v>
      </c>
    </row>
    <row r="63" spans="1:14" s="51" customFormat="1" ht="25.2" hidden="1" customHeight="1">
      <c r="A63" s="68">
        <f t="shared" si="0"/>
        <v>0</v>
      </c>
      <c r="B63" s="86" t="s">
        <v>88</v>
      </c>
      <c r="C63" s="86"/>
      <c r="D63" s="96"/>
      <c r="E63" s="88">
        <f>VLOOKUP($B63,[1]DG!A:D,[1]DG!$B$2,)</f>
        <v>0</v>
      </c>
      <c r="F63" s="89" t="str">
        <f>VLOOKUP($B63,[1]DG!A:D,[1]DG!$C$2,)</f>
        <v>Boulon 12x40+ 2 long đền vuông D14-50x50x3/Zn</v>
      </c>
      <c r="G63" s="88" t="str">
        <f>VLOOKUP($B63,[1]DG!A:D,[1]DG!$D$2,)</f>
        <v>bộ</v>
      </c>
      <c r="H63" s="94">
        <f>H52*6</f>
        <v>0</v>
      </c>
      <c r="I63" s="91">
        <f t="shared" si="2"/>
        <v>0</v>
      </c>
      <c r="J63" s="92"/>
      <c r="K63" s="92"/>
      <c r="L63" s="117"/>
      <c r="M63" s="66">
        <v>15</v>
      </c>
    </row>
    <row r="64" spans="1:14" s="51" customFormat="1" ht="25.2" hidden="1" customHeight="1">
      <c r="A64" s="68">
        <f t="shared" si="0"/>
        <v>0</v>
      </c>
      <c r="B64" s="86" t="s">
        <v>89</v>
      </c>
      <c r="C64" s="86"/>
      <c r="D64" s="96"/>
      <c r="E64" s="88" t="str">
        <f>VLOOKUP($B64,[1]DG!A:D,[1]DG!$B$2,)</f>
        <v>04.7001</v>
      </c>
      <c r="F64" s="89" t="str">
        <f>VLOOKUP($B64,[1]DG!A:D,[1]DG!$C$2,)</f>
        <v>Đóng cọc tiếp địa trong TBA</v>
      </c>
      <c r="G64" s="88" t="str">
        <f>VLOOKUP($B64,[1]DG!A:D,[1]DG!$D$2,)</f>
        <v>cọc</v>
      </c>
      <c r="H64" s="94">
        <f>H55</f>
        <v>0</v>
      </c>
      <c r="I64" s="91">
        <f t="shared" si="2"/>
        <v>0</v>
      </c>
      <c r="J64" s="92"/>
      <c r="K64" s="92"/>
      <c r="L64" s="96"/>
      <c r="M64" s="66">
        <v>15</v>
      </c>
    </row>
    <row r="65" spans="1:13" s="51" customFormat="1" ht="25.2" hidden="1" customHeight="1">
      <c r="A65" s="68">
        <f t="shared" si="0"/>
        <v>0</v>
      </c>
      <c r="B65" s="86" t="s">
        <v>90</v>
      </c>
      <c r="C65" s="86"/>
      <c r="D65" s="96"/>
      <c r="E65" s="88" t="str">
        <f>VLOOKUP($B65,[1]DG!A:D,[1]DG!$B$2,)</f>
        <v>04.7002</v>
      </c>
      <c r="F65" s="89" t="str">
        <f>VLOOKUP($B65,[1]DG!A:D,[1]DG!$C$2,)</f>
        <v>Kéo dây tiếp địa trong TBA</v>
      </c>
      <c r="G65" s="88" t="str">
        <f>VLOOKUP($B65,[1]DG!A:D,[1]DG!$D$2,)</f>
        <v>mét</v>
      </c>
      <c r="H65" s="94">
        <f>H52*"0"</f>
        <v>0</v>
      </c>
      <c r="I65" s="91">
        <f t="shared" si="2"/>
        <v>0</v>
      </c>
      <c r="J65" s="92"/>
      <c r="K65" s="92"/>
      <c r="L65" s="96"/>
      <c r="M65" s="66">
        <v>15</v>
      </c>
    </row>
    <row r="66" spans="1:13" s="51" customFormat="1" ht="25.2" hidden="1" customHeight="1">
      <c r="A66" s="68">
        <f t="shared" si="0"/>
        <v>0</v>
      </c>
      <c r="B66" s="69" t="s">
        <v>91</v>
      </c>
      <c r="C66" s="69"/>
      <c r="D66" s="96"/>
      <c r="E66" s="88" t="str">
        <f>VLOOKUP($B66,[1]DG!A:D,[1]DG!$B$2,)</f>
        <v>03.3123</v>
      </c>
      <c r="F66" s="89" t="str">
        <f>VLOOKUP($B66,[1]DG!A:D,[1]DG!$C$2,)</f>
        <v>Đào rãnh tiếp địa đất cấp 3</v>
      </c>
      <c r="G66" s="88" t="str">
        <f>VLOOKUP($B66,[1]DG!A:D,[1]DG!$D$2,)</f>
        <v>m3</v>
      </c>
      <c r="H66" s="94">
        <f>H52*"0"</f>
        <v>0</v>
      </c>
      <c r="I66" s="91">
        <f t="shared" si="2"/>
        <v>0</v>
      </c>
      <c r="J66" s="92"/>
      <c r="K66" s="92"/>
      <c r="L66" s="96"/>
      <c r="M66" s="66">
        <v>15</v>
      </c>
    </row>
    <row r="67" spans="1:13" s="51" customFormat="1" ht="25.2" hidden="1" customHeight="1">
      <c r="A67" s="68">
        <f t="shared" si="0"/>
        <v>0</v>
      </c>
      <c r="B67" s="86" t="s">
        <v>92</v>
      </c>
      <c r="C67" s="86"/>
      <c r="D67" s="96"/>
      <c r="E67" s="88" t="str">
        <f>VLOOKUP($B67,[1]DG!A:D,[1]DG!$B$2,)</f>
        <v>03.4123</v>
      </c>
      <c r="F67" s="89" t="str">
        <f>VLOOKUP($B67,[1]DG!A:D,[1]DG!$C$2,)</f>
        <v>Đắp đất rãnh tiếp độ chặt k=0,85</v>
      </c>
      <c r="G67" s="88" t="str">
        <f>VLOOKUP($B67,[1]DG!A:D,[1]DG!$D$2,)</f>
        <v>m3</v>
      </c>
      <c r="H67" s="94">
        <f>H66</f>
        <v>0</v>
      </c>
      <c r="I67" s="91">
        <f t="shared" si="2"/>
        <v>0</v>
      </c>
      <c r="J67" s="92"/>
      <c r="K67" s="92"/>
      <c r="L67" s="96"/>
      <c r="M67" s="66">
        <v>15</v>
      </c>
    </row>
    <row r="68" spans="1:13" s="51" customFormat="1" ht="25.2" hidden="1" customHeight="1">
      <c r="A68" s="68">
        <f t="shared" si="0"/>
        <v>0</v>
      </c>
      <c r="B68" s="69"/>
      <c r="C68" s="69"/>
      <c r="D68" s="114">
        <f>IF(H68&gt;0,D52+1,D52)</f>
        <v>0</v>
      </c>
      <c r="E68" s="112"/>
      <c r="F68" s="113" t="s">
        <v>93</v>
      </c>
      <c r="G68" s="114" t="s">
        <v>67</v>
      </c>
      <c r="H68" s="110">
        <f>H25</f>
        <v>0</v>
      </c>
      <c r="I68" s="91">
        <f t="shared" si="2"/>
        <v>0</v>
      </c>
      <c r="J68" s="95"/>
      <c r="K68" s="95"/>
      <c r="L68" s="96"/>
      <c r="M68" s="66">
        <v>15</v>
      </c>
    </row>
    <row r="69" spans="1:13" s="51" customFormat="1" ht="25.2" hidden="1" customHeight="1">
      <c r="A69" s="68">
        <f>IF(A68&gt;0,1,0)</f>
        <v>0</v>
      </c>
      <c r="B69" s="69"/>
      <c r="C69" s="69"/>
      <c r="D69" s="114"/>
      <c r="E69" s="112"/>
      <c r="F69" s="115" t="s">
        <v>68</v>
      </c>
      <c r="G69" s="96"/>
      <c r="H69" s="94"/>
      <c r="I69" s="91">
        <f t="shared" si="2"/>
        <v>0</v>
      </c>
      <c r="J69" s="95"/>
      <c r="K69" s="95"/>
      <c r="L69" s="96"/>
      <c r="M69" s="66">
        <v>15</v>
      </c>
    </row>
    <row r="70" spans="1:13" s="51" customFormat="1" ht="25.2" hidden="1" customHeight="1">
      <c r="A70" s="68">
        <f t="shared" si="0"/>
        <v>0</v>
      </c>
      <c r="B70" s="86" t="s">
        <v>94</v>
      </c>
      <c r="C70" s="86"/>
      <c r="D70" s="96"/>
      <c r="E70" s="88" t="str">
        <f>VLOOKUP($B70,[1]DG!A:D,[1]DG!$B$2,)</f>
        <v>05.1001</v>
      </c>
      <c r="F70" s="89" t="str">
        <f>VLOOKUP($B70,[1]DG!A:D,[1]DG!$C$2,)</f>
        <v>Tủ CB trạm 1 pha + khóa + boulon</v>
      </c>
      <c r="G70" s="88" t="str">
        <f>VLOOKUP($B70,[1]DG!A:D,[1]DG!$D$2,)</f>
        <v>cái</v>
      </c>
      <c r="H70" s="94">
        <f>H68</f>
        <v>0</v>
      </c>
      <c r="I70" s="91">
        <f t="shared" si="2"/>
        <v>0</v>
      </c>
      <c r="J70" s="92"/>
      <c r="K70" s="92"/>
      <c r="L70" s="96"/>
      <c r="M70" s="66">
        <v>15</v>
      </c>
    </row>
    <row r="71" spans="1:13" s="51" customFormat="1" ht="25.2" hidden="1" customHeight="1">
      <c r="A71" s="68">
        <f t="shared" si="0"/>
        <v>0</v>
      </c>
      <c r="B71" s="69" t="s">
        <v>95</v>
      </c>
      <c r="C71" s="69"/>
      <c r="D71" s="96"/>
      <c r="E71" s="116"/>
      <c r="F71" s="89" t="str">
        <f>VLOOKUP($B71,[1]DG!A:D,[1]DG!$C$2,)</f>
        <v>Cổ dê bắt tủ</v>
      </c>
      <c r="G71" s="88" t="str">
        <f>VLOOKUP($B71,[1]DG!A:D,[1]DG!$D$2,)</f>
        <v>bộ</v>
      </c>
      <c r="H71" s="94">
        <f>2*H68</f>
        <v>0</v>
      </c>
      <c r="I71" s="91">
        <f t="shared" si="2"/>
        <v>0</v>
      </c>
      <c r="J71" s="92"/>
      <c r="K71" s="92"/>
      <c r="L71" s="96"/>
      <c r="M71" s="66">
        <v>15</v>
      </c>
    </row>
    <row r="72" spans="1:13" s="51" customFormat="1" ht="25.2" hidden="1" customHeight="1">
      <c r="A72" s="68">
        <f t="shared" si="0"/>
        <v>0</v>
      </c>
      <c r="B72" s="69" t="s">
        <v>96</v>
      </c>
      <c r="C72" s="69"/>
      <c r="D72" s="96"/>
      <c r="E72" s="116"/>
      <c r="F72" s="89" t="str">
        <f>VLOOKUP($B72,[1]DG!A:D,[1]DG!$C$2,)</f>
        <v xml:space="preserve">Bakelit 550x450 dầy 10mm </v>
      </c>
      <c r="G72" s="88" t="str">
        <f>VLOOKUP($B72,[1]DG!A:D,[1]DG!$D$2,)</f>
        <v>cái</v>
      </c>
      <c r="H72" s="94">
        <f>H68</f>
        <v>0</v>
      </c>
      <c r="I72" s="91">
        <f t="shared" si="2"/>
        <v>0</v>
      </c>
      <c r="J72" s="92"/>
      <c r="K72" s="92"/>
      <c r="L72" s="96"/>
      <c r="M72" s="66">
        <v>15</v>
      </c>
    </row>
    <row r="73" spans="1:13" s="51" customFormat="1" ht="25.2" hidden="1" customHeight="1">
      <c r="A73" s="68">
        <f t="shared" si="0"/>
        <v>0</v>
      </c>
      <c r="B73" s="69"/>
      <c r="C73" s="69"/>
      <c r="D73" s="114">
        <f>IF(H73&gt;0,D68+1,D68)</f>
        <v>0</v>
      </c>
      <c r="E73" s="112"/>
      <c r="F73" s="113" t="s">
        <v>97</v>
      </c>
      <c r="G73" s="114" t="s">
        <v>67</v>
      </c>
      <c r="H73" s="110">
        <f>H68</f>
        <v>0</v>
      </c>
      <c r="I73" s="91">
        <f t="shared" si="2"/>
        <v>0</v>
      </c>
      <c r="J73" s="95"/>
      <c r="K73" s="95"/>
      <c r="L73" s="96"/>
      <c r="M73" s="66">
        <v>15</v>
      </c>
    </row>
    <row r="74" spans="1:13" s="51" customFormat="1" ht="25.2" hidden="1" customHeight="1">
      <c r="A74" s="68">
        <f>IF(A73&gt;0,1,0)</f>
        <v>0</v>
      </c>
      <c r="B74" s="69"/>
      <c r="C74" s="69"/>
      <c r="D74" s="114"/>
      <c r="E74" s="112"/>
      <c r="F74" s="115" t="s">
        <v>68</v>
      </c>
      <c r="G74" s="96"/>
      <c r="H74" s="94"/>
      <c r="I74" s="91">
        <f t="shared" si="2"/>
        <v>0</v>
      </c>
      <c r="J74" s="95"/>
      <c r="K74" s="95"/>
      <c r="L74" s="96"/>
      <c r="M74" s="66">
        <v>15</v>
      </c>
    </row>
    <row r="75" spans="1:13" s="51" customFormat="1" ht="25.2" hidden="1" customHeight="1">
      <c r="A75" s="68">
        <f t="shared" si="0"/>
        <v>0</v>
      </c>
      <c r="B75" s="98" t="s">
        <v>98</v>
      </c>
      <c r="C75" s="98"/>
      <c r="D75" s="96"/>
      <c r="E75" s="88">
        <f>VLOOKUP($B75,[1]DG!A:D,[1]DG!$B$2,)</f>
        <v>0</v>
      </c>
      <c r="F75" s="89" t="str">
        <f>VLOOKUP($B75,[1]DG!A:D,[1]DG!$C$2,)</f>
        <v>Cáp 24KV CX-25mm2</v>
      </c>
      <c r="G75" s="88" t="str">
        <f>VLOOKUP($B75,[1]DG!A:D,[1]DG!$D$2,)</f>
        <v>mét</v>
      </c>
      <c r="H75" s="94">
        <f>3*H73</f>
        <v>0</v>
      </c>
      <c r="I75" s="91">
        <f t="shared" si="2"/>
        <v>0</v>
      </c>
      <c r="J75" s="92"/>
      <c r="K75" s="92"/>
      <c r="L75" s="96"/>
      <c r="M75" s="66">
        <v>15</v>
      </c>
    </row>
    <row r="76" spans="1:13" s="51" customFormat="1" ht="25.2" hidden="1" customHeight="1">
      <c r="A76" s="68">
        <f t="shared" si="0"/>
        <v>0</v>
      </c>
      <c r="B76" s="86" t="s">
        <v>99</v>
      </c>
      <c r="C76" s="86"/>
      <c r="D76" s="96"/>
      <c r="E76" s="88" t="str">
        <f>VLOOKUP($B76,[1]DG!A:D,[1]DG!$B$2,)</f>
        <v>04.3007</v>
      </c>
      <c r="F76" s="89" t="str">
        <f>VLOOKUP($B76,[1]DG!A:D,[1]DG!$C$2,)</f>
        <v>Kẹp quai 2/0</v>
      </c>
      <c r="G76" s="88" t="str">
        <f>VLOOKUP($B76,[1]DG!A:D,[1]DG!$D$2,)</f>
        <v>cái</v>
      </c>
      <c r="H76" s="94">
        <f>H73</f>
        <v>0</v>
      </c>
      <c r="I76" s="91">
        <f t="shared" si="2"/>
        <v>0</v>
      </c>
      <c r="J76" s="92"/>
      <c r="K76" s="92"/>
      <c r="L76" s="96"/>
      <c r="M76" s="66">
        <v>15</v>
      </c>
    </row>
    <row r="77" spans="1:13" s="51" customFormat="1" ht="25.2" hidden="1" customHeight="1">
      <c r="A77" s="68">
        <f t="shared" si="0"/>
        <v>0</v>
      </c>
      <c r="B77" s="86" t="s">
        <v>100</v>
      </c>
      <c r="C77" s="86"/>
      <c r="D77" s="96"/>
      <c r="E77" s="88" t="str">
        <f>VLOOKUP($B77,[1]DG!A:D,[1]DG!$B$2,)</f>
        <v>04.3007</v>
      </c>
      <c r="F77" s="89" t="str">
        <f>VLOOKUP($B77,[1]DG!A:D,[1]DG!$C$2,)</f>
        <v>Kẹp hotline 2/0</v>
      </c>
      <c r="G77" s="88" t="str">
        <f>VLOOKUP($B77,[1]DG!A:D,[1]DG!$D$2,)</f>
        <v>cái</v>
      </c>
      <c r="H77" s="94">
        <f>H73</f>
        <v>0</v>
      </c>
      <c r="I77" s="91">
        <f t="shared" si="2"/>
        <v>0</v>
      </c>
      <c r="J77" s="92"/>
      <c r="K77" s="92"/>
      <c r="L77" s="96"/>
      <c r="M77" s="66">
        <v>15</v>
      </c>
    </row>
    <row r="78" spans="1:13" s="51" customFormat="1" ht="25.2" hidden="1" customHeight="1">
      <c r="A78" s="68">
        <f t="shared" si="0"/>
        <v>0</v>
      </c>
      <c r="B78" s="86" t="s">
        <v>101</v>
      </c>
      <c r="C78" s="86"/>
      <c r="D78" s="96"/>
      <c r="E78" s="88" t="str">
        <f>VLOOKUP($B78,[1]DG!A:D,[1]DG!$B$2,)</f>
        <v>04.4201</v>
      </c>
      <c r="F78" s="89" t="str">
        <f>VLOOKUP($B78,[1]DG!A:D,[1]DG!$C$2,)</f>
        <v>Lắp cáp đồng xuống thiết bị D ≤ 95mm2</v>
      </c>
      <c r="G78" s="88" t="str">
        <f>VLOOKUP($B78,[1]DG!A:D,[1]DG!$D$2,)</f>
        <v>m</v>
      </c>
      <c r="H78" s="94">
        <f>H75</f>
        <v>0</v>
      </c>
      <c r="I78" s="91">
        <f t="shared" si="2"/>
        <v>0</v>
      </c>
      <c r="J78" s="92"/>
      <c r="K78" s="92"/>
      <c r="L78" s="96"/>
      <c r="M78" s="66">
        <v>15</v>
      </c>
    </row>
    <row r="79" spans="1:13" s="51" customFormat="1" ht="25.2" hidden="1" customHeight="1">
      <c r="A79" s="68">
        <f t="shared" si="0"/>
        <v>0</v>
      </c>
      <c r="B79" s="69"/>
      <c r="C79" s="69"/>
      <c r="D79" s="114">
        <f>IF(H79&gt;0,D73+1,D73)</f>
        <v>0</v>
      </c>
      <c r="E79" s="112"/>
      <c r="F79" s="113" t="s">
        <v>102</v>
      </c>
      <c r="G79" s="114" t="s">
        <v>67</v>
      </c>
      <c r="H79" s="110">
        <f>H25</f>
        <v>0</v>
      </c>
      <c r="I79" s="91">
        <f t="shared" si="2"/>
        <v>0</v>
      </c>
      <c r="J79" s="95"/>
      <c r="K79" s="95"/>
      <c r="L79" s="96"/>
      <c r="M79" s="66">
        <v>15</v>
      </c>
    </row>
    <row r="80" spans="1:13" s="51" customFormat="1" ht="25.2" hidden="1" customHeight="1">
      <c r="A80" s="68">
        <f>IF(A79&gt;0,1,0)</f>
        <v>0</v>
      </c>
      <c r="B80" s="69"/>
      <c r="C80" s="69"/>
      <c r="D80" s="114"/>
      <c r="E80" s="112"/>
      <c r="F80" s="115" t="s">
        <v>68</v>
      </c>
      <c r="G80" s="114"/>
      <c r="H80" s="110"/>
      <c r="I80" s="91">
        <f t="shared" si="2"/>
        <v>0</v>
      </c>
      <c r="J80" s="95"/>
      <c r="K80" s="95"/>
      <c r="L80" s="96"/>
      <c r="M80" s="66">
        <v>15</v>
      </c>
    </row>
    <row r="81" spans="1:13" s="51" customFormat="1" ht="25.2" hidden="1" customHeight="1">
      <c r="A81" s="68">
        <f t="shared" si="0"/>
        <v>0</v>
      </c>
      <c r="B81" s="69" t="s">
        <v>103</v>
      </c>
      <c r="C81" s="69"/>
      <c r="D81" s="114"/>
      <c r="E81" s="88">
        <f>VLOOKUP($B81,[1]DG!A:D,[1]DG!$B$2,)</f>
        <v>0</v>
      </c>
      <c r="F81" s="89" t="str">
        <f>VLOOKUP($B81,[1]DG!A:D,[1]DG!$C$2,)</f>
        <v>Cáp đồng bọc CV35</v>
      </c>
      <c r="G81" s="88" t="str">
        <f>VLOOKUP($B81,[1]DG!A:D,[1]DG!$D$2,)</f>
        <v>mét</v>
      </c>
      <c r="H81" s="94">
        <f>H79*10</f>
        <v>0</v>
      </c>
      <c r="I81" s="91">
        <f t="shared" si="2"/>
        <v>0</v>
      </c>
      <c r="J81" s="92"/>
      <c r="K81" s="92"/>
      <c r="L81" s="96"/>
      <c r="M81" s="66">
        <v>15</v>
      </c>
    </row>
    <row r="82" spans="1:13" s="51" customFormat="1" ht="25.2" hidden="1" customHeight="1">
      <c r="A82" s="68">
        <f t="shared" si="0"/>
        <v>0</v>
      </c>
      <c r="B82" s="69" t="s">
        <v>104</v>
      </c>
      <c r="C82" s="69"/>
      <c r="D82" s="114"/>
      <c r="E82" s="88">
        <f>VLOOKUP($B82,[1]DG!A:D,[1]DG!$B$2,)</f>
        <v>0</v>
      </c>
      <c r="F82" s="89" t="str">
        <f>VLOOKUP($B82,[1]DG!A:D,[1]DG!$C$2,)</f>
        <v>Cáp đồng bọc CV25</v>
      </c>
      <c r="G82" s="88" t="str">
        <f>VLOOKUP($B82,[1]DG!A:D,[1]DG!$D$2,)</f>
        <v>mét</v>
      </c>
      <c r="H82" s="94">
        <f>10*H79</f>
        <v>0</v>
      </c>
      <c r="I82" s="91">
        <f t="shared" si="2"/>
        <v>0</v>
      </c>
      <c r="J82" s="92"/>
      <c r="K82" s="92"/>
      <c r="L82" s="96"/>
      <c r="M82" s="66">
        <v>15</v>
      </c>
    </row>
    <row r="83" spans="1:13" s="51" customFormat="1" ht="25.2" hidden="1" customHeight="1">
      <c r="A83" s="68">
        <f t="shared" si="0"/>
        <v>0</v>
      </c>
      <c r="B83" s="69" t="s">
        <v>105</v>
      </c>
      <c r="C83" s="69"/>
      <c r="D83" s="114"/>
      <c r="E83" s="88" t="str">
        <f>VLOOKUP($B83,[1]DG!A:D,[1]DG!$B$2,)</f>
        <v>03.1401</v>
      </c>
      <c r="F83" s="89" t="str">
        <f>VLOOKUP($B83,[1]DG!A:D,[1]DG!$C$2,)</f>
        <v xml:space="preserve">Cáp CVV 4x2,5mm2  </v>
      </c>
      <c r="G83" s="88" t="str">
        <f>VLOOKUP($B83,[1]DG!A:D,[1]DG!$D$2,)</f>
        <v>mét</v>
      </c>
      <c r="H83" s="94">
        <f>4*H79</f>
        <v>0</v>
      </c>
      <c r="I83" s="91">
        <f t="shared" si="2"/>
        <v>0</v>
      </c>
      <c r="J83" s="92"/>
      <c r="K83" s="92"/>
      <c r="L83" s="117"/>
      <c r="M83" s="66">
        <v>15</v>
      </c>
    </row>
    <row r="84" spans="1:13" s="51" customFormat="1" ht="25.2" hidden="1" customHeight="1">
      <c r="A84" s="68">
        <f t="shared" si="0"/>
        <v>0</v>
      </c>
      <c r="B84" s="69" t="s">
        <v>106</v>
      </c>
      <c r="C84" s="69"/>
      <c r="D84" s="96"/>
      <c r="E84" s="88" t="str">
        <f>VLOOKUP($B84,[1]DG!A:D,[1]DG!$B$2,)</f>
        <v>03.4002</v>
      </c>
      <c r="F84" s="89" t="str">
        <f>VLOOKUP($B84,[1]DG!A:D,[1]DG!$C$2,)</f>
        <v>Đầu cosse ép Cu 35mm2</v>
      </c>
      <c r="G84" s="88" t="str">
        <f>VLOOKUP($B84,[1]DG!A:D,[1]DG!$D$2,)</f>
        <v>cái</v>
      </c>
      <c r="H84" s="94">
        <f>H79*1</f>
        <v>0</v>
      </c>
      <c r="I84" s="91">
        <f t="shared" si="2"/>
        <v>0</v>
      </c>
      <c r="J84" s="92"/>
      <c r="K84" s="92"/>
      <c r="L84" s="96"/>
      <c r="M84" s="66">
        <v>15</v>
      </c>
    </row>
    <row r="85" spans="1:13" s="51" customFormat="1" ht="25.2" hidden="1" customHeight="1">
      <c r="A85" s="68">
        <f t="shared" si="0"/>
        <v>0</v>
      </c>
      <c r="B85" s="69" t="s">
        <v>107</v>
      </c>
      <c r="C85" s="69"/>
      <c r="D85" s="96"/>
      <c r="E85" s="88" t="str">
        <f>VLOOKUP($B85,[1]DG!A:D,[1]DG!$B$2,)</f>
        <v>03.4001</v>
      </c>
      <c r="F85" s="89" t="str">
        <f>VLOOKUP($B85,[1]DG!A:D,[1]DG!$C$2,)</f>
        <v>Đầu cosse ép Cu 25mm2</v>
      </c>
      <c r="G85" s="88" t="str">
        <f>VLOOKUP($B85,[1]DG!A:D,[1]DG!$D$2,)</f>
        <v>cái</v>
      </c>
      <c r="H85" s="94">
        <f>H79*1</f>
        <v>0</v>
      </c>
      <c r="I85" s="91">
        <f t="shared" si="2"/>
        <v>0</v>
      </c>
      <c r="J85" s="92"/>
      <c r="K85" s="92"/>
      <c r="L85" s="96"/>
      <c r="M85" s="66">
        <v>15</v>
      </c>
    </row>
    <row r="86" spans="1:13" s="51" customFormat="1" ht="25.2" hidden="1" customHeight="1">
      <c r="A86" s="68">
        <f t="shared" si="0"/>
        <v>0</v>
      </c>
      <c r="B86" s="69" t="s">
        <v>108</v>
      </c>
      <c r="C86" s="69"/>
      <c r="D86" s="96"/>
      <c r="E86" s="88">
        <f>VLOOKUP($B86,[1]DG!A:D,[1]DG!$B$2,)</f>
        <v>0</v>
      </c>
      <c r="F86" s="89" t="str">
        <f>VLOOKUP($B86,[1]DG!A:D,[1]DG!$C$2,)</f>
        <v>Chụp đầu cosse  35mm2</v>
      </c>
      <c r="G86" s="88" t="str">
        <f>VLOOKUP($B86,[1]DG!A:D,[1]DG!$D$2,)</f>
        <v>cái</v>
      </c>
      <c r="H86" s="94">
        <f>H79*1</f>
        <v>0</v>
      </c>
      <c r="I86" s="91">
        <f t="shared" si="2"/>
        <v>0</v>
      </c>
      <c r="J86" s="92"/>
      <c r="K86" s="92"/>
      <c r="L86" s="96"/>
      <c r="M86" s="66">
        <v>15</v>
      </c>
    </row>
    <row r="87" spans="1:13" s="51" customFormat="1" ht="25.2" hidden="1" customHeight="1">
      <c r="A87" s="68">
        <f t="shared" si="0"/>
        <v>0</v>
      </c>
      <c r="B87" s="69" t="s">
        <v>109</v>
      </c>
      <c r="C87" s="69"/>
      <c r="D87" s="96"/>
      <c r="E87" s="88">
        <f>VLOOKUP($B87,[1]DG!A:D,[1]DG!$B$2,)</f>
        <v>0</v>
      </c>
      <c r="F87" s="89" t="str">
        <f>VLOOKUP($B87,[1]DG!A:D,[1]DG!$C$2,)</f>
        <v>Chụp đầu cosse  25mm2</v>
      </c>
      <c r="G87" s="88" t="str">
        <f>VLOOKUP($B87,[1]DG!A:D,[1]DG!$D$2,)</f>
        <v>cái</v>
      </c>
      <c r="H87" s="94">
        <f>H79*1</f>
        <v>0</v>
      </c>
      <c r="I87" s="91">
        <f t="shared" si="2"/>
        <v>0</v>
      </c>
      <c r="J87" s="92"/>
      <c r="K87" s="92"/>
      <c r="L87" s="96"/>
      <c r="M87" s="66">
        <v>15</v>
      </c>
    </row>
    <row r="88" spans="1:13" s="51" customFormat="1" ht="25.2" hidden="1" customHeight="1">
      <c r="A88" s="68">
        <f t="shared" si="0"/>
        <v>0</v>
      </c>
      <c r="B88" s="69" t="s">
        <v>110</v>
      </c>
      <c r="C88" s="69"/>
      <c r="D88" s="96"/>
      <c r="E88" s="88" t="str">
        <f>VLOOKUP($B88,[1]DG!A:D,[1]DG!$B$2,)</f>
        <v>04.8003</v>
      </c>
      <c r="F88" s="89" t="str">
        <f>VLOOKUP($B88,[1]DG!A:D,[1]DG!$C$2,)</f>
        <v xml:space="preserve">Ống PVC D90x3,8mm </v>
      </c>
      <c r="G88" s="88" t="str">
        <f>VLOOKUP($B88,[1]DG!A:D,[1]DG!$D$2,)</f>
        <v>m</v>
      </c>
      <c r="H88" s="94">
        <f>12*H79</f>
        <v>0</v>
      </c>
      <c r="I88" s="91">
        <f t="shared" si="2"/>
        <v>0</v>
      </c>
      <c r="J88" s="92"/>
      <c r="K88" s="92"/>
      <c r="L88" s="96"/>
      <c r="M88" s="66">
        <v>15</v>
      </c>
    </row>
    <row r="89" spans="1:13" s="51" customFormat="1" ht="25.2" hidden="1" customHeight="1">
      <c r="A89" s="68">
        <f t="shared" si="0"/>
        <v>0</v>
      </c>
      <c r="B89" s="86" t="s">
        <v>111</v>
      </c>
      <c r="C89" s="86"/>
      <c r="D89" s="96"/>
      <c r="E89" s="88" t="str">
        <f>VLOOKUP($B89,[1]DG!A:D,[1]DG!$B$2,)</f>
        <v>06.3231</v>
      </c>
      <c r="F89" s="89" t="str">
        <f>VLOOKUP($B89,[1]DG!A:D,[1]DG!$C$2,)&amp;": 2 bộ: CD 90-250"</f>
        <v>Cổ dê kẹp ống PVC Ø 90: 2 bộ: CD 90-250</v>
      </c>
      <c r="G89" s="88" t="str">
        <f>VLOOKUP($B89,[1]DG!A:D,[1]DG!$D$2,)</f>
        <v>bộ</v>
      </c>
      <c r="H89" s="94">
        <f>H79*0.965*2</f>
        <v>0</v>
      </c>
      <c r="I89" s="91">
        <f t="shared" si="2"/>
        <v>0</v>
      </c>
      <c r="J89" s="92"/>
      <c r="K89" s="92"/>
      <c r="L89" s="117"/>
      <c r="M89" s="66">
        <v>15</v>
      </c>
    </row>
    <row r="90" spans="1:13" s="51" customFormat="1" ht="25.2" hidden="1" customHeight="1">
      <c r="A90" s="68">
        <f t="shared" ref="A90:A153" si="3">IF(I90&gt;0,1,0)</f>
        <v>0</v>
      </c>
      <c r="B90" s="86" t="s">
        <v>111</v>
      </c>
      <c r="C90" s="86"/>
      <c r="D90" s="96"/>
      <c r="E90" s="88" t="str">
        <f>VLOOKUP($B90,[1]DG!A:D,[1]DG!$B$2,)</f>
        <v>06.3231</v>
      </c>
      <c r="F90" s="89" t="str">
        <f>VLOOKUP($B90,[1]DG!A:D,[1]DG!$C$2,)&amp;": 2 bộ: CD 90-280"</f>
        <v>Cổ dê kẹp ống PVC Ø 90: 2 bộ: CD 90-280</v>
      </c>
      <c r="G90" s="88" t="str">
        <f>VLOOKUP($B90,[1]DG!A:D,[1]DG!$D$2,)</f>
        <v>bộ</v>
      </c>
      <c r="H90" s="94">
        <f>H79*1.031*2</f>
        <v>0</v>
      </c>
      <c r="I90" s="91">
        <f t="shared" ref="I90:I156" si="4">IF(M90=$M$23,H90+J90-K90,0)</f>
        <v>0</v>
      </c>
      <c r="J90" s="92"/>
      <c r="K90" s="92"/>
      <c r="L90" s="117"/>
      <c r="M90" s="66">
        <v>15</v>
      </c>
    </row>
    <row r="91" spans="1:13" s="51" customFormat="1" ht="25.2" hidden="1" customHeight="1">
      <c r="A91" s="68">
        <f t="shared" si="3"/>
        <v>0</v>
      </c>
      <c r="B91" s="86" t="s">
        <v>111</v>
      </c>
      <c r="C91" s="86"/>
      <c r="D91" s="96"/>
      <c r="E91" s="88" t="str">
        <f>VLOOKUP($B91,[1]DG!A:D,[1]DG!$B$2,)</f>
        <v>06.3231</v>
      </c>
      <c r="F91" s="89" t="str">
        <f>VLOOKUP($B91,[1]DG!A:D,[1]DG!$C$2,)&amp;": 2 bộ: CD 90-320"</f>
        <v>Cổ dê kẹp ống PVC Ø 90: 2 bộ: CD 90-320</v>
      </c>
      <c r="G91" s="88" t="str">
        <f>VLOOKUP($B91,[1]DG!A:D,[1]DG!$D$2,)</f>
        <v>bộ</v>
      </c>
      <c r="H91" s="94">
        <f>H78*1.12*2</f>
        <v>0</v>
      </c>
      <c r="I91" s="91">
        <f t="shared" si="4"/>
        <v>0</v>
      </c>
      <c r="J91" s="92"/>
      <c r="K91" s="92"/>
      <c r="L91" s="117"/>
      <c r="M91" s="66">
        <v>15</v>
      </c>
    </row>
    <row r="92" spans="1:13" s="51" customFormat="1" ht="25.2" hidden="1" customHeight="1">
      <c r="A92" s="68">
        <f t="shared" si="3"/>
        <v>0</v>
      </c>
      <c r="B92" s="86" t="s">
        <v>87</v>
      </c>
      <c r="C92" s="86"/>
      <c r="D92" s="96"/>
      <c r="E92" s="88" t="str">
        <f>VLOOKUP($B92,[1]DG!A:D,[1]DG!$B$2,)</f>
        <v>06.2110</v>
      </c>
      <c r="F92" s="89" t="str">
        <f>VLOOKUP($B92,[1]DG!A:D,[1]DG!$C$2,)&amp;": 2 bộ: CD 90-320"</f>
        <v>Lắp cổ dề: 2 bộ: CD 90-320</v>
      </c>
      <c r="G92" s="88" t="str">
        <f>VLOOKUP($B92,[1]DG!A:D,[1]DG!$D$2,)</f>
        <v>bộ</v>
      </c>
      <c r="H92" s="94">
        <f>H79*1.12*2</f>
        <v>0</v>
      </c>
      <c r="I92" s="91">
        <f t="shared" si="4"/>
        <v>0</v>
      </c>
      <c r="J92" s="92"/>
      <c r="K92" s="92"/>
      <c r="L92" s="117"/>
      <c r="M92" s="66">
        <v>15</v>
      </c>
    </row>
    <row r="93" spans="1:13" s="51" customFormat="1" ht="25.2" hidden="1" customHeight="1">
      <c r="A93" s="68">
        <f t="shared" si="3"/>
        <v>0</v>
      </c>
      <c r="B93" s="86" t="s">
        <v>88</v>
      </c>
      <c r="C93" s="86"/>
      <c r="D93" s="96"/>
      <c r="E93" s="88">
        <f>VLOOKUP($B93,[1]DG!A:D,[1]DG!$B$2,)</f>
        <v>0</v>
      </c>
      <c r="F93" s="89" t="str">
        <f>VLOOKUP($B93,[1]DG!A:D,[1]DG!$C$2,)</f>
        <v>Boulon 12x40+ 2 long đền vuông D14-50x50x3/Zn</v>
      </c>
      <c r="G93" s="88" t="str">
        <f>VLOOKUP($B93,[1]DG!A:D,[1]DG!$D$2,)</f>
        <v>bộ</v>
      </c>
      <c r="H93" s="94">
        <f>H79*12</f>
        <v>0</v>
      </c>
      <c r="I93" s="91">
        <f t="shared" si="4"/>
        <v>0</v>
      </c>
      <c r="J93" s="92"/>
      <c r="K93" s="92"/>
      <c r="L93" s="117"/>
      <c r="M93" s="66">
        <v>15</v>
      </c>
    </row>
    <row r="94" spans="1:13" s="51" customFormat="1" ht="25.2" hidden="1" customHeight="1">
      <c r="A94" s="68">
        <f t="shared" si="3"/>
        <v>0</v>
      </c>
      <c r="B94" s="69" t="s">
        <v>112</v>
      </c>
      <c r="C94" s="69"/>
      <c r="D94" s="96"/>
      <c r="E94" s="88">
        <f>VLOOKUP($B94,[1]DG!A:D,[1]DG!$B$2,)</f>
        <v>0</v>
      </c>
      <c r="F94" s="89" t="str">
        <f>VLOOKUP($B94,[1]DG!A:D,[1]DG!$C$2,)</f>
        <v>Co  90 độ PVC 90</v>
      </c>
      <c r="G94" s="88" t="str">
        <f>VLOOKUP($B94,[1]DG!A:D,[1]DG!$D$2,)</f>
        <v>cái</v>
      </c>
      <c r="H94" s="94">
        <f>4*H79</f>
        <v>0</v>
      </c>
      <c r="I94" s="91">
        <f t="shared" si="4"/>
        <v>0</v>
      </c>
      <c r="J94" s="92"/>
      <c r="K94" s="92"/>
      <c r="L94" s="96"/>
      <c r="M94" s="66">
        <v>15</v>
      </c>
    </row>
    <row r="95" spans="1:13" s="51" customFormat="1" ht="25.2" hidden="1" customHeight="1">
      <c r="A95" s="68">
        <f t="shared" si="3"/>
        <v>0</v>
      </c>
      <c r="B95" s="69" t="s">
        <v>113</v>
      </c>
      <c r="C95" s="69"/>
      <c r="D95" s="96"/>
      <c r="E95" s="88">
        <f>VLOOKUP($B95,[1]DG!A:D,[1]DG!$B$2,)</f>
        <v>0</v>
      </c>
      <c r="F95" s="89" t="str">
        <f>VLOOKUP($B95,[1]DG!A:D,[1]DG!$C$2,)</f>
        <v xml:space="preserve">Nối thẳng ống PVC 90 </v>
      </c>
      <c r="G95" s="88" t="str">
        <f>VLOOKUP($B95,[1]DG!A:D,[1]DG!$D$2,)</f>
        <v>cái</v>
      </c>
      <c r="H95" s="94">
        <f>H79</f>
        <v>0</v>
      </c>
      <c r="I95" s="91">
        <f t="shared" si="4"/>
        <v>0</v>
      </c>
      <c r="J95" s="92"/>
      <c r="K95" s="92"/>
      <c r="L95" s="96"/>
      <c r="M95" s="66">
        <v>15</v>
      </c>
    </row>
    <row r="96" spans="1:13" s="51" customFormat="1" ht="25.2" hidden="1" customHeight="1">
      <c r="A96" s="68">
        <f t="shared" si="3"/>
        <v>0</v>
      </c>
      <c r="B96" s="69" t="s">
        <v>114</v>
      </c>
      <c r="C96" s="69"/>
      <c r="D96" s="96"/>
      <c r="E96" s="88">
        <f>VLOOKUP($B96,[1]DG!A:D,[1]DG!$B$2,)</f>
        <v>0</v>
      </c>
      <c r="F96" s="89" t="str">
        <f>VLOOKUP($B96,[1]DG!A:D,[1]DG!$C$2,)</f>
        <v>Keo dán ống PVC (100gr)</v>
      </c>
      <c r="G96" s="88" t="str">
        <f>VLOOKUP($B96,[1]DG!A:D,[1]DG!$D$2,)</f>
        <v>tuýp</v>
      </c>
      <c r="H96" s="94">
        <f>H79</f>
        <v>0</v>
      </c>
      <c r="I96" s="91">
        <f t="shared" si="4"/>
        <v>0</v>
      </c>
      <c r="J96" s="92"/>
      <c r="K96" s="92"/>
      <c r="L96" s="96"/>
      <c r="M96" s="66">
        <v>15</v>
      </c>
    </row>
    <row r="97" spans="1:14" s="51" customFormat="1" ht="25.2" hidden="1" customHeight="1">
      <c r="A97" s="68">
        <f t="shared" si="3"/>
        <v>0</v>
      </c>
      <c r="B97" s="69" t="s">
        <v>115</v>
      </c>
      <c r="C97" s="69"/>
      <c r="D97" s="96"/>
      <c r="E97" s="88">
        <f>VLOOKUP($B97,[1]DG!A:D,[1]DG!$B$2,)</f>
        <v>0</v>
      </c>
      <c r="F97" s="89" t="str">
        <f>VLOOKUP($B97,[1]DG!A:D,[1]DG!$C$2,)</f>
        <v>Keo silicon bít miệng ống</v>
      </c>
      <c r="G97" s="88" t="str">
        <f>VLOOKUP($B97,[1]DG!A:D,[1]DG!$D$2,)</f>
        <v>ống</v>
      </c>
      <c r="H97" s="94">
        <f>H79</f>
        <v>0</v>
      </c>
      <c r="I97" s="91">
        <f t="shared" si="4"/>
        <v>0</v>
      </c>
      <c r="J97" s="92"/>
      <c r="K97" s="92"/>
      <c r="L97" s="96"/>
      <c r="M97" s="66">
        <v>15</v>
      </c>
    </row>
    <row r="98" spans="1:14" s="51" customFormat="1" ht="25.2" hidden="1" customHeight="1">
      <c r="A98" s="68">
        <f t="shared" si="3"/>
        <v>0</v>
      </c>
      <c r="B98" s="69" t="s">
        <v>116</v>
      </c>
      <c r="C98" s="69"/>
      <c r="D98" s="96"/>
      <c r="E98" s="88" t="str">
        <f>VLOOKUP($B98,[1]DG!A:D,[1]DG!$B$2,)</f>
        <v>07.2415</v>
      </c>
      <c r="F98" s="89" t="str">
        <f>VLOOKUP($B98,[1]DG!A:D,[1]DG!$C$2,)</f>
        <v>Lắp ống nhựa PVC D90</v>
      </c>
      <c r="G98" s="88" t="str">
        <f>VLOOKUP($B98,[1]DG!A:D,[1]DG!$D$2,)</f>
        <v>mét</v>
      </c>
      <c r="H98" s="94">
        <f>H88</f>
        <v>0</v>
      </c>
      <c r="I98" s="91">
        <f t="shared" si="4"/>
        <v>0</v>
      </c>
      <c r="J98" s="92"/>
      <c r="K98" s="92"/>
      <c r="L98" s="96"/>
      <c r="M98" s="66">
        <v>15</v>
      </c>
    </row>
    <row r="99" spans="1:14" s="51" customFormat="1" ht="25.2" hidden="1" customHeight="1">
      <c r="A99" s="68">
        <f t="shared" si="3"/>
        <v>0</v>
      </c>
      <c r="B99" s="69" t="s">
        <v>101</v>
      </c>
      <c r="C99" s="69"/>
      <c r="D99" s="96"/>
      <c r="E99" s="88" t="str">
        <f>VLOOKUP($B99,[1]DG!A:D,[1]DG!$B$2,)</f>
        <v>04.4201</v>
      </c>
      <c r="F99" s="89" t="str">
        <f>VLOOKUP($B99,[1]DG!A:D,[1]DG!$C$2,)</f>
        <v>Lắp cáp đồng xuống thiết bị D ≤ 95mm2</v>
      </c>
      <c r="G99" s="88" t="str">
        <f>VLOOKUP($B99,[1]DG!A:D,[1]DG!$D$2,)</f>
        <v>m</v>
      </c>
      <c r="H99" s="94">
        <f>H81+H82</f>
        <v>0</v>
      </c>
      <c r="I99" s="91">
        <f t="shared" si="4"/>
        <v>0</v>
      </c>
      <c r="J99" s="92"/>
      <c r="K99" s="92"/>
      <c r="L99" s="96"/>
      <c r="M99" s="66">
        <v>15</v>
      </c>
    </row>
    <row r="100" spans="1:14" s="51" customFormat="1" ht="25.2" hidden="1" customHeight="1">
      <c r="A100" s="68">
        <f t="shared" si="3"/>
        <v>0</v>
      </c>
      <c r="B100" s="69" t="s">
        <v>117</v>
      </c>
      <c r="C100" s="69"/>
      <c r="D100" s="118">
        <f>IF(H100&gt;0,D79+1,D79)</f>
        <v>0</v>
      </c>
      <c r="E100" s="119"/>
      <c r="F100" s="89" t="str">
        <f>VLOOKUP($B100,[1]DG!A:D,[1]DG!$C$2,)</f>
        <v>Bảng tên trạm, bảng báo nguy hiểm + đinh vít</v>
      </c>
      <c r="G100" s="88" t="str">
        <f>VLOOKUP($B100,[1]DG!A:D,[1]DG!$D$2,)</f>
        <v>bộ</v>
      </c>
      <c r="H100" s="120">
        <f>H25</f>
        <v>0</v>
      </c>
      <c r="I100" s="91">
        <f t="shared" si="4"/>
        <v>0</v>
      </c>
      <c r="J100" s="92"/>
      <c r="K100" s="92"/>
      <c r="L100" s="121"/>
      <c r="M100" s="66">
        <v>15</v>
      </c>
    </row>
    <row r="101" spans="1:14" s="51" customFormat="1" ht="25.2" hidden="1" customHeight="1">
      <c r="A101" s="68">
        <f t="shared" si="3"/>
        <v>0</v>
      </c>
      <c r="B101" s="69"/>
      <c r="C101" s="69"/>
      <c r="D101" s="122"/>
      <c r="E101" s="123"/>
      <c r="F101" s="106"/>
      <c r="G101" s="124"/>
      <c r="H101" s="125"/>
      <c r="I101" s="91">
        <f t="shared" si="4"/>
        <v>0</v>
      </c>
      <c r="J101" s="126"/>
      <c r="K101" s="127"/>
      <c r="L101" s="100"/>
      <c r="M101" s="66">
        <v>15</v>
      </c>
    </row>
    <row r="102" spans="1:14" s="51" customFormat="1" ht="25.2" hidden="1" customHeight="1">
      <c r="A102" s="68">
        <f t="shared" si="3"/>
        <v>0</v>
      </c>
      <c r="B102" s="52"/>
      <c r="C102" s="52"/>
      <c r="D102" s="128"/>
      <c r="E102" s="56"/>
      <c r="H102" s="66"/>
      <c r="I102" s="91">
        <f t="shared" si="4"/>
        <v>0</v>
      </c>
      <c r="M102" s="56"/>
    </row>
    <row r="103" spans="1:14" s="51" customFormat="1" ht="25.2" hidden="1" customHeight="1">
      <c r="A103" s="68">
        <f t="shared" si="3"/>
        <v>0</v>
      </c>
      <c r="B103" s="52"/>
      <c r="C103" s="52"/>
      <c r="D103" s="129" t="str">
        <f>"TOÅNG HÔÏP VAÄT LIEÄU, NHAÂN COÂNG, MAÙY THI COÂNG: 1 TRAÏM 25KVA"</f>
        <v>TOÅNG HÔÏP VAÄT LIEÄU, NHAÂN COÂNG, MAÙY THI COÂNG: 1 TRAÏM 25KVA</v>
      </c>
      <c r="E103" s="130"/>
      <c r="F103" s="131"/>
      <c r="G103" s="131"/>
      <c r="H103" s="132"/>
      <c r="I103" s="91">
        <f t="shared" si="4"/>
        <v>0</v>
      </c>
      <c r="J103" s="131"/>
      <c r="K103" s="131"/>
      <c r="M103" s="56"/>
    </row>
    <row r="104" spans="1:14" s="51" customFormat="1" ht="25.2" hidden="1" customHeight="1">
      <c r="A104" s="68">
        <f t="shared" si="3"/>
        <v>0</v>
      </c>
      <c r="B104" s="69"/>
      <c r="C104" s="69"/>
      <c r="D104" s="79"/>
      <c r="E104" s="80"/>
      <c r="F104" s="107" t="s">
        <v>53</v>
      </c>
      <c r="G104" s="82"/>
      <c r="H104" s="83"/>
      <c r="I104" s="91">
        <f t="shared" si="4"/>
        <v>0</v>
      </c>
      <c r="J104" s="82"/>
      <c r="K104" s="82"/>
      <c r="L104" s="133"/>
      <c r="M104" s="56"/>
    </row>
    <row r="105" spans="1:14" s="51" customFormat="1" ht="25.2" hidden="1" customHeight="1">
      <c r="A105" s="68">
        <f t="shared" si="3"/>
        <v>0</v>
      </c>
      <c r="B105" s="86" t="str">
        <f>IF($G$8=22,"TR251","TR25")</f>
        <v>TR251</v>
      </c>
      <c r="C105" s="86"/>
      <c r="D105" s="87">
        <f>IF(H105&gt;0,1,0)</f>
        <v>0</v>
      </c>
      <c r="E105" s="88" t="str">
        <f>VLOOKUP($B105,[1]DG!A:D,[1]DG!$B$2,)</f>
        <v>01.1161</v>
      </c>
      <c r="F105" s="89" t="str">
        <f>VLOOKUP($B105,[1]DG!A:D,[1]DG!$C$2,)</f>
        <v>Máy biến áp 12,7/0,22-0,44kV  25kVA</v>
      </c>
      <c r="G105" s="88" t="str">
        <f>VLOOKUP($B105,[1]DG!A:D,[1]DG!$D$2,)</f>
        <v>máy</v>
      </c>
      <c r="H105" s="134">
        <f>I7</f>
        <v>0</v>
      </c>
      <c r="I105" s="91">
        <f t="shared" si="4"/>
        <v>0</v>
      </c>
      <c r="J105" s="92"/>
      <c r="K105" s="92"/>
      <c r="L105" s="135"/>
      <c r="M105" s="56">
        <v>25</v>
      </c>
    </row>
    <row r="106" spans="1:14" s="51" customFormat="1" ht="25.2" hidden="1" customHeight="1">
      <c r="A106" s="68">
        <f t="shared" si="3"/>
        <v>0</v>
      </c>
      <c r="B106" s="86" t="s">
        <v>56</v>
      </c>
      <c r="C106" s="86"/>
      <c r="D106" s="87">
        <f t="shared" ref="D106:D113" si="5">IF(H106&gt;0,D105+1,D105)</f>
        <v>1</v>
      </c>
      <c r="E106" s="88" t="str">
        <f>VLOOKUP($B106,[1]DG!A:D,[1]DG!$B$2,)</f>
        <v>02.3155</v>
      </c>
      <c r="F106" s="89" t="str">
        <f>VLOOKUP($B106,[1]DG!A:D,[1]DG!$C$2,)</f>
        <v>FCO 27kV - 100A</v>
      </c>
      <c r="G106" s="88" t="str">
        <f>VLOOKUP($B106,[1]DG!A:D,[1]DG!$D$2,)</f>
        <v>cái</v>
      </c>
      <c r="H106" s="94">
        <v>1</v>
      </c>
      <c r="I106" s="91">
        <f t="shared" si="4"/>
        <v>0</v>
      </c>
      <c r="J106" s="92"/>
      <c r="K106" s="92"/>
      <c r="L106" s="117"/>
      <c r="M106" s="56">
        <v>25</v>
      </c>
    </row>
    <row r="107" spans="1:14" s="51" customFormat="1" ht="25.2" hidden="1" customHeight="1">
      <c r="A107" s="68">
        <f t="shared" si="3"/>
        <v>0</v>
      </c>
      <c r="B107" s="86" t="str">
        <f>IF($G$8=22,"CHI3K","CHI6K")</f>
        <v>CHI3K</v>
      </c>
      <c r="C107" s="86"/>
      <c r="D107" s="87">
        <f t="shared" si="5"/>
        <v>2</v>
      </c>
      <c r="E107" s="88">
        <f>VLOOKUP($B107,[1]DG!A:D,[1]DG!$B$2,)</f>
        <v>0</v>
      </c>
      <c r="F107" s="89" t="str">
        <f>VLOOKUP($B107,[1]DG!A:D,[1]DG!$C$2,)</f>
        <v>Dây chảy 3K</v>
      </c>
      <c r="G107" s="88" t="str">
        <f>VLOOKUP($B107,[1]DG!A:D,[1]DG!$D$2,)</f>
        <v>Sợi</v>
      </c>
      <c r="H107" s="94">
        <v>1</v>
      </c>
      <c r="I107" s="91">
        <f t="shared" si="4"/>
        <v>0</v>
      </c>
      <c r="J107" s="92"/>
      <c r="K107" s="92"/>
      <c r="L107" s="117"/>
      <c r="M107" s="56">
        <v>25</v>
      </c>
    </row>
    <row r="108" spans="1:14" s="51" customFormat="1" ht="25.2" hidden="1" customHeight="1">
      <c r="A108" s="68">
        <f t="shared" si="3"/>
        <v>0</v>
      </c>
      <c r="B108" s="69" t="s">
        <v>58</v>
      </c>
      <c r="C108" s="69"/>
      <c r="D108" s="87">
        <f>IF(H108&gt;0,D107+1,D107)</f>
        <v>2</v>
      </c>
      <c r="E108" s="88" t="str">
        <f>VLOOKUP($B108,[1]DG!A:D,[1]DG!$B$2,)</f>
        <v>02.5114</v>
      </c>
      <c r="F108" s="89" t="str">
        <f>VLOOKUP($B108,[1]DG!A:D,[1]DG!$C$2,)</f>
        <v>Chống sét van LA-18KV-10KA</v>
      </c>
      <c r="G108" s="88" t="str">
        <f>VLOOKUP($B108,[1]DG!A:D,[1]DG!$D$2,)</f>
        <v>cái</v>
      </c>
      <c r="H108" s="94">
        <f>H105</f>
        <v>0</v>
      </c>
      <c r="I108" s="91">
        <f t="shared" si="4"/>
        <v>0</v>
      </c>
      <c r="J108" s="92"/>
      <c r="K108" s="92"/>
      <c r="L108" s="117"/>
      <c r="M108" s="56">
        <v>25</v>
      </c>
    </row>
    <row r="109" spans="1:14" s="51" customFormat="1" ht="25.2" hidden="1" customHeight="1">
      <c r="A109" s="68">
        <f t="shared" si="3"/>
        <v>0</v>
      </c>
      <c r="B109" s="98" t="s">
        <v>118</v>
      </c>
      <c r="C109" s="98"/>
      <c r="D109" s="87">
        <f t="shared" si="5"/>
        <v>2</v>
      </c>
      <c r="E109" s="88" t="str">
        <f>VLOOKUP($B109,[1]DG!A:D,[1]DG!$B$2,)</f>
        <v>02.8401</v>
      </c>
      <c r="F109" s="89" t="str">
        <f>VLOOKUP($B109,[1]DG!A:D,[1]DG!$C$2,)</f>
        <v>MCCB 3 cực 400V -125A - 30KA</v>
      </c>
      <c r="G109" s="88" t="str">
        <f>VLOOKUP($B109,[1]DG!A:D,[1]DG!$D$2,)</f>
        <v>cái</v>
      </c>
      <c r="H109" s="94">
        <f>H105</f>
        <v>0</v>
      </c>
      <c r="I109" s="91">
        <f t="shared" si="4"/>
        <v>0</v>
      </c>
      <c r="J109" s="92"/>
      <c r="K109" s="92"/>
      <c r="L109" s="117"/>
      <c r="M109" s="56">
        <v>25</v>
      </c>
    </row>
    <row r="110" spans="1:14" s="51" customFormat="1" ht="25.2" hidden="1" customHeight="1">
      <c r="A110" s="68">
        <f t="shared" si="3"/>
        <v>0</v>
      </c>
      <c r="B110" s="98" t="s">
        <v>119</v>
      </c>
      <c r="C110" s="98"/>
      <c r="D110" s="87">
        <f t="shared" si="5"/>
        <v>2</v>
      </c>
      <c r="E110" s="88">
        <f>VLOOKUP($B110,[1]DG!A:D,[1]DG!$B$2,)</f>
        <v>0</v>
      </c>
      <c r="F110" s="89" t="str">
        <f>VLOOKUP($B110,[1]DG!A:D,[1]DG!$C$2,)</f>
        <v>Biến dòng 600V - 100/5A</v>
      </c>
      <c r="G110" s="88" t="str">
        <f>VLOOKUP($B110,[1]DG!A:D,[1]DG!$D$2,)</f>
        <v>cái</v>
      </c>
      <c r="H110" s="94">
        <f>H105</f>
        <v>0</v>
      </c>
      <c r="I110" s="91">
        <f t="shared" si="4"/>
        <v>0</v>
      </c>
      <c r="J110" s="92"/>
      <c r="K110" s="92"/>
      <c r="L110" s="96" t="s">
        <v>61</v>
      </c>
      <c r="M110" s="56">
        <v>25</v>
      </c>
      <c r="N110" s="97"/>
    </row>
    <row r="111" spans="1:14" s="51" customFormat="1" ht="25.2" hidden="1" customHeight="1">
      <c r="A111" s="68">
        <f t="shared" si="3"/>
        <v>0</v>
      </c>
      <c r="B111" s="86" t="s">
        <v>60</v>
      </c>
      <c r="C111" s="86"/>
      <c r="D111" s="87">
        <f t="shared" si="5"/>
        <v>2</v>
      </c>
      <c r="E111" s="88">
        <f>VLOOKUP($B111,[1]DG!A:D,[1]DG!$B$2,)</f>
        <v>0</v>
      </c>
      <c r="F111" s="89" t="str">
        <f>VLOOKUP($B111,[1]DG!A:D,[1]DG!$C$2,)</f>
        <v>Điện kế 1 pha 2 dây 220V-80A</v>
      </c>
      <c r="G111" s="88" t="str">
        <f>VLOOKUP($B111,[1]DG!A:D,[1]DG!$D$2,)</f>
        <v>cái</v>
      </c>
      <c r="H111" s="94">
        <f>H105</f>
        <v>0</v>
      </c>
      <c r="I111" s="91">
        <f t="shared" si="4"/>
        <v>0</v>
      </c>
      <c r="J111" s="92"/>
      <c r="K111" s="92"/>
      <c r="L111" s="96" t="s">
        <v>61</v>
      </c>
      <c r="M111" s="56">
        <v>25</v>
      </c>
    </row>
    <row r="112" spans="1:14" s="51" customFormat="1" ht="25.2" hidden="1" customHeight="1">
      <c r="A112" s="68">
        <f t="shared" si="3"/>
        <v>0</v>
      </c>
      <c r="B112" s="69" t="s">
        <v>62</v>
      </c>
      <c r="C112" s="69"/>
      <c r="D112" s="87">
        <f t="shared" si="5"/>
        <v>2</v>
      </c>
      <c r="E112" s="88">
        <f>VLOOKUP($B112,[1]DG!A:D,[1]DG!$B$2,)</f>
        <v>0</v>
      </c>
      <c r="F112" s="89" t="str">
        <f>VLOOKUP($B112,[1]DG!A:D,[1]DG!$C$2,)</f>
        <v xml:space="preserve">Ampe kế 100/5A-600v +AS </v>
      </c>
      <c r="G112" s="88" t="str">
        <f>VLOOKUP($B112,[1]DG!A:D,[1]DG!$D$2,)</f>
        <v>Bộ</v>
      </c>
      <c r="H112" s="94"/>
      <c r="I112" s="91">
        <f t="shared" si="4"/>
        <v>0</v>
      </c>
      <c r="J112" s="92"/>
      <c r="K112" s="92"/>
      <c r="L112" s="96" t="s">
        <v>61</v>
      </c>
      <c r="M112" s="56">
        <v>25</v>
      </c>
    </row>
    <row r="113" spans="1:14" s="51" customFormat="1" ht="25.2" hidden="1" customHeight="1">
      <c r="A113" s="68">
        <f t="shared" si="3"/>
        <v>0</v>
      </c>
      <c r="B113" s="69" t="s">
        <v>63</v>
      </c>
      <c r="C113" s="69"/>
      <c r="D113" s="87">
        <f t="shared" si="5"/>
        <v>2</v>
      </c>
      <c r="E113" s="88">
        <f>VLOOKUP($B113,[1]DG!A:D,[1]DG!$B$2,)</f>
        <v>0</v>
      </c>
      <c r="F113" s="89" t="str">
        <f>VLOOKUP($B113,[1]DG!A:D,[1]DG!$C$2,)</f>
        <v>Volt kế 500V + VS + 2xChì ống 1A-230V</v>
      </c>
      <c r="G113" s="88" t="str">
        <f>VLOOKUP($B113,[1]DG!A:D,[1]DG!$D$2,)</f>
        <v>Bộ</v>
      </c>
      <c r="H113" s="94"/>
      <c r="I113" s="91">
        <f t="shared" si="4"/>
        <v>0</v>
      </c>
      <c r="J113" s="92"/>
      <c r="K113" s="92"/>
      <c r="L113" s="96" t="s">
        <v>61</v>
      </c>
      <c r="M113" s="56">
        <v>25</v>
      </c>
    </row>
    <row r="114" spans="1:14" s="51" customFormat="1" ht="25.2" hidden="1" customHeight="1">
      <c r="A114" s="68">
        <f>IF(M114=$M$23,1,0)</f>
        <v>0</v>
      </c>
      <c r="B114" s="69"/>
      <c r="C114" s="69"/>
      <c r="D114" s="100"/>
      <c r="E114" s="100"/>
      <c r="F114" s="84"/>
      <c r="G114" s="100"/>
      <c r="H114" s="103"/>
      <c r="I114" s="103">
        <f t="shared" si="4"/>
        <v>0</v>
      </c>
      <c r="J114" s="84"/>
      <c r="K114" s="100"/>
      <c r="L114" s="133"/>
      <c r="M114" s="56">
        <v>25</v>
      </c>
    </row>
    <row r="115" spans="1:14" s="51" customFormat="1" ht="25.2" hidden="1" customHeight="1">
      <c r="A115" s="68">
        <f>IF(M115=$M$23,1,0)</f>
        <v>0</v>
      </c>
      <c r="B115" s="69"/>
      <c r="C115" s="69"/>
      <c r="D115" s="104"/>
      <c r="E115" s="100"/>
      <c r="F115" s="107" t="s">
        <v>64</v>
      </c>
      <c r="G115" s="107"/>
      <c r="H115" s="83"/>
      <c r="I115" s="103">
        <f t="shared" si="4"/>
        <v>0</v>
      </c>
      <c r="J115" s="107"/>
      <c r="K115" s="107"/>
      <c r="L115" s="133"/>
      <c r="M115" s="56">
        <v>25</v>
      </c>
    </row>
    <row r="116" spans="1:14" s="51" customFormat="1" ht="25.2" hidden="1" customHeight="1">
      <c r="A116" s="68">
        <f t="shared" si="3"/>
        <v>0</v>
      </c>
      <c r="B116" s="69" t="s">
        <v>65</v>
      </c>
      <c r="C116" s="69"/>
      <c r="D116" s="108">
        <f>IF(H128&gt;0,1,0)</f>
        <v>0</v>
      </c>
      <c r="E116" s="88">
        <f>VLOOKUP($B116,[1]DG!A:D,[1]DG!$B$2,)</f>
        <v>0</v>
      </c>
      <c r="F116" s="89" t="str">
        <f>VLOOKUP($B116,[1]DG!A:D,[1]DG!$C$2,)</f>
        <v>Boulon 16x300+ 2 long đền vuông D18-50x50x3/Zn</v>
      </c>
      <c r="G116" s="88" t="str">
        <f>VLOOKUP($B116,[1]DG!A:D,[1]DG!$D$2,)</f>
        <v>bộ</v>
      </c>
      <c r="H116" s="110">
        <f>2*SUM(H105:H105)</f>
        <v>0</v>
      </c>
      <c r="I116" s="91">
        <f t="shared" si="4"/>
        <v>0</v>
      </c>
      <c r="J116" s="92"/>
      <c r="K116" s="92"/>
      <c r="L116" s="135"/>
      <c r="M116" s="56">
        <v>25</v>
      </c>
    </row>
    <row r="117" spans="1:14" s="51" customFormat="1" ht="25.2" hidden="1" customHeight="1">
      <c r="A117" s="68">
        <f t="shared" si="3"/>
        <v>0</v>
      </c>
      <c r="B117" s="69"/>
      <c r="C117" s="69"/>
      <c r="D117" s="111">
        <f>IF(H117&gt;0,D116+1,D116)</f>
        <v>0</v>
      </c>
      <c r="E117" s="112"/>
      <c r="F117" s="113" t="s">
        <v>66</v>
      </c>
      <c r="G117" s="114" t="s">
        <v>67</v>
      </c>
      <c r="H117" s="110">
        <f>H105*0</f>
        <v>0</v>
      </c>
      <c r="I117" s="91">
        <f t="shared" si="4"/>
        <v>0</v>
      </c>
      <c r="J117" s="95"/>
      <c r="K117" s="95"/>
      <c r="L117" s="96"/>
      <c r="M117" s="56">
        <v>25</v>
      </c>
    </row>
    <row r="118" spans="1:14" s="51" customFormat="1" ht="25.2" hidden="1" customHeight="1">
      <c r="A118" s="68">
        <f>IF(H119&gt;0,1,0)</f>
        <v>0</v>
      </c>
      <c r="B118" s="69"/>
      <c r="C118" s="69"/>
      <c r="D118" s="114"/>
      <c r="E118" s="112"/>
      <c r="F118" s="115" t="s">
        <v>68</v>
      </c>
      <c r="G118" s="96"/>
      <c r="H118" s="94"/>
      <c r="I118" s="91">
        <f t="shared" si="4"/>
        <v>0</v>
      </c>
      <c r="J118" s="95"/>
      <c r="K118" s="95"/>
      <c r="L118" s="96"/>
      <c r="M118" s="56">
        <v>25</v>
      </c>
      <c r="N118" s="56"/>
    </row>
    <row r="119" spans="1:14" s="51" customFormat="1" ht="25.2" hidden="1" customHeight="1">
      <c r="A119" s="68">
        <f t="shared" si="3"/>
        <v>0</v>
      </c>
      <c r="B119" s="86" t="s">
        <v>69</v>
      </c>
      <c r="C119" s="86"/>
      <c r="D119" s="96"/>
      <c r="E119" s="88">
        <f>VLOOKUP($B119,[1]DG!A:D,[1]DG!$B$2,)</f>
        <v>0</v>
      </c>
      <c r="F119" s="89" t="str">
        <f>VLOOKUP($B119,[1]DG!A:D,[1]DG!$C$2,)</f>
        <v>Trụ BTLT 12m F350 dự ứng lực</v>
      </c>
      <c r="G119" s="88" t="str">
        <f>VLOOKUP($B119,[1]DG!A:D,[1]DG!$D$2,)</f>
        <v>trụ</v>
      </c>
      <c r="H119" s="94">
        <f>1*H117</f>
        <v>0</v>
      </c>
      <c r="I119" s="91">
        <f t="shared" si="4"/>
        <v>0</v>
      </c>
      <c r="J119" s="92"/>
      <c r="K119" s="92"/>
      <c r="L119" s="96"/>
      <c r="M119" s="56">
        <v>25</v>
      </c>
      <c r="N119" s="56"/>
    </row>
    <row r="120" spans="1:14" s="51" customFormat="1" ht="25.2" hidden="1" customHeight="1">
      <c r="A120" s="68">
        <f t="shared" si="3"/>
        <v>0</v>
      </c>
      <c r="B120" s="86" t="s">
        <v>70</v>
      </c>
      <c r="C120" s="86"/>
      <c r="D120" s="96"/>
      <c r="E120" s="116"/>
      <c r="F120" s="89" t="str">
        <f>VLOOKUP($B120,[1]DG!A:D,[1]DG!$C$2,)</f>
        <v>Vật liệu dựng trụ</v>
      </c>
      <c r="G120" s="88" t="str">
        <f>VLOOKUP($B120,[1]DG!A:D,[1]DG!$D$2,)</f>
        <v>trụ</v>
      </c>
      <c r="H120" s="94">
        <f>H119</f>
        <v>0</v>
      </c>
      <c r="I120" s="91">
        <f t="shared" si="4"/>
        <v>0</v>
      </c>
      <c r="J120" s="92"/>
      <c r="K120" s="92"/>
      <c r="L120" s="96"/>
      <c r="M120" s="56">
        <v>25</v>
      </c>
      <c r="N120" s="56"/>
    </row>
    <row r="121" spans="1:14" s="51" customFormat="1" ht="25.2" hidden="1" customHeight="1">
      <c r="A121" s="68">
        <f t="shared" si="3"/>
        <v>0</v>
      </c>
      <c r="B121" s="86" t="s">
        <v>71</v>
      </c>
      <c r="C121" s="86"/>
      <c r="D121" s="96"/>
      <c r="E121" s="116"/>
      <c r="F121" s="89" t="str">
        <f>VLOOKUP($B121,[1]DG!A:D,[1]DG!$C$2,)</f>
        <v>Dựng trụ BTLT 12m trong TBA bằng thủ công + cơ giới</v>
      </c>
      <c r="G121" s="88" t="str">
        <f>VLOOKUP($B121,[1]DG!A:D,[1]DG!$D$2,)</f>
        <v>trụ</v>
      </c>
      <c r="H121" s="94">
        <f>H119</f>
        <v>0</v>
      </c>
      <c r="I121" s="91">
        <f t="shared" si="4"/>
        <v>0</v>
      </c>
      <c r="J121" s="92"/>
      <c r="K121" s="92"/>
      <c r="L121" s="96"/>
      <c r="M121" s="56">
        <v>25</v>
      </c>
      <c r="N121" s="56"/>
    </row>
    <row r="122" spans="1:14" s="51" customFormat="1" ht="25.2" hidden="1" customHeight="1">
      <c r="A122" s="68">
        <f t="shared" si="3"/>
        <v>0</v>
      </c>
      <c r="B122" s="69"/>
      <c r="C122" s="69"/>
      <c r="D122" s="111">
        <f>IF(H122&gt;0,D117+1,D117)</f>
        <v>0</v>
      </c>
      <c r="E122" s="112"/>
      <c r="F122" s="113" t="s">
        <v>72</v>
      </c>
      <c r="G122" s="114" t="s">
        <v>67</v>
      </c>
      <c r="H122" s="110">
        <f>H117</f>
        <v>0</v>
      </c>
      <c r="I122" s="91">
        <f t="shared" si="4"/>
        <v>0</v>
      </c>
      <c r="J122" s="95"/>
      <c r="K122" s="95"/>
      <c r="L122" s="96"/>
      <c r="M122" s="56">
        <v>25</v>
      </c>
    </row>
    <row r="123" spans="1:14" s="51" customFormat="1" ht="25.2" hidden="1" customHeight="1">
      <c r="A123" s="68">
        <f>IF(H124&gt;0,1,0)</f>
        <v>0</v>
      </c>
      <c r="B123" s="69"/>
      <c r="C123" s="69"/>
      <c r="D123" s="114"/>
      <c r="E123" s="112"/>
      <c r="F123" s="115" t="s">
        <v>68</v>
      </c>
      <c r="G123" s="96"/>
      <c r="H123" s="94"/>
      <c r="I123" s="91">
        <f t="shared" si="4"/>
        <v>0</v>
      </c>
      <c r="J123" s="95"/>
      <c r="K123" s="95"/>
      <c r="L123" s="96"/>
      <c r="M123" s="56">
        <v>25</v>
      </c>
      <c r="N123" s="56"/>
    </row>
    <row r="124" spans="1:14" s="51" customFormat="1" ht="25.2" hidden="1" customHeight="1">
      <c r="A124" s="68">
        <f t="shared" si="3"/>
        <v>0</v>
      </c>
      <c r="B124" s="86" t="s">
        <v>73</v>
      </c>
      <c r="C124" s="86"/>
      <c r="D124" s="96"/>
      <c r="E124" s="88" t="str">
        <f>VLOOKUP($B124,[1]DG!A:D,[1]DG!$B$2,)</f>
        <v>04.4001</v>
      </c>
      <c r="F124" s="89" t="str">
        <f>VLOOKUP($B124,[1]DG!A:D,[1]DG!$C$2,)</f>
        <v>Đà cản BTCT 1,2m</v>
      </c>
      <c r="G124" s="88" t="str">
        <f>VLOOKUP($B124,[1]DG!A:D,[1]DG!$D$2,)</f>
        <v>cái</v>
      </c>
      <c r="H124" s="94">
        <f>1*H122</f>
        <v>0</v>
      </c>
      <c r="I124" s="91">
        <f t="shared" si="4"/>
        <v>0</v>
      </c>
      <c r="J124" s="92"/>
      <c r="K124" s="92"/>
      <c r="L124" s="96"/>
      <c r="M124" s="56">
        <v>25</v>
      </c>
      <c r="N124" s="56"/>
    </row>
    <row r="125" spans="1:14" s="51" customFormat="1" ht="25.2" hidden="1" customHeight="1">
      <c r="A125" s="68">
        <f t="shared" si="3"/>
        <v>0</v>
      </c>
      <c r="B125" s="86" t="s">
        <v>74</v>
      </c>
      <c r="C125" s="86"/>
      <c r="D125" s="96"/>
      <c r="E125" s="88">
        <f>VLOOKUP($B125,[1]DG!A:D,[1]DG!$B$2,)</f>
        <v>0</v>
      </c>
      <c r="F125" s="89" t="str">
        <f>VLOOKUP($B125,[1]DG!A:D,[1]DG!$C$2,)</f>
        <v>Boulon 22x650+ 2 long đền vuông D24-50x50x3/Zn</v>
      </c>
      <c r="G125" s="88" t="str">
        <f>VLOOKUP($B125,[1]DG!A:D,[1]DG!$D$2,)</f>
        <v>bộ</v>
      </c>
      <c r="H125" s="94">
        <f>H122</f>
        <v>0</v>
      </c>
      <c r="I125" s="91">
        <f t="shared" si="4"/>
        <v>0</v>
      </c>
      <c r="J125" s="92"/>
      <c r="K125" s="92"/>
      <c r="L125" s="96"/>
      <c r="M125" s="56">
        <v>25</v>
      </c>
      <c r="N125" s="56"/>
    </row>
    <row r="126" spans="1:14" s="51" customFormat="1" ht="25.2" hidden="1" customHeight="1">
      <c r="A126" s="68">
        <f t="shared" si="3"/>
        <v>0</v>
      </c>
      <c r="B126" s="86" t="str">
        <f>IF(chitiet!G5=1,"MDD1",IF(chitiet!G5=2,"MDD2",IF(chitiet!G5=3,"MDD3",IF(chitiet!G5=4,"MDD4"))))</f>
        <v>MDD3</v>
      </c>
      <c r="C126" s="86"/>
      <c r="D126" s="96"/>
      <c r="E126" s="88" t="str">
        <f>VLOOKUP($B126,[1]DG!A:D,[1]DG!$B$2,)</f>
        <v>03.1013</v>
      </c>
      <c r="F126" s="89" t="str">
        <f>VLOOKUP($B126,[1]DG!A:D,[1]DG!$C$2,)</f>
        <v>Đào hố móng đất cấp 3 sâu &gt;1m</v>
      </c>
      <c r="G126" s="88" t="str">
        <f>VLOOKUP($B126,[1]DG!A:D,[1]DG!$D$2,)</f>
        <v>m3</v>
      </c>
      <c r="H126" s="94">
        <f>H122*1.45</f>
        <v>0</v>
      </c>
      <c r="I126" s="91">
        <f t="shared" si="4"/>
        <v>0</v>
      </c>
      <c r="J126" s="92"/>
      <c r="K126" s="92"/>
      <c r="L126" s="96"/>
      <c r="M126" s="56">
        <v>25</v>
      </c>
      <c r="N126" s="56"/>
    </row>
    <row r="127" spans="1:14" s="51" customFormat="1" ht="25.2" hidden="1" customHeight="1">
      <c r="A127" s="68">
        <f t="shared" si="3"/>
        <v>0</v>
      </c>
      <c r="B127" s="86" t="str">
        <f>IF(chitiet!G5=1,"MDAP1",IF(chitiet!G5=2,"MDAP2",IF(chitiet!G5=3,"MDAP3",IF(chitiet!G5=4,"MDAP4"))))</f>
        <v>MDAP3</v>
      </c>
      <c r="C127" s="86"/>
      <c r="D127" s="96"/>
      <c r="E127" s="88" t="str">
        <f>VLOOKUP($B127,[1]DG!A:D,[1]DG!$B$2,)</f>
        <v>03.4113</v>
      </c>
      <c r="F127" s="89" t="str">
        <f>VLOOKUP($B127,[1]DG!A:D,[1]DG!$C$2,)</f>
        <v>Đắp đất hố móng, độ chặt k=0,95</v>
      </c>
      <c r="G127" s="88" t="str">
        <f>VLOOKUP($B127,[1]DG!A:D,[1]DG!$D$2,)</f>
        <v>m3</v>
      </c>
      <c r="H127" s="94">
        <f>H122*1.37</f>
        <v>0</v>
      </c>
      <c r="I127" s="91">
        <f t="shared" si="4"/>
        <v>0</v>
      </c>
      <c r="J127" s="92"/>
      <c r="K127" s="92"/>
      <c r="L127" s="96"/>
      <c r="M127" s="56">
        <v>25</v>
      </c>
      <c r="N127" s="56"/>
    </row>
    <row r="128" spans="1:14" s="51" customFormat="1" ht="25.2" hidden="1" customHeight="1">
      <c r="A128" s="68">
        <f t="shared" si="3"/>
        <v>0</v>
      </c>
      <c r="B128" s="69"/>
      <c r="C128" s="69"/>
      <c r="D128" s="111">
        <f>IF(H128&gt;0,D122+1,D122)</f>
        <v>0</v>
      </c>
      <c r="E128" s="112"/>
      <c r="F128" s="136" t="s">
        <v>120</v>
      </c>
      <c r="G128" s="114" t="s">
        <v>67</v>
      </c>
      <c r="H128" s="110">
        <f>SUM(H105:H105)</f>
        <v>0</v>
      </c>
      <c r="I128" s="91">
        <f t="shared" si="4"/>
        <v>0</v>
      </c>
      <c r="J128" s="95"/>
      <c r="K128" s="95"/>
      <c r="L128" s="117"/>
      <c r="M128" s="56">
        <v>25</v>
      </c>
    </row>
    <row r="129" spans="1:13" s="51" customFormat="1" ht="25.2" hidden="1" customHeight="1">
      <c r="A129" s="68">
        <f>IF(M129=$M$23,1,0)</f>
        <v>0</v>
      </c>
      <c r="B129" s="69"/>
      <c r="C129" s="69"/>
      <c r="D129" s="114"/>
      <c r="E129" s="112"/>
      <c r="F129" s="137" t="s">
        <v>68</v>
      </c>
      <c r="G129" s="96"/>
      <c r="H129" s="94"/>
      <c r="I129" s="91">
        <f t="shared" si="4"/>
        <v>0</v>
      </c>
      <c r="J129" s="95"/>
      <c r="K129" s="95"/>
      <c r="L129" s="117"/>
      <c r="M129" s="56">
        <v>25</v>
      </c>
    </row>
    <row r="130" spans="1:13" s="51" customFormat="1" ht="25.2" hidden="1" customHeight="1">
      <c r="A130" s="68">
        <f t="shared" si="3"/>
        <v>0</v>
      </c>
      <c r="B130" s="69" t="s">
        <v>121</v>
      </c>
      <c r="C130" s="69"/>
      <c r="D130" s="96"/>
      <c r="E130" s="88">
        <f>VLOOKUP($B130,[1]DG!A:D,[1]DG!$B$2,)</f>
        <v>0</v>
      </c>
      <c r="F130" s="89" t="str">
        <f>VLOOKUP($B130,[1]DG!A:D,[1]DG!$C$2,)</f>
        <v>Đà Composite 110x80x5x800</v>
      </c>
      <c r="G130" s="88" t="str">
        <f>VLOOKUP($B130,[1]DG!A:D,[1]DG!$D$2,)</f>
        <v>cái</v>
      </c>
      <c r="H130" s="94">
        <f>H128</f>
        <v>0</v>
      </c>
      <c r="I130" s="91">
        <f t="shared" si="4"/>
        <v>0</v>
      </c>
      <c r="J130" s="92"/>
      <c r="K130" s="92"/>
      <c r="L130" s="117"/>
      <c r="M130" s="56">
        <v>25</v>
      </c>
    </row>
    <row r="131" spans="1:13" s="51" customFormat="1" ht="25.2" hidden="1" customHeight="1">
      <c r="A131" s="68">
        <f t="shared" si="3"/>
        <v>0</v>
      </c>
      <c r="B131" s="69" t="s">
        <v>122</v>
      </c>
      <c r="C131" s="69"/>
      <c r="D131" s="96"/>
      <c r="E131" s="88">
        <f>VLOOKUP($B131,[1]DG!A:D,[1]DG!$B$2,)</f>
        <v>0</v>
      </c>
      <c r="F131" s="89" t="str">
        <f>VLOOKUP($B131,[1]DG!A:D,[1]DG!$C$2,)</f>
        <v>Thanh chống Composite 10x40x720</v>
      </c>
      <c r="G131" s="88" t="str">
        <f>VLOOKUP($B131,[1]DG!A:D,[1]DG!$D$2,)</f>
        <v>cái</v>
      </c>
      <c r="H131" s="94">
        <f>H130</f>
        <v>0</v>
      </c>
      <c r="I131" s="91">
        <f t="shared" si="4"/>
        <v>0</v>
      </c>
      <c r="J131" s="92"/>
      <c r="K131" s="92"/>
      <c r="L131" s="117"/>
      <c r="M131" s="56">
        <v>25</v>
      </c>
    </row>
    <row r="132" spans="1:13" s="51" customFormat="1" ht="25.2" hidden="1" customHeight="1">
      <c r="A132" s="68">
        <f t="shared" si="3"/>
        <v>0</v>
      </c>
      <c r="B132" s="69" t="s">
        <v>123</v>
      </c>
      <c r="C132" s="69"/>
      <c r="D132" s="96"/>
      <c r="E132" s="88">
        <f>VLOOKUP($B132,[1]DG!A:D,[1]DG!$B$2,)</f>
        <v>0</v>
      </c>
      <c r="F132" s="89" t="str">
        <f>VLOOKUP($B132,[1]DG!A:D,[1]DG!$C$2,)</f>
        <v>Boulon 16x350+ 2 long đền vuông D18-50x50x3/Zn</v>
      </c>
      <c r="G132" s="88" t="str">
        <f>VLOOKUP($B132,[1]DG!A:D,[1]DG!$D$2,)</f>
        <v>bộ</v>
      </c>
      <c r="H132" s="94">
        <f>2*H128</f>
        <v>0</v>
      </c>
      <c r="I132" s="91">
        <f t="shared" si="4"/>
        <v>0</v>
      </c>
      <c r="J132" s="92"/>
      <c r="K132" s="92"/>
      <c r="L132" s="117"/>
      <c r="M132" s="56">
        <v>25</v>
      </c>
    </row>
    <row r="133" spans="1:13" s="51" customFormat="1" ht="25.2" hidden="1" customHeight="1">
      <c r="A133" s="68">
        <f t="shared" si="3"/>
        <v>0</v>
      </c>
      <c r="B133" s="69" t="s">
        <v>124</v>
      </c>
      <c r="C133" s="69"/>
      <c r="D133" s="96"/>
      <c r="E133" s="88">
        <f>VLOOKUP($B133,[1]DG!A:D,[1]DG!$B$2,)</f>
        <v>0</v>
      </c>
      <c r="F133" s="89" t="str">
        <f>VLOOKUP($B133,[1]DG!A:D,[1]DG!$C$2,)</f>
        <v>Boulon 14x150+ 2 long đền vuông D16-50x50x3/Zn</v>
      </c>
      <c r="G133" s="88" t="str">
        <f>VLOOKUP($B133,[1]DG!A:D,[1]DG!$D$2,)</f>
        <v>bộ</v>
      </c>
      <c r="H133" s="94">
        <f>H130</f>
        <v>0</v>
      </c>
      <c r="I133" s="91">
        <f t="shared" si="4"/>
        <v>0</v>
      </c>
      <c r="J133" s="92"/>
      <c r="K133" s="92"/>
      <c r="L133" s="117"/>
      <c r="M133" s="56">
        <v>25</v>
      </c>
    </row>
    <row r="134" spans="1:13" s="51" customFormat="1" ht="25.2" hidden="1" customHeight="1">
      <c r="A134" s="68">
        <f t="shared" si="3"/>
        <v>0</v>
      </c>
      <c r="B134" s="69" t="s">
        <v>125</v>
      </c>
      <c r="C134" s="69"/>
      <c r="D134" s="96"/>
      <c r="E134" s="88">
        <f>VLOOKUP($B134,[1]DG!A:D,[1]DG!$B$2,)</f>
        <v>0</v>
      </c>
      <c r="F134" s="89" t="str">
        <f>VLOOKUP($B134,[1]DG!A:D,[1]DG!$C$2,)</f>
        <v>Bass LL bắt FCO, LA</v>
      </c>
      <c r="G134" s="88" t="str">
        <f>VLOOKUP($B134,[1]DG!A:D,[1]DG!$D$2,)</f>
        <v>bộ</v>
      </c>
      <c r="H134" s="94"/>
      <c r="I134" s="91">
        <f t="shared" si="4"/>
        <v>0</v>
      </c>
      <c r="J134" s="92"/>
      <c r="K134" s="92"/>
      <c r="L134" s="117"/>
      <c r="M134" s="56">
        <v>25</v>
      </c>
    </row>
    <row r="135" spans="1:13" s="51" customFormat="1" ht="25.2" hidden="1" customHeight="1">
      <c r="A135" s="68">
        <f t="shared" si="3"/>
        <v>0</v>
      </c>
      <c r="B135" s="69" t="s">
        <v>126</v>
      </c>
      <c r="C135" s="69"/>
      <c r="D135" s="96"/>
      <c r="E135" s="88" t="str">
        <f>VLOOKUP($B135,[1]DG!A:D,[1]DG!$B$2,)</f>
        <v>05.6401</v>
      </c>
      <c r="F135" s="89" t="str">
        <f>VLOOKUP($B135,[1]DG!A:D,[1]DG!$C$2,)</f>
        <v>Lắp xà đỡ ≤ 25kg</v>
      </c>
      <c r="G135" s="88" t="str">
        <f>VLOOKUP($B135,[1]DG!A:D,[1]DG!$D$2,)</f>
        <v>bộ</v>
      </c>
      <c r="H135" s="94">
        <f>H130</f>
        <v>0</v>
      </c>
      <c r="I135" s="91">
        <f t="shared" si="4"/>
        <v>0</v>
      </c>
      <c r="J135" s="92"/>
      <c r="K135" s="92"/>
      <c r="L135" s="117"/>
      <c r="M135" s="56">
        <v>25</v>
      </c>
    </row>
    <row r="136" spans="1:13" s="51" customFormat="1" ht="25.2" hidden="1" customHeight="1">
      <c r="A136" s="68">
        <f t="shared" si="3"/>
        <v>0</v>
      </c>
      <c r="B136" s="69"/>
      <c r="C136" s="69"/>
      <c r="D136" s="114">
        <f>IF(H136&gt;0,D128+1,D128)</f>
        <v>0</v>
      </c>
      <c r="E136" s="112"/>
      <c r="F136" s="136" t="s">
        <v>80</v>
      </c>
      <c r="G136" s="114" t="s">
        <v>67</v>
      </c>
      <c r="H136" s="110">
        <f>H128</f>
        <v>0</v>
      </c>
      <c r="I136" s="91">
        <f t="shared" si="4"/>
        <v>0</v>
      </c>
      <c r="J136" s="95"/>
      <c r="K136" s="95"/>
      <c r="L136" s="117"/>
      <c r="M136" s="56">
        <v>25</v>
      </c>
    </row>
    <row r="137" spans="1:13" s="51" customFormat="1" ht="25.2" hidden="1" customHeight="1">
      <c r="A137" s="68">
        <f>IF(M137=$M$23,1,0)</f>
        <v>0</v>
      </c>
      <c r="B137" s="69"/>
      <c r="C137" s="69"/>
      <c r="D137" s="96"/>
      <c r="E137" s="116"/>
      <c r="F137" s="137" t="s">
        <v>68</v>
      </c>
      <c r="G137" s="96"/>
      <c r="H137" s="94"/>
      <c r="I137" s="91">
        <f t="shared" si="4"/>
        <v>0</v>
      </c>
      <c r="J137" s="95"/>
      <c r="K137" s="95"/>
      <c r="L137" s="117"/>
      <c r="M137" s="56">
        <v>25</v>
      </c>
    </row>
    <row r="138" spans="1:13" s="51" customFormat="1" ht="25.2" hidden="1" customHeight="1">
      <c r="A138" s="68">
        <f t="shared" si="3"/>
        <v>0</v>
      </c>
      <c r="B138" s="69" t="s">
        <v>127</v>
      </c>
      <c r="C138" s="69"/>
      <c r="D138" s="96"/>
      <c r="E138" s="88">
        <f>VLOOKUP($B138,[1]DG!A:D,[1]DG!$B$2,)</f>
        <v>0</v>
      </c>
      <c r="F138" s="89" t="str">
        <f>VLOOKUP($B138,[1]DG!A:D,[1]DG!$C$2,)&amp;" : "&amp;I3&amp;"m"</f>
        <v>Cáp đồng trần M25mm2 : 46m</v>
      </c>
      <c r="G138" s="88" t="str">
        <f>VLOOKUP($B138,[1]DG!A:D,[1]DG!$D$2,)</f>
        <v>kg</v>
      </c>
      <c r="H138" s="94">
        <v>13</v>
      </c>
      <c r="I138" s="91">
        <f t="shared" si="4"/>
        <v>0</v>
      </c>
      <c r="J138" s="92"/>
      <c r="K138" s="92"/>
      <c r="L138" s="117"/>
      <c r="M138" s="56">
        <v>25</v>
      </c>
    </row>
    <row r="139" spans="1:13" s="51" customFormat="1" ht="25.2" hidden="1" customHeight="1">
      <c r="A139" s="68">
        <f t="shared" si="3"/>
        <v>0</v>
      </c>
      <c r="B139" s="86" t="s">
        <v>82</v>
      </c>
      <c r="C139" s="86"/>
      <c r="D139" s="96"/>
      <c r="E139" s="88">
        <f>VLOOKUP($B139,[1]DG!A:D,[1]DG!$B$2,)</f>
        <v>0</v>
      </c>
      <c r="F139" s="89" t="str">
        <f>VLOOKUP($B139,[1]DG!A:D,[1]DG!$C$2,)</f>
        <v>Cọc tiếp đất Þ 16- 2,4m + kẹp cọc mạ đồng</v>
      </c>
      <c r="G139" s="88" t="str">
        <f>VLOOKUP($B139,[1]DG!A:D,[1]DG!$D$2,)</f>
        <v>bộ</v>
      </c>
      <c r="H139" s="94">
        <f>I2*H136</f>
        <v>0</v>
      </c>
      <c r="I139" s="91">
        <f t="shared" si="4"/>
        <v>0</v>
      </c>
      <c r="J139" s="92"/>
      <c r="K139" s="92"/>
      <c r="L139" s="117"/>
      <c r="M139" s="56">
        <v>25</v>
      </c>
    </row>
    <row r="140" spans="1:13" s="51" customFormat="1" ht="25.2" hidden="1" customHeight="1">
      <c r="A140" s="68">
        <f t="shared" si="3"/>
        <v>0</v>
      </c>
      <c r="B140" s="86" t="s">
        <v>83</v>
      </c>
      <c r="C140" s="86"/>
      <c r="D140" s="96"/>
      <c r="E140" s="88" t="str">
        <f>VLOOKUP($B140,[1]DG!A:D,[1]DG!$B$2,)</f>
        <v>07.2403</v>
      </c>
      <c r="F140" s="89" t="str">
        <f>VLOOKUP($B140,[1]DG!A:D,[1]DG!$C$2,)</f>
        <v xml:space="preserve">Ống PVC D21x1,6mm </v>
      </c>
      <c r="G140" s="88" t="str">
        <f>VLOOKUP($B140,[1]DG!A:D,[1]DG!$D$2,)</f>
        <v>m</v>
      </c>
      <c r="H140" s="94">
        <v>6</v>
      </c>
      <c r="I140" s="91">
        <f t="shared" si="4"/>
        <v>0</v>
      </c>
      <c r="J140" s="92"/>
      <c r="K140" s="92"/>
      <c r="L140" s="117"/>
      <c r="M140" s="56">
        <v>25</v>
      </c>
    </row>
    <row r="141" spans="1:13" s="51" customFormat="1" ht="25.2" hidden="1" customHeight="1">
      <c r="A141" s="68">
        <f t="shared" si="3"/>
        <v>0</v>
      </c>
      <c r="B141" s="69" t="s">
        <v>128</v>
      </c>
      <c r="C141" s="69"/>
      <c r="D141" s="96"/>
      <c r="E141" s="88">
        <f>VLOOKUP($B141,[1]DG!A:D,[1]DG!$B$2,)</f>
        <v>0</v>
      </c>
      <c r="F141" s="89" t="str">
        <f>VLOOKUP($B141,[1]DG!A:D,[1]DG!$C$2,)</f>
        <v>Kẹp ép WR cỡ dây 120mm2</v>
      </c>
      <c r="G141" s="88" t="str">
        <f>VLOOKUP($B141,[1]DG!A:D,[1]DG!$D$2,)</f>
        <v>cái</v>
      </c>
      <c r="H141" s="94">
        <f>2*H136</f>
        <v>0</v>
      </c>
      <c r="I141" s="91">
        <f t="shared" si="4"/>
        <v>0</v>
      </c>
      <c r="J141" s="92"/>
      <c r="K141" s="92"/>
      <c r="L141" s="117"/>
      <c r="M141" s="56">
        <v>25</v>
      </c>
    </row>
    <row r="142" spans="1:13" s="51" customFormat="1" ht="25.2" hidden="1" customHeight="1">
      <c r="A142" s="68">
        <f t="shared" si="3"/>
        <v>0</v>
      </c>
      <c r="B142" s="69" t="s">
        <v>107</v>
      </c>
      <c r="C142" s="69"/>
      <c r="D142" s="96"/>
      <c r="E142" s="88" t="str">
        <f>VLOOKUP($B142,[1]DG!A:D,[1]DG!$B$2,)</f>
        <v>03.4001</v>
      </c>
      <c r="F142" s="89" t="str">
        <f>VLOOKUP($B142,[1]DG!A:D,[1]DG!$C$2,)</f>
        <v>Đầu cosse ép Cu 25mm2</v>
      </c>
      <c r="G142" s="88" t="str">
        <f>VLOOKUP($B142,[1]DG!A:D,[1]DG!$D$2,)</f>
        <v>cái</v>
      </c>
      <c r="H142" s="94">
        <f>H136*2</f>
        <v>0</v>
      </c>
      <c r="I142" s="91">
        <f t="shared" si="4"/>
        <v>0</v>
      </c>
      <c r="J142" s="92"/>
      <c r="K142" s="92"/>
      <c r="L142" s="117"/>
      <c r="M142" s="56">
        <v>25</v>
      </c>
    </row>
    <row r="143" spans="1:13" s="51" customFormat="1" ht="25.2" hidden="1" customHeight="1">
      <c r="A143" s="68">
        <f t="shared" si="3"/>
        <v>0</v>
      </c>
      <c r="B143" s="69" t="s">
        <v>88</v>
      </c>
      <c r="C143" s="69"/>
      <c r="D143" s="96"/>
      <c r="E143" s="88">
        <f>VLOOKUP($B143,[1]DG!A:D,[1]DG!$B$2,)</f>
        <v>0</v>
      </c>
      <c r="F143" s="89" t="str">
        <f>VLOOKUP($B143,[1]DG!A:D,[1]DG!$C$2,)</f>
        <v>Boulon 12x40+ 2 long đền vuông D14-50x50x3/Zn</v>
      </c>
      <c r="G143" s="88" t="str">
        <f>VLOOKUP($B143,[1]DG!A:D,[1]DG!$D$2,)</f>
        <v>bộ</v>
      </c>
      <c r="H143" s="94">
        <f>H142/2*0</f>
        <v>0</v>
      </c>
      <c r="I143" s="91">
        <f t="shared" si="4"/>
        <v>0</v>
      </c>
      <c r="J143" s="92"/>
      <c r="K143" s="92"/>
      <c r="L143" s="117"/>
      <c r="M143" s="56">
        <v>25</v>
      </c>
    </row>
    <row r="144" spans="1:13" s="51" customFormat="1" ht="25.2" hidden="1" customHeight="1">
      <c r="A144" s="68">
        <f t="shared" si="3"/>
        <v>0</v>
      </c>
      <c r="B144" s="69" t="s">
        <v>85</v>
      </c>
      <c r="C144" s="69"/>
      <c r="D144" s="96"/>
      <c r="E144" s="88">
        <f>VLOOKUP($B144,[1]DG!A:D,[1]DG!$B$2,)</f>
        <v>0</v>
      </c>
      <c r="F144" s="89" t="str">
        <f>VLOOKUP($B144,[1]DG!A:D,[1]DG!$C$2,)</f>
        <v>Kẹp ép cỡ dây 25mm2</v>
      </c>
      <c r="G144" s="88" t="str">
        <f>VLOOKUP($B144,[1]DG!A:D,[1]DG!$D$2,)</f>
        <v>cái</v>
      </c>
      <c r="H144" s="94">
        <v>11</v>
      </c>
      <c r="I144" s="91">
        <f t="shared" si="4"/>
        <v>0</v>
      </c>
      <c r="J144" s="92"/>
      <c r="K144" s="92"/>
      <c r="L144" s="117"/>
      <c r="M144" s="56">
        <v>25</v>
      </c>
    </row>
    <row r="145" spans="1:13" s="51" customFormat="1" ht="25.2" hidden="1" customHeight="1">
      <c r="A145" s="68">
        <f t="shared" si="3"/>
        <v>0</v>
      </c>
      <c r="B145" s="86" t="s">
        <v>86</v>
      </c>
      <c r="C145" s="86"/>
      <c r="D145" s="96"/>
      <c r="E145" s="88" t="str">
        <f>VLOOKUP($B145,[1]DG!A:D,[1]DG!$B$2,)</f>
        <v>06.3231</v>
      </c>
      <c r="F145" s="89" t="str">
        <f>VLOOKUP($B145,[1]DG!A:D,[1]DG!$C$2,)&amp;": CD 90-250"</f>
        <v>Cổ dê kẹp ống PVC  21: CD 90-250</v>
      </c>
      <c r="G145" s="88" t="str">
        <f>VLOOKUP($B145,[1]DG!A:D,[1]DG!$D$2,)</f>
        <v>bộ</v>
      </c>
      <c r="H145" s="94">
        <v>4</v>
      </c>
      <c r="I145" s="91">
        <f t="shared" si="4"/>
        <v>0</v>
      </c>
      <c r="J145" s="92"/>
      <c r="K145" s="92"/>
      <c r="L145" s="117"/>
      <c r="M145" s="56">
        <v>25</v>
      </c>
    </row>
    <row r="146" spans="1:13" s="51" customFormat="1" ht="25.2" hidden="1" customHeight="1">
      <c r="A146" s="68">
        <f t="shared" si="3"/>
        <v>0</v>
      </c>
      <c r="B146" s="86" t="s">
        <v>86</v>
      </c>
      <c r="C146" s="86"/>
      <c r="D146" s="96"/>
      <c r="E146" s="88" t="str">
        <f>VLOOKUP($B146,[1]DG!A:D,[1]DG!$B$2,)</f>
        <v>06.3231</v>
      </c>
      <c r="F146" s="89" t="str">
        <f>VLOOKUP($B146,[1]DG!A:D,[1]DG!$C$2,)&amp;": CD 90-280"</f>
        <v>Cổ dê kẹp ống PVC  21: CD 90-280</v>
      </c>
      <c r="G146" s="88" t="str">
        <f>VLOOKUP($B146,[1]DG!A:D,[1]DG!$D$2,)</f>
        <v>bộ</v>
      </c>
      <c r="H146" s="94">
        <f>H136*0.452*0</f>
        <v>0</v>
      </c>
      <c r="I146" s="91">
        <f t="shared" si="4"/>
        <v>0</v>
      </c>
      <c r="J146" s="92"/>
      <c r="K146" s="92"/>
      <c r="L146" s="117"/>
      <c r="M146" s="56">
        <v>25</v>
      </c>
    </row>
    <row r="147" spans="1:13" s="51" customFormat="1" ht="25.2" hidden="1" customHeight="1">
      <c r="A147" s="68">
        <f t="shared" si="3"/>
        <v>0</v>
      </c>
      <c r="B147" s="86" t="s">
        <v>86</v>
      </c>
      <c r="C147" s="86"/>
      <c r="D147" s="96"/>
      <c r="E147" s="88" t="str">
        <f>VLOOKUP($B147,[1]DG!A:D,[1]DG!$B$2,)</f>
        <v>06.3231</v>
      </c>
      <c r="F147" s="89" t="str">
        <f>VLOOKUP($B147,[1]DG!A:D,[1]DG!$C$2,)&amp;": CD 90-320"</f>
        <v>Cổ dê kẹp ống PVC  21: CD 90-320</v>
      </c>
      <c r="G147" s="88" t="str">
        <f>VLOOKUP($B147,[1]DG!A:D,[1]DG!$D$2,)</f>
        <v>bộ</v>
      </c>
      <c r="H147" s="94">
        <f>H136*0.501*0</f>
        <v>0</v>
      </c>
      <c r="I147" s="91">
        <f t="shared" si="4"/>
        <v>0</v>
      </c>
      <c r="J147" s="92"/>
      <c r="K147" s="92"/>
      <c r="L147" s="117"/>
      <c r="M147" s="56">
        <v>25</v>
      </c>
    </row>
    <row r="148" spans="1:13" s="51" customFormat="1" ht="25.2" hidden="1" customHeight="1">
      <c r="A148" s="68">
        <f t="shared" si="3"/>
        <v>0</v>
      </c>
      <c r="B148" s="86" t="s">
        <v>129</v>
      </c>
      <c r="C148" s="86"/>
      <c r="D148" s="96"/>
      <c r="E148" s="88" t="str">
        <f>VLOOKUP($B148,[1]DG!A:D,[1]DG!$B$2,)</f>
        <v>06.2110</v>
      </c>
      <c r="F148" s="89" t="str">
        <f>VLOOKUP($B148,[1]DG!A:D,[1]DG!$C$2,)&amp;": CD 90-320"</f>
        <v>Lắp cổ dề: CD 90-320</v>
      </c>
      <c r="G148" s="88" t="str">
        <f>VLOOKUP($B148,[1]DG!A:D,[1]DG!$D$2,)</f>
        <v>bộ</v>
      </c>
      <c r="H148" s="94">
        <f>H136*3*0</f>
        <v>0</v>
      </c>
      <c r="I148" s="91">
        <f t="shared" si="4"/>
        <v>0</v>
      </c>
      <c r="J148" s="92"/>
      <c r="K148" s="92"/>
      <c r="L148" s="117"/>
      <c r="M148" s="56">
        <v>25</v>
      </c>
    </row>
    <row r="149" spans="1:13" s="51" customFormat="1" ht="25.2" hidden="1" customHeight="1">
      <c r="A149" s="68">
        <f t="shared" si="3"/>
        <v>0</v>
      </c>
      <c r="B149" s="86" t="s">
        <v>88</v>
      </c>
      <c r="C149" s="86"/>
      <c r="D149" s="96"/>
      <c r="E149" s="88">
        <f>VLOOKUP($B149,[1]DG!A:D,[1]DG!$B$2,)</f>
        <v>0</v>
      </c>
      <c r="F149" s="89" t="str">
        <f>VLOOKUP($B149,[1]DG!A:D,[1]DG!$C$2,)</f>
        <v>Boulon 12x40+ 2 long đền vuông D14-50x50x3/Zn</v>
      </c>
      <c r="G149" s="88" t="str">
        <f>VLOOKUP($B149,[1]DG!A:D,[1]DG!$D$2,)</f>
        <v>bộ</v>
      </c>
      <c r="H149" s="94">
        <f>H136*6*0</f>
        <v>0</v>
      </c>
      <c r="I149" s="91">
        <f t="shared" si="4"/>
        <v>0</v>
      </c>
      <c r="J149" s="92"/>
      <c r="K149" s="92"/>
      <c r="L149" s="117"/>
      <c r="M149" s="56">
        <v>25</v>
      </c>
    </row>
    <row r="150" spans="1:13" s="51" customFormat="1" ht="25.2" hidden="1" customHeight="1">
      <c r="A150" s="68">
        <f t="shared" si="3"/>
        <v>0</v>
      </c>
      <c r="B150" s="86" t="s">
        <v>89</v>
      </c>
      <c r="C150" s="86"/>
      <c r="D150" s="96"/>
      <c r="E150" s="88" t="str">
        <f>VLOOKUP($B150,[1]DG!A:D,[1]DG!$B$2,)</f>
        <v>04.7001</v>
      </c>
      <c r="F150" s="89" t="str">
        <f>VLOOKUP($B150,[1]DG!A:D,[1]DG!$C$2,)</f>
        <v>Đóng cọc tiếp địa trong TBA</v>
      </c>
      <c r="G150" s="88" t="str">
        <f>VLOOKUP($B150,[1]DG!A:D,[1]DG!$D$2,)</f>
        <v>cọc</v>
      </c>
      <c r="H150" s="94">
        <f>H139</f>
        <v>0</v>
      </c>
      <c r="I150" s="91">
        <f t="shared" si="4"/>
        <v>0</v>
      </c>
      <c r="J150" s="92"/>
      <c r="K150" s="92"/>
      <c r="L150" s="117"/>
      <c r="M150" s="56">
        <v>25</v>
      </c>
    </row>
    <row r="151" spans="1:13" s="51" customFormat="1" ht="25.2" hidden="1" customHeight="1">
      <c r="A151" s="68">
        <f t="shared" si="3"/>
        <v>0</v>
      </c>
      <c r="B151" s="86" t="s">
        <v>90</v>
      </c>
      <c r="C151" s="86"/>
      <c r="D151" s="96"/>
      <c r="E151" s="88" t="str">
        <f>VLOOKUP($B151,[1]DG!A:D,[1]DG!$B$2,)</f>
        <v>04.7002</v>
      </c>
      <c r="F151" s="89" t="str">
        <f>VLOOKUP($B151,[1]DG!A:D,[1]DG!$C$2,)</f>
        <v>Kéo dây tiếp địa trong TBA</v>
      </c>
      <c r="G151" s="88" t="str">
        <f>VLOOKUP($B151,[1]DG!A:D,[1]DG!$D$2,)</f>
        <v>mét</v>
      </c>
      <c r="H151" s="94">
        <v>58</v>
      </c>
      <c r="I151" s="91">
        <f t="shared" si="4"/>
        <v>0</v>
      </c>
      <c r="J151" s="92"/>
      <c r="K151" s="92"/>
      <c r="L151" s="117"/>
      <c r="M151" s="56">
        <v>25</v>
      </c>
    </row>
    <row r="152" spans="1:13" s="51" customFormat="1" ht="25.2" hidden="1" customHeight="1">
      <c r="A152" s="68">
        <f t="shared" si="3"/>
        <v>0</v>
      </c>
      <c r="B152" s="69" t="str">
        <f>"dtd"&amp;chitiet!G5</f>
        <v>dtd3</v>
      </c>
      <c r="C152" s="69"/>
      <c r="D152" s="96"/>
      <c r="E152" s="88" t="str">
        <f>VLOOKUP($B152,[1]DG!A:D,[1]DG!$B$2,)</f>
        <v>03.3123</v>
      </c>
      <c r="F152" s="89" t="str">
        <f>VLOOKUP($B152,[1]DG!A:D,[1]DG!$C$2,)</f>
        <v>Đào rãnh tiếp địa đất cấp 3</v>
      </c>
      <c r="G152" s="88" t="str">
        <f>VLOOKUP($B152,[1]DG!A:D,[1]DG!$D$2,)</f>
        <v>m3</v>
      </c>
      <c r="H152" s="94">
        <v>8.64</v>
      </c>
      <c r="I152" s="91">
        <f t="shared" si="4"/>
        <v>0</v>
      </c>
      <c r="J152" s="92"/>
      <c r="K152" s="92"/>
      <c r="L152" s="117"/>
      <c r="M152" s="56">
        <v>25</v>
      </c>
    </row>
    <row r="153" spans="1:13" s="51" customFormat="1" ht="25.2" hidden="1" customHeight="1">
      <c r="A153" s="68">
        <f t="shared" si="3"/>
        <v>0</v>
      </c>
      <c r="B153" s="86" t="str">
        <f>"datd"&amp;chitiet!G5</f>
        <v>datd3</v>
      </c>
      <c r="C153" s="86"/>
      <c r="D153" s="96"/>
      <c r="E153" s="88" t="str">
        <f>VLOOKUP($B153,[1]DG!A:D,[1]DG!$B$2,)</f>
        <v>03.4123</v>
      </c>
      <c r="F153" s="89" t="str">
        <f>VLOOKUP($B153,[1]DG!A:D,[1]DG!$C$2,)</f>
        <v>Đắp đất rãnh tiếp độ chặt k=0,85</v>
      </c>
      <c r="G153" s="88" t="str">
        <f>VLOOKUP($B153,[1]DG!A:D,[1]DG!$D$2,)</f>
        <v>m3</v>
      </c>
      <c r="H153" s="94">
        <f>H152</f>
        <v>8.64</v>
      </c>
      <c r="I153" s="91">
        <f t="shared" si="4"/>
        <v>0</v>
      </c>
      <c r="J153" s="92"/>
      <c r="K153" s="92"/>
      <c r="L153" s="117"/>
      <c r="M153" s="56">
        <v>25</v>
      </c>
    </row>
    <row r="154" spans="1:13" s="51" customFormat="1" ht="25.2" hidden="1" customHeight="1">
      <c r="A154" s="68">
        <f>IF(I154&gt;0,1,0)</f>
        <v>0</v>
      </c>
      <c r="B154" s="69"/>
      <c r="C154" s="69"/>
      <c r="D154" s="114">
        <f>IF(H154&gt;0,D136+1,D136)</f>
        <v>0</v>
      </c>
      <c r="E154" s="112"/>
      <c r="F154" s="113" t="s">
        <v>130</v>
      </c>
      <c r="G154" s="114" t="s">
        <v>67</v>
      </c>
      <c r="H154" s="110">
        <f>H128</f>
        <v>0</v>
      </c>
      <c r="I154" s="91">
        <f t="shared" si="4"/>
        <v>0</v>
      </c>
      <c r="J154" s="95"/>
      <c r="K154" s="95"/>
      <c r="L154" s="117"/>
      <c r="M154" s="56">
        <v>25</v>
      </c>
    </row>
    <row r="155" spans="1:13" s="51" customFormat="1" ht="25.2" hidden="1" customHeight="1">
      <c r="A155" s="68">
        <f>IF(M155=$M$23,1,0)</f>
        <v>0</v>
      </c>
      <c r="B155" s="69"/>
      <c r="C155" s="69"/>
      <c r="D155" s="114"/>
      <c r="E155" s="112"/>
      <c r="F155" s="137" t="s">
        <v>68</v>
      </c>
      <c r="G155" s="96"/>
      <c r="H155" s="94"/>
      <c r="I155" s="91">
        <f t="shared" si="4"/>
        <v>0</v>
      </c>
      <c r="J155" s="95"/>
      <c r="K155" s="95"/>
      <c r="L155" s="117"/>
      <c r="M155" s="56">
        <v>25</v>
      </c>
    </row>
    <row r="156" spans="1:13" s="51" customFormat="1" ht="25.2" hidden="1" customHeight="1">
      <c r="A156" s="68">
        <f t="shared" ref="A156:A220" si="6">IF(I156&gt;0,1,0)</f>
        <v>0</v>
      </c>
      <c r="B156" s="86" t="s">
        <v>94</v>
      </c>
      <c r="C156" s="86"/>
      <c r="D156" s="96"/>
      <c r="E156" s="88" t="str">
        <f>VLOOKUP($B156,[1]DG!A:D,[1]DG!$B$2,)</f>
        <v>05.1001</v>
      </c>
      <c r="F156" s="89" t="str">
        <f>VLOOKUP($B156,[1]DG!A:D,[1]DG!$C$2,)</f>
        <v>Tủ CB trạm 1 pha + khóa + boulon</v>
      </c>
      <c r="G156" s="88" t="str">
        <f>VLOOKUP($B156,[1]DG!A:D,[1]DG!$D$2,)</f>
        <v>cái</v>
      </c>
      <c r="H156" s="94">
        <f>H154</f>
        <v>0</v>
      </c>
      <c r="I156" s="91">
        <f t="shared" si="4"/>
        <v>0</v>
      </c>
      <c r="J156" s="92"/>
      <c r="K156" s="92"/>
      <c r="L156" s="117"/>
      <c r="M156" s="56">
        <v>25</v>
      </c>
    </row>
    <row r="157" spans="1:13" s="51" customFormat="1" ht="25.2" hidden="1" customHeight="1">
      <c r="A157" s="68">
        <f t="shared" si="6"/>
        <v>0</v>
      </c>
      <c r="B157" s="69" t="s">
        <v>95</v>
      </c>
      <c r="C157" s="69"/>
      <c r="D157" s="96"/>
      <c r="E157" s="88" t="str">
        <f>VLOOKUP($B157,[1]DG!A:D,[1]DG!$B$2,)</f>
        <v>06.3231</v>
      </c>
      <c r="F157" s="89" t="str">
        <f>VLOOKUP($B157,[1]DG!A:D,[1]DG!$C$2,)</f>
        <v>Cổ dê bắt tủ</v>
      </c>
      <c r="G157" s="88" t="str">
        <f>VLOOKUP($B157,[1]DG!A:D,[1]DG!$D$2,)</f>
        <v>bộ</v>
      </c>
      <c r="H157" s="94">
        <f>H154*2</f>
        <v>0</v>
      </c>
      <c r="I157" s="91">
        <f t="shared" ref="I157:I224" si="7">IF(M157=$M$23,H157+J157-K157,0)</f>
        <v>0</v>
      </c>
      <c r="J157" s="92"/>
      <c r="K157" s="92"/>
      <c r="L157" s="117"/>
      <c r="M157" s="56">
        <v>25</v>
      </c>
    </row>
    <row r="158" spans="1:13" s="51" customFormat="1" ht="25.2" hidden="1" customHeight="1">
      <c r="A158" s="68">
        <f t="shared" si="6"/>
        <v>0</v>
      </c>
      <c r="B158" s="69" t="s">
        <v>96</v>
      </c>
      <c r="C158" s="69"/>
      <c r="D158" s="96"/>
      <c r="E158" s="88">
        <f>VLOOKUP($B158,[1]DG!A:D,[1]DG!$B$2,)</f>
        <v>0</v>
      </c>
      <c r="F158" s="89" t="str">
        <f>VLOOKUP($B158,[1]DG!A:D,[1]DG!$C$2,)</f>
        <v xml:space="preserve">Bakelit 550x450 dầy 10mm </v>
      </c>
      <c r="G158" s="88" t="str">
        <f>VLOOKUP($B158,[1]DG!A:D,[1]DG!$D$2,)</f>
        <v>cái</v>
      </c>
      <c r="H158" s="94">
        <v>2</v>
      </c>
      <c r="I158" s="91">
        <f t="shared" si="7"/>
        <v>0</v>
      </c>
      <c r="J158" s="92"/>
      <c r="K158" s="92">
        <v>1</v>
      </c>
      <c r="L158" s="117"/>
      <c r="M158" s="56">
        <v>25</v>
      </c>
    </row>
    <row r="159" spans="1:13" s="51" customFormat="1" ht="25.2" hidden="1" customHeight="1">
      <c r="A159" s="68">
        <f t="shared" si="6"/>
        <v>0</v>
      </c>
      <c r="B159" s="69" t="s">
        <v>131</v>
      </c>
      <c r="C159" s="69"/>
      <c r="D159" s="96"/>
      <c r="E159" s="88">
        <f>VLOOKUP($B159,[1]DG!A:D,[1]DG!$B$2,)</f>
        <v>0</v>
      </c>
      <c r="F159" s="89" t="str">
        <f>VLOOKUP($B159,[1]DG!A:D,[1]DG!$C$2,)</f>
        <v>Boulon 12x40+ 2 long đền vuông D14-50x50x3/Zn</v>
      </c>
      <c r="G159" s="88" t="str">
        <f>VLOOKUP($B159,[1]DG!A:D,[1]DG!$D$2,)</f>
        <v>bộ</v>
      </c>
      <c r="H159" s="94">
        <f>H154*4*0</f>
        <v>0</v>
      </c>
      <c r="I159" s="91">
        <f t="shared" si="7"/>
        <v>0</v>
      </c>
      <c r="J159" s="92"/>
      <c r="K159" s="92"/>
      <c r="L159" s="117"/>
      <c r="M159" s="56">
        <v>25</v>
      </c>
    </row>
    <row r="160" spans="1:13" s="51" customFormat="1" ht="25.2" hidden="1" customHeight="1">
      <c r="A160" s="68">
        <f t="shared" si="6"/>
        <v>0</v>
      </c>
      <c r="B160" s="69"/>
      <c r="C160" s="69"/>
      <c r="D160" s="114">
        <f>IF(H160&gt;0,D154+1,D154)</f>
        <v>0</v>
      </c>
      <c r="E160" s="112"/>
      <c r="F160" s="136" t="s">
        <v>132</v>
      </c>
      <c r="G160" s="114" t="s">
        <v>67</v>
      </c>
      <c r="H160" s="110">
        <f>I7</f>
        <v>0</v>
      </c>
      <c r="I160" s="91">
        <f t="shared" si="7"/>
        <v>0</v>
      </c>
      <c r="J160" s="95"/>
      <c r="K160" s="95"/>
      <c r="L160" s="117"/>
      <c r="M160" s="56">
        <v>25</v>
      </c>
    </row>
    <row r="161" spans="1:13" s="51" customFormat="1" ht="25.2" hidden="1" customHeight="1">
      <c r="A161" s="68">
        <f>IF(M161=$M$23,1,0)</f>
        <v>0</v>
      </c>
      <c r="B161" s="69"/>
      <c r="C161" s="69"/>
      <c r="D161" s="114"/>
      <c r="E161" s="112"/>
      <c r="F161" s="137" t="s">
        <v>68</v>
      </c>
      <c r="G161" s="96"/>
      <c r="H161" s="94"/>
      <c r="I161" s="91">
        <f t="shared" si="7"/>
        <v>0</v>
      </c>
      <c r="J161" s="95"/>
      <c r="K161" s="95"/>
      <c r="L161" s="117"/>
      <c r="M161" s="56">
        <v>25</v>
      </c>
    </row>
    <row r="162" spans="1:13" s="51" customFormat="1" ht="25.2" hidden="1" customHeight="1">
      <c r="A162" s="68">
        <f t="shared" si="6"/>
        <v>0</v>
      </c>
      <c r="B162" s="98" t="s">
        <v>133</v>
      </c>
      <c r="C162" s="98"/>
      <c r="D162" s="96"/>
      <c r="E162" s="88">
        <f>VLOOKUP($B162,[1]DG!A:D,[1]DG!$B$2,)</f>
        <v>0</v>
      </c>
      <c r="F162" s="89" t="str">
        <f>VLOOKUP($B162,[1]DG!A:D,[1]DG!$C$2,)</f>
        <v>Cáp 24KV CX-25mm2</v>
      </c>
      <c r="G162" s="88" t="str">
        <f>VLOOKUP($B162,[1]DG!A:D,[1]DG!$D$2,)</f>
        <v>mét</v>
      </c>
      <c r="H162" s="94">
        <v>4</v>
      </c>
      <c r="I162" s="91">
        <f t="shared" si="7"/>
        <v>0</v>
      </c>
      <c r="J162" s="92"/>
      <c r="K162" s="92"/>
      <c r="L162" s="117"/>
      <c r="M162" s="56">
        <v>25</v>
      </c>
    </row>
    <row r="163" spans="1:13" s="51" customFormat="1" ht="25.2" hidden="1" customHeight="1">
      <c r="A163" s="68">
        <f t="shared" si="6"/>
        <v>0</v>
      </c>
      <c r="B163" s="86" t="s">
        <v>99</v>
      </c>
      <c r="C163" s="86"/>
      <c r="D163" s="96"/>
      <c r="E163" s="88" t="str">
        <f>VLOOKUP($B163,[1]DG!A:D,[1]DG!$B$2,)</f>
        <v>04.3007</v>
      </c>
      <c r="F163" s="89" t="str">
        <f>VLOOKUP($B163,[1]DG!A:D,[1]DG!$C$2,)</f>
        <v>Kẹp quai 2/0</v>
      </c>
      <c r="G163" s="88" t="str">
        <f>VLOOKUP($B163,[1]DG!A:D,[1]DG!$D$2,)</f>
        <v>cái</v>
      </c>
      <c r="H163" s="94">
        <f>H160</f>
        <v>0</v>
      </c>
      <c r="I163" s="91">
        <f t="shared" si="7"/>
        <v>0</v>
      </c>
      <c r="J163" s="92"/>
      <c r="K163" s="92"/>
      <c r="L163" s="117"/>
      <c r="M163" s="56">
        <v>25</v>
      </c>
    </row>
    <row r="164" spans="1:13" s="51" customFormat="1" ht="25.2" hidden="1" customHeight="1">
      <c r="A164" s="68">
        <f t="shared" si="6"/>
        <v>0</v>
      </c>
      <c r="B164" s="86" t="s">
        <v>100</v>
      </c>
      <c r="C164" s="86"/>
      <c r="D164" s="96"/>
      <c r="E164" s="88" t="str">
        <f>VLOOKUP($B164,[1]DG!A:D,[1]DG!$B$2,)</f>
        <v>04.3007</v>
      </c>
      <c r="F164" s="89" t="str">
        <f>VLOOKUP($B164,[1]DG!A:D,[1]DG!$C$2,)</f>
        <v>Kẹp hotline 2/0</v>
      </c>
      <c r="G164" s="88" t="str">
        <f>VLOOKUP($B164,[1]DG!A:D,[1]DG!$D$2,)</f>
        <v>cái</v>
      </c>
      <c r="H164" s="94">
        <f t="shared" ref="H164" si="8">H156</f>
        <v>0</v>
      </c>
      <c r="I164" s="91">
        <f t="shared" si="7"/>
        <v>0</v>
      </c>
      <c r="J164" s="92"/>
      <c r="K164" s="92"/>
      <c r="L164" s="117"/>
      <c r="M164" s="56">
        <v>25</v>
      </c>
    </row>
    <row r="165" spans="1:13" s="51" customFormat="1" ht="25.2" hidden="1" customHeight="1">
      <c r="A165" s="68">
        <f t="shared" si="6"/>
        <v>0</v>
      </c>
      <c r="B165" s="86" t="s">
        <v>134</v>
      </c>
      <c r="C165" s="86"/>
      <c r="D165" s="96"/>
      <c r="E165" s="88">
        <f>VLOOKUP($B165,[1]DG!A:D,[1]DG!$B$2,)</f>
        <v>0</v>
      </c>
      <c r="F165" s="89" t="str">
        <f>VLOOKUP($B165,[1]DG!A:D,[1]DG!$C$2,)</f>
        <v>Chụp cách điện kẹp quai</v>
      </c>
      <c r="G165" s="88" t="str">
        <f>VLOOKUP($B165,[1]DG!A:D,[1]DG!$D$2,)</f>
        <v>cái</v>
      </c>
      <c r="H165" s="94">
        <f>H160</f>
        <v>0</v>
      </c>
      <c r="I165" s="91">
        <f t="shared" si="7"/>
        <v>0</v>
      </c>
      <c r="J165" s="92"/>
      <c r="K165" s="92"/>
      <c r="L165" s="117"/>
      <c r="M165" s="56">
        <v>25</v>
      </c>
    </row>
    <row r="166" spans="1:13" s="51" customFormat="1" ht="25.2" hidden="1" customHeight="1">
      <c r="A166" s="68">
        <f t="shared" si="6"/>
        <v>0</v>
      </c>
      <c r="B166" s="86" t="s">
        <v>135</v>
      </c>
      <c r="C166" s="86"/>
      <c r="D166" s="96"/>
      <c r="E166" s="88">
        <f>VLOOKUP($B166,[1]DG!A:D,[1]DG!$B$2,)</f>
        <v>0</v>
      </c>
      <c r="F166" s="89" t="str">
        <f>VLOOKUP($B166,[1]DG!A:D,[1]DG!$C$2,)</f>
        <v>Chụp đầu cực FCO (bộ 2 cái)</v>
      </c>
      <c r="G166" s="88" t="str">
        <f>VLOOKUP($B166,[1]DG!A:D,[1]DG!$D$2,)</f>
        <v>bộ</v>
      </c>
      <c r="H166" s="94">
        <f>H163</f>
        <v>0</v>
      </c>
      <c r="I166" s="91">
        <f t="shared" si="7"/>
        <v>0</v>
      </c>
      <c r="J166" s="92"/>
      <c r="K166" s="92"/>
      <c r="L166" s="117"/>
      <c r="M166" s="56">
        <v>25</v>
      </c>
    </row>
    <row r="167" spans="1:13" s="51" customFormat="1" ht="25.2" hidden="1" customHeight="1">
      <c r="A167" s="68">
        <f t="shared" si="6"/>
        <v>0</v>
      </c>
      <c r="B167" s="86" t="s">
        <v>136</v>
      </c>
      <c r="C167" s="86"/>
      <c r="D167" s="96"/>
      <c r="E167" s="88">
        <f>VLOOKUP($B167,[1]DG!A:D,[1]DG!$B$2,)</f>
        <v>0</v>
      </c>
      <c r="F167" s="89" t="str">
        <f>VLOOKUP($B167,[1]DG!A:D,[1]DG!$C$2,)</f>
        <v>Chụp đầu cực LA</v>
      </c>
      <c r="G167" s="88" t="str">
        <f>VLOOKUP($B167,[1]DG!A:D,[1]DG!$D$2,)</f>
        <v>cái</v>
      </c>
      <c r="H167" s="94">
        <v>1</v>
      </c>
      <c r="I167" s="91">
        <f t="shared" si="7"/>
        <v>0</v>
      </c>
      <c r="J167" s="92"/>
      <c r="K167" s="92"/>
      <c r="L167" s="117"/>
      <c r="M167" s="56">
        <v>25</v>
      </c>
    </row>
    <row r="168" spans="1:13" s="51" customFormat="1" ht="25.2" hidden="1" customHeight="1">
      <c r="A168" s="68">
        <f t="shared" si="6"/>
        <v>0</v>
      </c>
      <c r="B168" s="86" t="s">
        <v>137</v>
      </c>
      <c r="C168" s="86"/>
      <c r="D168" s="96"/>
      <c r="E168" s="88">
        <f>VLOOKUP($B168,[1]DG!A:D,[1]DG!$B$2,)</f>
        <v>0</v>
      </c>
      <c r="F168" s="89" t="str">
        <f>VLOOKUP($B168,[1]DG!A:D,[1]DG!$C$2,)</f>
        <v>Chụp đầu MBA</v>
      </c>
      <c r="G168" s="88" t="str">
        <f>VLOOKUP($B168,[1]DG!A:D,[1]DG!$D$2,)</f>
        <v>cái</v>
      </c>
      <c r="H168" s="94">
        <f>H160</f>
        <v>0</v>
      </c>
      <c r="I168" s="91">
        <f t="shared" si="7"/>
        <v>0</v>
      </c>
      <c r="J168" s="92"/>
      <c r="K168" s="92"/>
      <c r="L168" s="117"/>
      <c r="M168" s="56">
        <v>25</v>
      </c>
    </row>
    <row r="169" spans="1:13" s="51" customFormat="1" ht="25.2" hidden="1" customHeight="1">
      <c r="A169" s="68">
        <f t="shared" si="6"/>
        <v>0</v>
      </c>
      <c r="B169" s="86" t="s">
        <v>138</v>
      </c>
      <c r="C169" s="86"/>
      <c r="D169" s="96"/>
      <c r="E169" s="88">
        <f>VLOOKUP($B169,[1]DG!A:D,[1]DG!$B$2,)</f>
        <v>0</v>
      </c>
      <c r="F169" s="89" t="str">
        <f>VLOOKUP($B169,[1]DG!A:D,[1]DG!$C$2,)</f>
        <v xml:space="preserve">Sứ đứng 24KV </v>
      </c>
      <c r="G169" s="88" t="str">
        <f>VLOOKUP($B169,[1]DG!A:D,[1]DG!$D$2,)</f>
        <v>cái</v>
      </c>
      <c r="H169" s="94"/>
      <c r="I169" s="91">
        <f t="shared" si="7"/>
        <v>0</v>
      </c>
      <c r="J169" s="92"/>
      <c r="K169" s="92"/>
      <c r="L169" s="117"/>
      <c r="M169" s="56">
        <v>25</v>
      </c>
    </row>
    <row r="170" spans="1:13" s="51" customFormat="1" ht="25.2" hidden="1" customHeight="1">
      <c r="A170" s="68">
        <f t="shared" si="6"/>
        <v>0</v>
      </c>
      <c r="B170" s="86" t="s">
        <v>139</v>
      </c>
      <c r="C170" s="86"/>
      <c r="D170" s="96"/>
      <c r="E170" s="88">
        <f>VLOOKUP($B170,[1]DG!A:D,[1]DG!$B$2,)</f>
        <v>0</v>
      </c>
      <c r="F170" s="89" t="str">
        <f>VLOOKUP($B170,[1]DG!A:D,[1]DG!$C$2,)</f>
        <v>Chân sứ đứng D20</v>
      </c>
      <c r="G170" s="88" t="str">
        <f>VLOOKUP($B170,[1]DG!A:D,[1]DG!$D$2,)</f>
        <v>cái</v>
      </c>
      <c r="H170" s="94">
        <f>H169</f>
        <v>0</v>
      </c>
      <c r="I170" s="91">
        <f t="shared" si="7"/>
        <v>0</v>
      </c>
      <c r="J170" s="92"/>
      <c r="K170" s="92"/>
      <c r="L170" s="117"/>
      <c r="M170" s="56">
        <v>25</v>
      </c>
    </row>
    <row r="171" spans="1:13" s="51" customFormat="1" ht="25.2" hidden="1" customHeight="1">
      <c r="A171" s="68">
        <f t="shared" si="6"/>
        <v>0</v>
      </c>
      <c r="B171" s="86" t="s">
        <v>140</v>
      </c>
      <c r="C171" s="86"/>
      <c r="D171" s="96"/>
      <c r="E171" s="88" t="str">
        <f>VLOOKUP($B171,[1]DG!A:D,[1]DG!$B$2,)</f>
        <v>06.1115</v>
      </c>
      <c r="F171" s="89" t="str">
        <f>VLOOKUP($B171,[1]DG!A:D,[1]DG!$C$2,)</f>
        <v>Lắp sứ đứng 24KV</v>
      </c>
      <c r="G171" s="88" t="str">
        <f>VLOOKUP($B171,[1]DG!A:D,[1]DG!$D$2,)</f>
        <v>bộ</v>
      </c>
      <c r="H171" s="94">
        <f>H170</f>
        <v>0</v>
      </c>
      <c r="I171" s="91">
        <f t="shared" si="7"/>
        <v>0</v>
      </c>
      <c r="J171" s="92"/>
      <c r="K171" s="92"/>
      <c r="L171" s="117"/>
      <c r="M171" s="56">
        <v>25</v>
      </c>
    </row>
    <row r="172" spans="1:13" s="51" customFormat="1" ht="25.2" hidden="1" customHeight="1">
      <c r="A172" s="68">
        <f t="shared" si="6"/>
        <v>0</v>
      </c>
      <c r="B172" s="86" t="s">
        <v>101</v>
      </c>
      <c r="C172" s="86"/>
      <c r="D172" s="96"/>
      <c r="E172" s="88" t="str">
        <f>VLOOKUP($B172,[1]DG!A:D,[1]DG!$B$2,)</f>
        <v>04.4201</v>
      </c>
      <c r="F172" s="89" t="str">
        <f>VLOOKUP($B172,[1]DG!A:D,[1]DG!$C$2,)</f>
        <v>Lắp cáp đồng xuống thiết bị D ≤ 95mm2</v>
      </c>
      <c r="G172" s="88" t="str">
        <f>VLOOKUP($B172,[1]DG!A:D,[1]DG!$D$2,)</f>
        <v>m</v>
      </c>
      <c r="H172" s="94">
        <f>H162</f>
        <v>4</v>
      </c>
      <c r="I172" s="91">
        <f t="shared" si="7"/>
        <v>0</v>
      </c>
      <c r="J172" s="92"/>
      <c r="K172" s="92"/>
      <c r="L172" s="117"/>
      <c r="M172" s="56">
        <v>25</v>
      </c>
    </row>
    <row r="173" spans="1:13" s="51" customFormat="1" ht="25.2" hidden="1" customHeight="1">
      <c r="A173" s="68">
        <f>IF(M173=$M$23,1,0)</f>
        <v>0</v>
      </c>
      <c r="B173" s="69"/>
      <c r="C173" s="69"/>
      <c r="D173" s="114">
        <f>IF(H173&gt;0,D160+1,D160)</f>
        <v>0</v>
      </c>
      <c r="E173" s="112"/>
      <c r="F173" s="136" t="s">
        <v>141</v>
      </c>
      <c r="G173" s="114" t="s">
        <v>67</v>
      </c>
      <c r="H173" s="110">
        <f>H105</f>
        <v>0</v>
      </c>
      <c r="I173" s="91">
        <f t="shared" si="7"/>
        <v>0</v>
      </c>
      <c r="J173" s="95"/>
      <c r="K173" s="95"/>
      <c r="L173" s="117"/>
      <c r="M173" s="56">
        <v>25</v>
      </c>
    </row>
    <row r="174" spans="1:13" s="51" customFormat="1" ht="25.2" hidden="1" customHeight="1">
      <c r="A174" s="68">
        <f>IF(M174=$M$23,1,0)</f>
        <v>0</v>
      </c>
      <c r="B174" s="69"/>
      <c r="C174" s="69"/>
      <c r="D174" s="114"/>
      <c r="E174" s="112"/>
      <c r="F174" s="137" t="s">
        <v>68</v>
      </c>
      <c r="G174" s="114"/>
      <c r="H174" s="110"/>
      <c r="I174" s="91">
        <f t="shared" si="7"/>
        <v>0</v>
      </c>
      <c r="J174" s="95"/>
      <c r="K174" s="95"/>
      <c r="L174" s="117"/>
      <c r="M174" s="56">
        <v>25</v>
      </c>
    </row>
    <row r="175" spans="1:13" s="51" customFormat="1" ht="25.2" hidden="1" customHeight="1">
      <c r="A175" s="68">
        <f t="shared" si="6"/>
        <v>0</v>
      </c>
      <c r="B175" s="69" t="s">
        <v>142</v>
      </c>
      <c r="C175" s="69"/>
      <c r="D175" s="114"/>
      <c r="E175" s="88">
        <f>VLOOKUP($B175,[1]DG!A:D,[1]DG!$B$2,)</f>
        <v>0</v>
      </c>
      <c r="F175" s="89" t="str">
        <f>VLOOKUP($B175,[1]DG!A:D,[1]DG!$C$2,)</f>
        <v>Cáp đồng bọc CV70</v>
      </c>
      <c r="G175" s="88" t="str">
        <f>VLOOKUP($B175,[1]DG!A:D,[1]DG!$D$2,)</f>
        <v>mét</v>
      </c>
      <c r="H175" s="94">
        <f>H173*20</f>
        <v>0</v>
      </c>
      <c r="I175" s="91">
        <f t="shared" si="7"/>
        <v>0</v>
      </c>
      <c r="J175" s="92"/>
      <c r="K175" s="92"/>
      <c r="L175" s="117"/>
      <c r="M175" s="56">
        <v>25</v>
      </c>
    </row>
    <row r="176" spans="1:13" s="51" customFormat="1" ht="25.2" hidden="1" customHeight="1">
      <c r="A176" s="68">
        <f t="shared" si="6"/>
        <v>0</v>
      </c>
      <c r="B176" s="69" t="s">
        <v>143</v>
      </c>
      <c r="C176" s="69"/>
      <c r="D176" s="114"/>
      <c r="E176" s="88" t="str">
        <f>VLOOKUP($B176,[1]DG!A:D,[1]DG!$B$2,)</f>
        <v>03.1401</v>
      </c>
      <c r="F176" s="89" t="str">
        <f>VLOOKUP($B176,[1]DG!A:D,[1]DG!$C$2,)</f>
        <v xml:space="preserve">Cáp CVV 4x4mm2  </v>
      </c>
      <c r="G176" s="88" t="str">
        <f>VLOOKUP($B176,[1]DG!A:D,[1]DG!$D$2,)</f>
        <v>mét</v>
      </c>
      <c r="H176" s="94">
        <f>2*H173</f>
        <v>0</v>
      </c>
      <c r="I176" s="91">
        <f t="shared" si="7"/>
        <v>0</v>
      </c>
      <c r="J176" s="92"/>
      <c r="K176" s="92"/>
      <c r="L176" s="117"/>
      <c r="M176" s="56">
        <v>25</v>
      </c>
    </row>
    <row r="177" spans="1:13" s="51" customFormat="1" ht="25.2" hidden="1" customHeight="1">
      <c r="A177" s="68">
        <f t="shared" si="6"/>
        <v>0</v>
      </c>
      <c r="B177" s="69" t="str">
        <f>"Cos"&amp;RIGHT(B175,2)</f>
        <v>Cos70</v>
      </c>
      <c r="C177" s="69"/>
      <c r="D177" s="96"/>
      <c r="E177" s="88" t="str">
        <f>VLOOKUP($B177,[1]DG!A:D,[1]DG!$B$2,)</f>
        <v>03.4003</v>
      </c>
      <c r="F177" s="89" t="str">
        <f>VLOOKUP($B177,[1]DG!A:D,[1]DG!$C$2,)</f>
        <v>Đầu cosse ép Cu 70mm2</v>
      </c>
      <c r="G177" s="88" t="str">
        <f>VLOOKUP($B177,[1]DG!A:D,[1]DG!$D$2,)</f>
        <v>cái</v>
      </c>
      <c r="H177" s="94">
        <f>H173*2</f>
        <v>0</v>
      </c>
      <c r="I177" s="91">
        <f t="shared" si="7"/>
        <v>0</v>
      </c>
      <c r="J177" s="92"/>
      <c r="K177" s="92"/>
      <c r="L177" s="117"/>
      <c r="M177" s="56">
        <v>25</v>
      </c>
    </row>
    <row r="178" spans="1:13" s="51" customFormat="1" ht="25.2" hidden="1" customHeight="1">
      <c r="A178" s="68">
        <f t="shared" si="6"/>
        <v>0</v>
      </c>
      <c r="B178" s="69" t="str">
        <f>"chCos"&amp;RIGHT(B175,2)</f>
        <v>chCos70</v>
      </c>
      <c r="C178" s="69"/>
      <c r="D178" s="96"/>
      <c r="E178" s="88">
        <f>VLOOKUP($B178,[1]DG!A:D,[1]DG!$B$2,)</f>
        <v>0</v>
      </c>
      <c r="F178" s="89" t="str">
        <f>VLOOKUP($B178,[1]DG!A:D,[1]DG!$C$2,)</f>
        <v>Chụp đầu cosse  70mm2</v>
      </c>
      <c r="G178" s="88" t="str">
        <f>VLOOKUP($B178,[1]DG!A:D,[1]DG!$D$2,)</f>
        <v>cái</v>
      </c>
      <c r="H178" s="94">
        <f>H173*2</f>
        <v>0</v>
      </c>
      <c r="I178" s="91">
        <f t="shared" si="7"/>
        <v>0</v>
      </c>
      <c r="J178" s="92"/>
      <c r="K178" s="92"/>
      <c r="L178" s="117"/>
      <c r="M178" s="56">
        <v>25</v>
      </c>
    </row>
    <row r="179" spans="1:13" s="51" customFormat="1" ht="25.2" hidden="1" customHeight="1">
      <c r="A179" s="68">
        <f t="shared" si="6"/>
        <v>0</v>
      </c>
      <c r="B179" s="69" t="s">
        <v>144</v>
      </c>
      <c r="C179" s="69"/>
      <c r="D179" s="96"/>
      <c r="E179" s="88">
        <f>VLOOKUP($B179,[1]DG!A:D,[1]DG!$B$2,)</f>
        <v>0</v>
      </c>
      <c r="F179" s="89" t="str">
        <f>VLOOKUP($B179,[1]DG!A:D,[1]DG!$C$2,)</f>
        <v xml:space="preserve">Ống PVC D114x4,9mm </v>
      </c>
      <c r="G179" s="88" t="str">
        <f>VLOOKUP($B179,[1]DG!A:D,[1]DG!$D$2,)</f>
        <v>m</v>
      </c>
      <c r="H179" s="94">
        <v>7</v>
      </c>
      <c r="I179" s="91">
        <f t="shared" si="7"/>
        <v>0</v>
      </c>
      <c r="J179" s="92"/>
      <c r="K179" s="92"/>
      <c r="L179" s="117"/>
      <c r="M179" s="56">
        <v>25</v>
      </c>
    </row>
    <row r="180" spans="1:13" s="51" customFormat="1" ht="25.2" hidden="1" customHeight="1">
      <c r="A180" s="68">
        <f t="shared" si="6"/>
        <v>0</v>
      </c>
      <c r="B180" s="86" t="s">
        <v>145</v>
      </c>
      <c r="C180" s="86"/>
      <c r="D180" s="96"/>
      <c r="E180" s="88" t="str">
        <f>VLOOKUP($B180,[1]DG!A:D,[1]DG!$B$2,)</f>
        <v>06.3231</v>
      </c>
      <c r="F180" s="89" t="str">
        <f>VLOOKUP($B180,[1]DG!A:D,[1]DG!$C$2,)&amp;": 2 bộ: CD 90-250"</f>
        <v>Cổ dê kẹp ống PVC Ø 114: 2 bộ: CD 90-250</v>
      </c>
      <c r="G180" s="88" t="str">
        <f>VLOOKUP($B180,[1]DG!A:D,[1]DG!$D$2,)</f>
        <v>bộ</v>
      </c>
      <c r="H180" s="94">
        <v>2</v>
      </c>
      <c r="I180" s="91">
        <f t="shared" si="7"/>
        <v>0</v>
      </c>
      <c r="J180" s="92"/>
      <c r="K180" s="92"/>
      <c r="L180" s="117"/>
      <c r="M180" s="56">
        <v>25</v>
      </c>
    </row>
    <row r="181" spans="1:13" s="51" customFormat="1" ht="25.2" hidden="1" customHeight="1">
      <c r="A181" s="68">
        <f t="shared" si="6"/>
        <v>0</v>
      </c>
      <c r="B181" s="86" t="s">
        <v>145</v>
      </c>
      <c r="C181" s="86"/>
      <c r="D181" s="96"/>
      <c r="E181" s="88" t="str">
        <f>VLOOKUP($B181,[1]DG!A:D,[1]DG!$B$2,)</f>
        <v>06.3231</v>
      </c>
      <c r="F181" s="89" t="str">
        <f>VLOOKUP($B181,[1]DG!A:D,[1]DG!$C$2,)&amp;": 2 bộ: CD 90-280"</f>
        <v>Cổ dê kẹp ống PVC Ø 114: 2 bộ: CD 90-280</v>
      </c>
      <c r="G181" s="88" t="str">
        <f>VLOOKUP($B181,[1]DG!A:D,[1]DG!$D$2,)</f>
        <v>bộ</v>
      </c>
      <c r="H181" s="94">
        <f>H173*0*2</f>
        <v>0</v>
      </c>
      <c r="I181" s="91">
        <f t="shared" si="7"/>
        <v>0</v>
      </c>
      <c r="J181" s="92"/>
      <c r="K181" s="92"/>
      <c r="L181" s="117"/>
      <c r="M181" s="56">
        <v>25</v>
      </c>
    </row>
    <row r="182" spans="1:13" s="51" customFormat="1" ht="25.2" hidden="1" customHeight="1">
      <c r="A182" s="68">
        <f t="shared" si="6"/>
        <v>0</v>
      </c>
      <c r="B182" s="86" t="s">
        <v>145</v>
      </c>
      <c r="C182" s="86"/>
      <c r="D182" s="96"/>
      <c r="E182" s="88" t="str">
        <f>VLOOKUP($B182,[1]DG!A:D,[1]DG!$B$2,)</f>
        <v>06.3231</v>
      </c>
      <c r="F182" s="89" t="str">
        <f>VLOOKUP($B182,[1]DG!A:D,[1]DG!$C$2,)&amp;": 2 bộ: CD 90-320"</f>
        <v>Cổ dê kẹp ống PVC Ø 114: 2 bộ: CD 90-320</v>
      </c>
      <c r="G182" s="88" t="str">
        <f>VLOOKUP($B182,[1]DG!A:D,[1]DG!$D$2,)</f>
        <v>bộ</v>
      </c>
      <c r="H182" s="94">
        <f>H173*0*2</f>
        <v>0</v>
      </c>
      <c r="I182" s="91">
        <f t="shared" si="7"/>
        <v>0</v>
      </c>
      <c r="J182" s="92"/>
      <c r="K182" s="92"/>
      <c r="L182" s="117"/>
      <c r="M182" s="56">
        <v>25</v>
      </c>
    </row>
    <row r="183" spans="1:13" s="51" customFormat="1" ht="25.2" hidden="1" customHeight="1">
      <c r="A183" s="68">
        <f t="shared" si="6"/>
        <v>0</v>
      </c>
      <c r="B183" s="86" t="s">
        <v>87</v>
      </c>
      <c r="C183" s="86"/>
      <c r="D183" s="96"/>
      <c r="E183" s="88" t="str">
        <f>VLOOKUP($B183,[1]DG!A:D,[1]DG!$B$2,)</f>
        <v>06.2110</v>
      </c>
      <c r="F183" s="89" t="str">
        <f>VLOOKUP($B183,[1]DG!A:D,[1]DG!$C$2,)&amp;": 2 bộ: CD 90-320"</f>
        <v>Lắp cổ dề: 2 bộ: CD 90-320</v>
      </c>
      <c r="G183" s="88" t="str">
        <f>VLOOKUP($B183,[1]DG!A:D,[1]DG!$D$2,)</f>
        <v>bộ</v>
      </c>
      <c r="H183" s="94">
        <f>H174*1.12*2</f>
        <v>0</v>
      </c>
      <c r="I183" s="91">
        <f t="shared" si="7"/>
        <v>0</v>
      </c>
      <c r="J183" s="92"/>
      <c r="K183" s="92"/>
      <c r="L183" s="117"/>
      <c r="M183" s="56">
        <v>25</v>
      </c>
    </row>
    <row r="184" spans="1:13" s="51" customFormat="1" ht="25.2" hidden="1" customHeight="1">
      <c r="A184" s="68">
        <f t="shared" si="6"/>
        <v>0</v>
      </c>
      <c r="B184" s="86" t="s">
        <v>88</v>
      </c>
      <c r="C184" s="86"/>
      <c r="D184" s="96"/>
      <c r="E184" s="88">
        <f>VLOOKUP($B184,[1]DG!A:D,[1]DG!$B$2,)</f>
        <v>0</v>
      </c>
      <c r="F184" s="89" t="str">
        <f>VLOOKUP($B184,[1]DG!A:D,[1]DG!$C$2,)</f>
        <v>Boulon 12x40+ 2 long đền vuông D14-50x50x3/Zn</v>
      </c>
      <c r="G184" s="88" t="str">
        <f>VLOOKUP($B184,[1]DG!A:D,[1]DG!$D$2,)</f>
        <v>bộ</v>
      </c>
      <c r="H184" s="94">
        <v>8</v>
      </c>
      <c r="I184" s="91">
        <f t="shared" si="7"/>
        <v>0</v>
      </c>
      <c r="J184" s="92"/>
      <c r="K184" s="92"/>
      <c r="L184" s="117"/>
      <c r="M184" s="56">
        <v>25</v>
      </c>
    </row>
    <row r="185" spans="1:13" s="51" customFormat="1" ht="25.2" hidden="1" customHeight="1">
      <c r="A185" s="68">
        <f t="shared" si="6"/>
        <v>0</v>
      </c>
      <c r="B185" s="69" t="s">
        <v>146</v>
      </c>
      <c r="C185" s="69"/>
      <c r="D185" s="96"/>
      <c r="E185" s="88">
        <f>VLOOKUP($B185,[1]DG!A:D,[1]DG!$B$2,)</f>
        <v>0</v>
      </c>
      <c r="F185" s="89" t="str">
        <f>VLOOKUP($B185,[1]DG!A:D,[1]DG!$C$2,)</f>
        <v>Co  90 độ PVC 114</v>
      </c>
      <c r="G185" s="88" t="str">
        <f>VLOOKUP($B185,[1]DG!A:D,[1]DG!$D$2,)</f>
        <v>cái</v>
      </c>
      <c r="H185" s="94">
        <f>2*H173</f>
        <v>0</v>
      </c>
      <c r="I185" s="91">
        <f t="shared" si="7"/>
        <v>0</v>
      </c>
      <c r="J185" s="92"/>
      <c r="K185" s="92"/>
      <c r="L185" s="117"/>
      <c r="M185" s="56">
        <v>25</v>
      </c>
    </row>
    <row r="186" spans="1:13" s="51" customFormat="1" ht="25.2" hidden="1" customHeight="1">
      <c r="A186" s="68">
        <f t="shared" si="6"/>
        <v>0</v>
      </c>
      <c r="B186" s="69" t="s">
        <v>147</v>
      </c>
      <c r="C186" s="69"/>
      <c r="D186" s="96"/>
      <c r="E186" s="88">
        <f>VLOOKUP($B186,[1]DG!A:D,[1]DG!$B$2,)</f>
        <v>0</v>
      </c>
      <c r="F186" s="89" t="str">
        <f>VLOOKUP($B186,[1]DG!A:D,[1]DG!$C$2,)</f>
        <v>Nối ống PVC 114</v>
      </c>
      <c r="G186" s="88" t="str">
        <f>VLOOKUP($B186,[1]DG!A:D,[1]DG!$D$2,)</f>
        <v>cái</v>
      </c>
      <c r="H186" s="94">
        <f>H173*1</f>
        <v>0</v>
      </c>
      <c r="I186" s="91">
        <f t="shared" si="7"/>
        <v>0</v>
      </c>
      <c r="J186" s="92"/>
      <c r="K186" s="92"/>
      <c r="L186" s="117"/>
      <c r="M186" s="56">
        <v>25</v>
      </c>
    </row>
    <row r="187" spans="1:13" s="51" customFormat="1" ht="25.2" hidden="1" customHeight="1">
      <c r="A187" s="68">
        <f t="shared" si="6"/>
        <v>0</v>
      </c>
      <c r="B187" s="69" t="s">
        <v>114</v>
      </c>
      <c r="C187" s="69"/>
      <c r="D187" s="96"/>
      <c r="E187" s="88">
        <f>VLOOKUP($B187,[1]DG!A:D,[1]DG!$B$2,)</f>
        <v>0</v>
      </c>
      <c r="F187" s="89" t="str">
        <f>VLOOKUP($B187,[1]DG!A:D,[1]DG!$C$2,)</f>
        <v>Keo dán ống PVC (100gr)</v>
      </c>
      <c r="G187" s="88" t="str">
        <f>VLOOKUP($B187,[1]DG!A:D,[1]DG!$D$2,)</f>
        <v>tuýp</v>
      </c>
      <c r="H187" s="94">
        <f>H173*2</f>
        <v>0</v>
      </c>
      <c r="I187" s="91">
        <f t="shared" si="7"/>
        <v>0</v>
      </c>
      <c r="J187" s="92"/>
      <c r="K187" s="92"/>
      <c r="L187" s="117"/>
      <c r="M187" s="56">
        <v>25</v>
      </c>
    </row>
    <row r="188" spans="1:13" s="51" customFormat="1" ht="25.2" hidden="1" customHeight="1">
      <c r="A188" s="68">
        <f t="shared" si="6"/>
        <v>0</v>
      </c>
      <c r="B188" s="69" t="s">
        <v>115</v>
      </c>
      <c r="C188" s="69"/>
      <c r="D188" s="96"/>
      <c r="E188" s="88">
        <f>VLOOKUP($B188,[1]DG!A:D,[1]DG!$B$2,)</f>
        <v>0</v>
      </c>
      <c r="F188" s="89" t="str">
        <f>VLOOKUP($B188,[1]DG!A:D,[1]DG!$C$2,)</f>
        <v>Keo silicon bít miệng ống</v>
      </c>
      <c r="G188" s="88" t="str">
        <f>VLOOKUP($B188,[1]DG!A:D,[1]DG!$D$2,)</f>
        <v>ống</v>
      </c>
      <c r="H188" s="94">
        <f>H173</f>
        <v>0</v>
      </c>
      <c r="I188" s="91">
        <f t="shared" si="7"/>
        <v>0</v>
      </c>
      <c r="J188" s="92"/>
      <c r="K188" s="92"/>
      <c r="L188" s="117"/>
      <c r="M188" s="56">
        <v>25</v>
      </c>
    </row>
    <row r="189" spans="1:13" s="51" customFormat="1" ht="25.2" hidden="1" customHeight="1">
      <c r="A189" s="68">
        <f t="shared" si="6"/>
        <v>0</v>
      </c>
      <c r="B189" s="86" t="s">
        <v>148</v>
      </c>
      <c r="C189" s="86"/>
      <c r="D189" s="96"/>
      <c r="E189" s="88">
        <f>VLOOKUP($B189,[1]DG!A:D,[1]DG!$B$2,)</f>
        <v>0</v>
      </c>
      <c r="F189" s="89" t="str">
        <f>VLOOKUP($B189,[1]DG!A:D,[1]DG!$C$2,)</f>
        <v>Băng keo cách điện</v>
      </c>
      <c r="G189" s="88" t="str">
        <f>VLOOKUP($B189,[1]DG!A:D,[1]DG!$D$2,)</f>
        <v>cuộn</v>
      </c>
      <c r="H189" s="94">
        <v>1</v>
      </c>
      <c r="I189" s="91">
        <f t="shared" si="7"/>
        <v>0</v>
      </c>
      <c r="J189" s="92"/>
      <c r="K189" s="92"/>
      <c r="L189" s="117"/>
      <c r="M189" s="56">
        <v>25</v>
      </c>
    </row>
    <row r="190" spans="1:13" s="51" customFormat="1" ht="25.2" hidden="1" customHeight="1">
      <c r="A190" s="68">
        <f t="shared" si="6"/>
        <v>0</v>
      </c>
      <c r="B190" s="69" t="s">
        <v>116</v>
      </c>
      <c r="C190" s="69"/>
      <c r="D190" s="96"/>
      <c r="E190" s="88" t="str">
        <f>VLOOKUP($B190,[1]DG!A:D,[1]DG!$B$2,)</f>
        <v>07.2415</v>
      </c>
      <c r="F190" s="89" t="str">
        <f>VLOOKUP($B190,[1]DG!A:D,[1]DG!$C$2,)</f>
        <v>Lắp ống nhựa PVC D90</v>
      </c>
      <c r="G190" s="88" t="str">
        <f>VLOOKUP($B190,[1]DG!A:D,[1]DG!$D$2,)</f>
        <v>mét</v>
      </c>
      <c r="H190" s="94">
        <f>H179</f>
        <v>7</v>
      </c>
      <c r="I190" s="91">
        <f t="shared" si="7"/>
        <v>0</v>
      </c>
      <c r="J190" s="92"/>
      <c r="K190" s="92"/>
      <c r="L190" s="117"/>
      <c r="M190" s="56">
        <v>25</v>
      </c>
    </row>
    <row r="191" spans="1:13" s="51" customFormat="1" ht="25.2" hidden="1" customHeight="1">
      <c r="A191" s="68">
        <f t="shared" si="6"/>
        <v>0</v>
      </c>
      <c r="B191" s="86" t="s">
        <v>101</v>
      </c>
      <c r="C191" s="86"/>
      <c r="D191" s="96"/>
      <c r="E191" s="88" t="str">
        <f>VLOOKUP($B191,[1]DG!A:D,[1]DG!$B$2,)</f>
        <v>04.4201</v>
      </c>
      <c r="F191" s="89" t="str">
        <f>VLOOKUP($B191,[1]DG!A:D,[1]DG!$C$2,)</f>
        <v>Lắp cáp đồng xuống thiết bị D ≤ 95mm2</v>
      </c>
      <c r="G191" s="88" t="str">
        <f>VLOOKUP($B191,[1]DG!A:D,[1]DG!$D$2,)</f>
        <v>m</v>
      </c>
      <c r="H191" s="94">
        <f>H175</f>
        <v>0</v>
      </c>
      <c r="I191" s="91">
        <f t="shared" si="7"/>
        <v>0</v>
      </c>
      <c r="J191" s="92"/>
      <c r="K191" s="92"/>
      <c r="L191" s="117"/>
      <c r="M191" s="56">
        <v>25</v>
      </c>
    </row>
    <row r="192" spans="1:13" s="51" customFormat="1" ht="25.2" hidden="1" customHeight="1">
      <c r="A192" s="68">
        <f t="shared" si="6"/>
        <v>0</v>
      </c>
      <c r="B192" s="69" t="s">
        <v>117</v>
      </c>
      <c r="C192" s="69"/>
      <c r="D192" s="138">
        <f>IF(H192&gt;0,D173+1,D173)</f>
        <v>0</v>
      </c>
      <c r="E192" s="139"/>
      <c r="F192" s="89" t="str">
        <f>VLOOKUP($B192,[1]DG!A:D,[1]DG!$C$2,)</f>
        <v>Bảng tên trạm, bảng báo nguy hiểm + đinh vít</v>
      </c>
      <c r="G192" s="88" t="str">
        <f>VLOOKUP($B192,[1]DG!A:D,[1]DG!$D$2,)</f>
        <v>bộ</v>
      </c>
      <c r="H192" s="140">
        <f>H128</f>
        <v>0</v>
      </c>
      <c r="I192" s="91">
        <f t="shared" si="7"/>
        <v>0</v>
      </c>
      <c r="J192" s="92"/>
      <c r="K192" s="92"/>
      <c r="L192" s="141"/>
      <c r="M192" s="56">
        <v>25</v>
      </c>
    </row>
    <row r="193" spans="1:14" s="51" customFormat="1" ht="25.2" hidden="1" customHeight="1">
      <c r="A193" s="68">
        <f t="shared" si="6"/>
        <v>0</v>
      </c>
      <c r="B193" s="52"/>
      <c r="C193" s="52"/>
      <c r="D193" s="133"/>
      <c r="E193" s="122"/>
      <c r="F193" s="107"/>
      <c r="G193" s="124"/>
      <c r="H193" s="125"/>
      <c r="I193" s="107"/>
      <c r="J193" s="126"/>
      <c r="K193" s="127"/>
      <c r="L193" s="133"/>
      <c r="M193" s="56">
        <v>25</v>
      </c>
    </row>
    <row r="194" spans="1:14" s="51" customFormat="1" ht="25.2" hidden="1" customHeight="1">
      <c r="A194" s="68">
        <f t="shared" si="6"/>
        <v>0</v>
      </c>
      <c r="B194" s="52"/>
      <c r="C194" s="52"/>
      <c r="D194" s="128"/>
      <c r="E194" s="56"/>
      <c r="H194" s="66"/>
      <c r="I194" s="91">
        <f t="shared" si="7"/>
        <v>0</v>
      </c>
      <c r="M194" s="56"/>
    </row>
    <row r="195" spans="1:14" s="51" customFormat="1" ht="25.2" hidden="1" customHeight="1">
      <c r="A195" s="68">
        <f t="shared" si="6"/>
        <v>0</v>
      </c>
      <c r="B195" s="52"/>
      <c r="C195" s="52"/>
      <c r="D195" s="129" t="str">
        <f>"BAÛNG TOÅNG HÔÏP VAÄT LIEÄU, NHAÂN COÂNG, MAÙY THI COÂNG : "&amp;I8&amp;" TRAÏM 1P37,5KVA"</f>
        <v>BAÛNG TOÅNG HÔÏP VAÄT LIEÄU, NHAÂN COÂNG, MAÙY THI COÂNG : 0 TRAÏM 1P37,5KVA</v>
      </c>
      <c r="E195" s="142"/>
      <c r="F195" s="143"/>
      <c r="G195" s="143"/>
      <c r="H195" s="132"/>
      <c r="I195" s="91">
        <f t="shared" si="7"/>
        <v>0</v>
      </c>
      <c r="J195" s="143"/>
      <c r="K195" s="143"/>
      <c r="L195" s="54"/>
      <c r="M195" s="56"/>
    </row>
    <row r="196" spans="1:14" s="51" customFormat="1" ht="25.2" hidden="1" customHeight="1">
      <c r="A196" s="68">
        <f t="shared" si="6"/>
        <v>0</v>
      </c>
      <c r="B196" s="69"/>
      <c r="C196" s="69"/>
      <c r="D196" s="79"/>
      <c r="E196" s="80"/>
      <c r="F196" s="107" t="s">
        <v>53</v>
      </c>
      <c r="G196" s="82"/>
      <c r="H196" s="83"/>
      <c r="I196" s="91">
        <f t="shared" si="7"/>
        <v>0</v>
      </c>
      <c r="J196" s="82"/>
      <c r="K196" s="82"/>
      <c r="L196" s="133"/>
      <c r="M196" s="56" t="s">
        <v>149</v>
      </c>
    </row>
    <row r="197" spans="1:14" s="51" customFormat="1" ht="25.2" hidden="1" customHeight="1">
      <c r="A197" s="68">
        <f t="shared" si="6"/>
        <v>0</v>
      </c>
      <c r="B197" s="86" t="s">
        <v>150</v>
      </c>
      <c r="C197" s="86"/>
      <c r="D197" s="87">
        <f>IF(H197&gt;0,1,0)</f>
        <v>0</v>
      </c>
      <c r="E197" s="88" t="str">
        <f>VLOOKUP($B197,[1]DG!A:D,[1]DG!$B$2,)</f>
        <v>01.1412</v>
      </c>
      <c r="F197" s="89" t="str">
        <f>VLOOKUP($B197,[1]DG!A:D,[1]DG!$C$2,)</f>
        <v>Máy biến áp 12,7/0,22-0,44kV  37,5kVA</v>
      </c>
      <c r="G197" s="88" t="str">
        <f>VLOOKUP($B197,[1]DG!A:D,[1]DG!$D$2,)</f>
        <v>máy</v>
      </c>
      <c r="H197" s="134">
        <f>I8</f>
        <v>0</v>
      </c>
      <c r="I197" s="91">
        <f t="shared" si="7"/>
        <v>0</v>
      </c>
      <c r="J197" s="92"/>
      <c r="K197" s="92"/>
      <c r="L197" s="135"/>
      <c r="M197" s="56" t="s">
        <v>149</v>
      </c>
    </row>
    <row r="198" spans="1:14" s="51" customFormat="1" ht="25.2" hidden="1" customHeight="1">
      <c r="A198" s="68">
        <f t="shared" si="6"/>
        <v>0</v>
      </c>
      <c r="B198" s="86" t="s">
        <v>56</v>
      </c>
      <c r="C198" s="86"/>
      <c r="D198" s="87">
        <f t="shared" ref="D198:D203" si="9">IF(H198&gt;0,D197+1,D197)</f>
        <v>0</v>
      </c>
      <c r="E198" s="88" t="str">
        <f>VLOOKUP($B198,[1]DG!A:D,[1]DG!$B$2,)</f>
        <v>02.3155</v>
      </c>
      <c r="F198" s="89" t="str">
        <f>VLOOKUP($B198,[1]DG!A:D,[1]DG!$C$2,)</f>
        <v>FCO 27kV - 100A</v>
      </c>
      <c r="G198" s="88" t="str">
        <f>VLOOKUP($B198,[1]DG!A:D,[1]DG!$D$2,)</f>
        <v>cái</v>
      </c>
      <c r="H198" s="94">
        <f>+H197</f>
        <v>0</v>
      </c>
      <c r="I198" s="91">
        <f t="shared" si="7"/>
        <v>0</v>
      </c>
      <c r="J198" s="92"/>
      <c r="K198" s="92"/>
      <c r="L198" s="117"/>
      <c r="M198" s="56" t="s">
        <v>149</v>
      </c>
    </row>
    <row r="199" spans="1:14" s="51" customFormat="1" ht="25.2" hidden="1" customHeight="1">
      <c r="A199" s="68">
        <f t="shared" si="6"/>
        <v>0</v>
      </c>
      <c r="B199" s="86" t="s">
        <v>57</v>
      </c>
      <c r="C199" s="86"/>
      <c r="D199" s="87">
        <f t="shared" si="9"/>
        <v>0</v>
      </c>
      <c r="E199" s="88">
        <f>VLOOKUP($B199,[1]DG!A:D,[1]DG!$B$2,)</f>
        <v>0</v>
      </c>
      <c r="F199" s="89" t="str">
        <f>VLOOKUP($B199,[1]DG!A:D,[1]DG!$C$2,)</f>
        <v>Dây chảy 3K</v>
      </c>
      <c r="G199" s="88" t="str">
        <f>VLOOKUP($B199,[1]DG!A:D,[1]DG!$D$2,)</f>
        <v>Sợi</v>
      </c>
      <c r="H199" s="94">
        <f>H198</f>
        <v>0</v>
      </c>
      <c r="I199" s="91">
        <f t="shared" si="7"/>
        <v>0</v>
      </c>
      <c r="J199" s="92"/>
      <c r="K199" s="92"/>
      <c r="L199" s="117"/>
      <c r="M199" s="56" t="s">
        <v>149</v>
      </c>
    </row>
    <row r="200" spans="1:14" s="51" customFormat="1" ht="25.2" hidden="1" customHeight="1">
      <c r="A200" s="68">
        <f t="shared" si="6"/>
        <v>0</v>
      </c>
      <c r="B200" s="52" t="s">
        <v>58</v>
      </c>
      <c r="C200" s="52"/>
      <c r="D200" s="87">
        <f t="shared" si="9"/>
        <v>0</v>
      </c>
      <c r="E200" s="88" t="str">
        <f>VLOOKUP($B200,[1]DG!A:D,[1]DG!$B$2,)</f>
        <v>02.5114</v>
      </c>
      <c r="F200" s="89" t="str">
        <f>VLOOKUP($B200,[1]DG!A:D,[1]DG!$C$2,)</f>
        <v>Chống sét van LA-18KV-10KA</v>
      </c>
      <c r="G200" s="88" t="str">
        <f>VLOOKUP($B200,[1]DG!A:D,[1]DG!$D$2,)</f>
        <v>cái</v>
      </c>
      <c r="H200" s="94">
        <f>H198</f>
        <v>0</v>
      </c>
      <c r="I200" s="91">
        <f t="shared" si="7"/>
        <v>0</v>
      </c>
      <c r="J200" s="92"/>
      <c r="K200" s="92"/>
      <c r="L200" s="117"/>
      <c r="M200" s="56" t="s">
        <v>149</v>
      </c>
    </row>
    <row r="201" spans="1:14" s="51" customFormat="1" ht="25.2" hidden="1" customHeight="1">
      <c r="A201" s="68">
        <f t="shared" si="6"/>
        <v>0</v>
      </c>
      <c r="B201" s="98" t="s">
        <v>151</v>
      </c>
      <c r="C201" s="98"/>
      <c r="D201" s="87">
        <f t="shared" si="9"/>
        <v>0</v>
      </c>
      <c r="E201" s="88" t="str">
        <f>VLOOKUP($B201,[1]DG!A:D,[1]DG!$B$2,)</f>
        <v>02.8401</v>
      </c>
      <c r="F201" s="89" t="str">
        <f>VLOOKUP($B201,[1]DG!A:D,[1]DG!$C$2,)</f>
        <v>MCCB 3 cực 400V-100A - 30KA</v>
      </c>
      <c r="G201" s="88" t="str">
        <f>VLOOKUP($B201,[1]DG!A:D,[1]DG!$D$2,)</f>
        <v>cái</v>
      </c>
      <c r="H201" s="94">
        <f>H197</f>
        <v>0</v>
      </c>
      <c r="I201" s="91">
        <f t="shared" si="7"/>
        <v>0</v>
      </c>
      <c r="J201" s="92"/>
      <c r="K201" s="92"/>
      <c r="L201" s="117"/>
      <c r="M201" s="56" t="s">
        <v>149</v>
      </c>
    </row>
    <row r="202" spans="1:14" s="51" customFormat="1" ht="25.2" hidden="1" customHeight="1">
      <c r="A202" s="68">
        <f t="shared" si="6"/>
        <v>0</v>
      </c>
      <c r="B202" s="98" t="s">
        <v>119</v>
      </c>
      <c r="C202" s="98"/>
      <c r="D202" s="87">
        <f t="shared" si="9"/>
        <v>0</v>
      </c>
      <c r="E202" s="88">
        <f>VLOOKUP($B202,[1]DG!A:D,[1]DG!$B$2,)</f>
        <v>0</v>
      </c>
      <c r="F202" s="89" t="str">
        <f>VLOOKUP($B202,[1]DG!A:D,[1]DG!$C$2,)</f>
        <v>Biến dòng 600V - 100/5A</v>
      </c>
      <c r="G202" s="88" t="str">
        <f>VLOOKUP($B202,[1]DG!A:D,[1]DG!$D$2,)</f>
        <v>cái</v>
      </c>
      <c r="H202" s="94">
        <f>H197*2</f>
        <v>0</v>
      </c>
      <c r="I202" s="91">
        <f t="shared" si="7"/>
        <v>0</v>
      </c>
      <c r="J202" s="92"/>
      <c r="K202" s="92"/>
      <c r="L202" s="117"/>
      <c r="M202" s="56" t="s">
        <v>149</v>
      </c>
    </row>
    <row r="203" spans="1:14" s="51" customFormat="1" ht="25.2" hidden="1" customHeight="1">
      <c r="A203" s="68">
        <f t="shared" si="6"/>
        <v>0</v>
      </c>
      <c r="B203" s="86" t="s">
        <v>152</v>
      </c>
      <c r="C203" s="86"/>
      <c r="D203" s="87">
        <f t="shared" si="9"/>
        <v>0</v>
      </c>
      <c r="E203" s="88">
        <f>VLOOKUP($B203,[1]DG!A:D,[1]DG!$B$2,)</f>
        <v>0</v>
      </c>
      <c r="F203" s="89" t="str">
        <f>VLOOKUP($B203,[1]DG!A:D,[1]DG!$C$2,)</f>
        <v>Điện kế 1 pha 2 dây 220V-5A</v>
      </c>
      <c r="G203" s="88" t="str">
        <f>VLOOKUP($B203,[1]DG!A:D,[1]DG!$D$2,)</f>
        <v>cái</v>
      </c>
      <c r="H203" s="94">
        <f>H197*2</f>
        <v>0</v>
      </c>
      <c r="I203" s="91">
        <f t="shared" si="7"/>
        <v>0</v>
      </c>
      <c r="J203" s="92"/>
      <c r="K203" s="92"/>
      <c r="L203" s="117"/>
      <c r="M203" s="56" t="s">
        <v>149</v>
      </c>
    </row>
    <row r="204" spans="1:14" s="51" customFormat="1" ht="25.2" hidden="1" customHeight="1">
      <c r="A204" s="68">
        <f t="shared" si="6"/>
        <v>0</v>
      </c>
      <c r="B204" s="69"/>
      <c r="C204" s="69"/>
      <c r="D204" s="100"/>
      <c r="E204" s="101"/>
      <c r="F204" s="84"/>
      <c r="G204" s="100"/>
      <c r="H204" s="103"/>
      <c r="I204" s="91">
        <f t="shared" si="7"/>
        <v>0</v>
      </c>
      <c r="J204" s="84"/>
      <c r="K204" s="100"/>
      <c r="L204" s="133"/>
      <c r="M204" s="56" t="s">
        <v>149</v>
      </c>
    </row>
    <row r="205" spans="1:14" s="51" customFormat="1" ht="25.2" hidden="1" customHeight="1">
      <c r="A205" s="68">
        <f t="shared" si="6"/>
        <v>0</v>
      </c>
      <c r="B205" s="69"/>
      <c r="C205" s="69"/>
      <c r="D205" s="104"/>
      <c r="E205" s="105"/>
      <c r="F205" s="107" t="s">
        <v>64</v>
      </c>
      <c r="G205" s="107"/>
      <c r="H205" s="83"/>
      <c r="I205" s="91">
        <f t="shared" si="7"/>
        <v>0</v>
      </c>
      <c r="J205" s="107"/>
      <c r="K205" s="107"/>
      <c r="L205" s="133"/>
      <c r="M205" s="56" t="s">
        <v>149</v>
      </c>
    </row>
    <row r="206" spans="1:14" s="51" customFormat="1" ht="25.2" hidden="1" customHeight="1">
      <c r="A206" s="68">
        <f t="shared" si="6"/>
        <v>0</v>
      </c>
      <c r="B206" s="69" t="s">
        <v>65</v>
      </c>
      <c r="C206" s="69"/>
      <c r="D206" s="108">
        <f>IF(H218&gt;0,1,0)</f>
        <v>0</v>
      </c>
      <c r="E206" s="112"/>
      <c r="F206" s="89" t="str">
        <f>VLOOKUP($B206,[1]DG!A:D,[1]DG!$C$2,)</f>
        <v>Boulon 16x300+ 2 long đền vuông D18-50x50x3/Zn</v>
      </c>
      <c r="G206" s="88" t="str">
        <f>VLOOKUP($B206,[1]DG!A:D,[1]DG!$D$2,)</f>
        <v>bộ</v>
      </c>
      <c r="H206" s="110">
        <f>2*SUM(H197:H197)</f>
        <v>0</v>
      </c>
      <c r="I206" s="91">
        <f t="shared" si="7"/>
        <v>0</v>
      </c>
      <c r="J206" s="92"/>
      <c r="K206" s="92"/>
      <c r="L206" s="135"/>
      <c r="M206" s="56" t="s">
        <v>149</v>
      </c>
    </row>
    <row r="207" spans="1:14" s="51" customFormat="1" ht="25.2" hidden="1" customHeight="1">
      <c r="A207" s="68">
        <f t="shared" si="6"/>
        <v>0</v>
      </c>
      <c r="B207" s="69"/>
      <c r="C207" s="69"/>
      <c r="D207" s="111">
        <f>IF(H207&gt;0,D206+1,D206)</f>
        <v>0</v>
      </c>
      <c r="E207" s="112"/>
      <c r="F207" s="113" t="s">
        <v>66</v>
      </c>
      <c r="G207" s="114" t="s">
        <v>67</v>
      </c>
      <c r="H207" s="110">
        <f>H197</f>
        <v>0</v>
      </c>
      <c r="I207" s="91">
        <f t="shared" si="7"/>
        <v>0</v>
      </c>
      <c r="J207" s="95"/>
      <c r="K207" s="95"/>
      <c r="L207" s="96"/>
      <c r="M207" s="56" t="s">
        <v>149</v>
      </c>
    </row>
    <row r="208" spans="1:14" s="51" customFormat="1" ht="25.2" hidden="1" customHeight="1">
      <c r="A208" s="68">
        <f>IF(A207&gt;0,1,0)</f>
        <v>0</v>
      </c>
      <c r="B208" s="69"/>
      <c r="C208" s="69"/>
      <c r="D208" s="114"/>
      <c r="E208" s="112"/>
      <c r="F208" s="115" t="s">
        <v>68</v>
      </c>
      <c r="G208" s="96"/>
      <c r="H208" s="94"/>
      <c r="I208" s="91">
        <f t="shared" si="7"/>
        <v>0</v>
      </c>
      <c r="J208" s="95"/>
      <c r="K208" s="95"/>
      <c r="L208" s="96"/>
      <c r="M208" s="56" t="s">
        <v>149</v>
      </c>
      <c r="N208" s="56"/>
    </row>
    <row r="209" spans="1:14" s="51" customFormat="1" ht="25.2" hidden="1" customHeight="1">
      <c r="A209" s="68">
        <f t="shared" si="6"/>
        <v>0</v>
      </c>
      <c r="B209" s="86" t="s">
        <v>69</v>
      </c>
      <c r="C209" s="86"/>
      <c r="D209" s="96"/>
      <c r="E209" s="88">
        <f>VLOOKUP($B209,[1]DG!A:D,[1]DG!$B$2,)</f>
        <v>0</v>
      </c>
      <c r="F209" s="89" t="str">
        <f>VLOOKUP($B209,[1]DG!A:D,[1]DG!$C$2,)</f>
        <v>Trụ BTLT 12m F350 dự ứng lực</v>
      </c>
      <c r="G209" s="88" t="str">
        <f>VLOOKUP($B209,[1]DG!A:D,[1]DG!$D$2,)</f>
        <v>trụ</v>
      </c>
      <c r="H209" s="94">
        <f>1*H207</f>
        <v>0</v>
      </c>
      <c r="I209" s="91">
        <f t="shared" si="7"/>
        <v>0</v>
      </c>
      <c r="J209" s="92"/>
      <c r="K209" s="92"/>
      <c r="L209" s="96"/>
      <c r="M209" s="56" t="s">
        <v>149</v>
      </c>
      <c r="N209" s="56"/>
    </row>
    <row r="210" spans="1:14" s="51" customFormat="1" ht="25.2" hidden="1" customHeight="1">
      <c r="A210" s="68">
        <f t="shared" si="6"/>
        <v>0</v>
      </c>
      <c r="B210" s="86" t="s">
        <v>70</v>
      </c>
      <c r="C210" s="86"/>
      <c r="D210" s="96"/>
      <c r="E210" s="116"/>
      <c r="F210" s="89" t="str">
        <f>VLOOKUP($B210,[1]DG!A:D,[1]DG!$C$2,)</f>
        <v>Vật liệu dựng trụ</v>
      </c>
      <c r="G210" s="88" t="str">
        <f>VLOOKUP($B210,[1]DG!A:D,[1]DG!$D$2,)</f>
        <v>trụ</v>
      </c>
      <c r="H210" s="94">
        <f>H209</f>
        <v>0</v>
      </c>
      <c r="I210" s="91">
        <f t="shared" si="7"/>
        <v>0</v>
      </c>
      <c r="J210" s="92"/>
      <c r="K210" s="92"/>
      <c r="L210" s="96"/>
      <c r="M210" s="56" t="s">
        <v>149</v>
      </c>
      <c r="N210" s="56"/>
    </row>
    <row r="211" spans="1:14" s="51" customFormat="1" ht="25.2" hidden="1" customHeight="1">
      <c r="A211" s="68">
        <f t="shared" si="6"/>
        <v>0</v>
      </c>
      <c r="B211" s="86" t="s">
        <v>71</v>
      </c>
      <c r="C211" s="86"/>
      <c r="D211" s="96"/>
      <c r="E211" s="88" t="str">
        <f>VLOOKUP($B211,[1]DG!A:D,[1]DG!$B$2,)</f>
        <v>04.9203</v>
      </c>
      <c r="F211" s="89" t="str">
        <f>VLOOKUP($B211,[1]DG!A:D,[1]DG!$C$2,)</f>
        <v>Dựng trụ BTLT 12m trong TBA bằng thủ công + cơ giới</v>
      </c>
      <c r="G211" s="88" t="str">
        <f>VLOOKUP($B211,[1]DG!A:D,[1]DG!$D$2,)</f>
        <v>trụ</v>
      </c>
      <c r="H211" s="94">
        <f>H209</f>
        <v>0</v>
      </c>
      <c r="I211" s="91">
        <f t="shared" si="7"/>
        <v>0</v>
      </c>
      <c r="J211" s="92"/>
      <c r="K211" s="92"/>
      <c r="L211" s="96"/>
      <c r="M211" s="56" t="s">
        <v>149</v>
      </c>
      <c r="N211" s="56"/>
    </row>
    <row r="212" spans="1:14" s="51" customFormat="1" ht="25.2" hidden="1" customHeight="1">
      <c r="A212" s="68">
        <f t="shared" si="6"/>
        <v>0</v>
      </c>
      <c r="B212" s="69"/>
      <c r="C212" s="69"/>
      <c r="D212" s="111">
        <f>IF(H212&gt;0,D207+1,D207)</f>
        <v>0</v>
      </c>
      <c r="E212" s="112"/>
      <c r="F212" s="113" t="s">
        <v>72</v>
      </c>
      <c r="G212" s="114" t="s">
        <v>67</v>
      </c>
      <c r="H212" s="110">
        <f>H207</f>
        <v>0</v>
      </c>
      <c r="I212" s="91">
        <f t="shared" si="7"/>
        <v>0</v>
      </c>
      <c r="J212" s="95"/>
      <c r="K212" s="95"/>
      <c r="L212" s="96"/>
      <c r="M212" s="56" t="s">
        <v>149</v>
      </c>
    </row>
    <row r="213" spans="1:14" s="51" customFormat="1" ht="25.2" hidden="1" customHeight="1">
      <c r="A213" s="68">
        <f>IF(A212&gt;0,1,0)</f>
        <v>0</v>
      </c>
      <c r="B213" s="69"/>
      <c r="C213" s="69"/>
      <c r="D213" s="114"/>
      <c r="E213" s="112"/>
      <c r="F213" s="115" t="s">
        <v>68</v>
      </c>
      <c r="G213" s="96"/>
      <c r="H213" s="94"/>
      <c r="I213" s="91">
        <f t="shared" si="7"/>
        <v>0</v>
      </c>
      <c r="J213" s="95"/>
      <c r="K213" s="95"/>
      <c r="L213" s="96"/>
      <c r="M213" s="56" t="s">
        <v>149</v>
      </c>
      <c r="N213" s="56"/>
    </row>
    <row r="214" spans="1:14" s="51" customFormat="1" ht="25.2" hidden="1" customHeight="1">
      <c r="A214" s="68">
        <f t="shared" si="6"/>
        <v>0</v>
      </c>
      <c r="B214" s="86" t="s">
        <v>73</v>
      </c>
      <c r="C214" s="86"/>
      <c r="D214" s="96"/>
      <c r="E214" s="88" t="str">
        <f>VLOOKUP($B214,[1]DG!A:D,[1]DG!$B$2,)</f>
        <v>04.4001</v>
      </c>
      <c r="F214" s="89" t="str">
        <f>VLOOKUP($B214,[1]DG!A:D,[1]DG!$C$2,)</f>
        <v>Đà cản BTCT 1,2m</v>
      </c>
      <c r="G214" s="88" t="str">
        <f>VLOOKUP($B214,[1]DG!A:D,[1]DG!$D$2,)</f>
        <v>cái</v>
      </c>
      <c r="H214" s="94">
        <f>1*H212</f>
        <v>0</v>
      </c>
      <c r="I214" s="91">
        <f t="shared" si="7"/>
        <v>0</v>
      </c>
      <c r="J214" s="92"/>
      <c r="K214" s="92"/>
      <c r="L214" s="96"/>
      <c r="M214" s="56" t="s">
        <v>149</v>
      </c>
      <c r="N214" s="56"/>
    </row>
    <row r="215" spans="1:14" s="51" customFormat="1" ht="25.2" hidden="1" customHeight="1">
      <c r="A215" s="68">
        <f t="shared" si="6"/>
        <v>0</v>
      </c>
      <c r="B215" s="86" t="s">
        <v>74</v>
      </c>
      <c r="C215" s="86"/>
      <c r="D215" s="96"/>
      <c r="E215" s="88">
        <f>VLOOKUP($B215,[1]DG!A:D,[1]DG!$B$2,)</f>
        <v>0</v>
      </c>
      <c r="F215" s="89" t="str">
        <f>VLOOKUP($B215,[1]DG!A:D,[1]DG!$C$2,)</f>
        <v>Boulon 22x650+ 2 long đền vuông D24-50x50x3/Zn</v>
      </c>
      <c r="G215" s="88" t="str">
        <f>VLOOKUP($B215,[1]DG!A:D,[1]DG!$D$2,)</f>
        <v>bộ</v>
      </c>
      <c r="H215" s="94">
        <f>H212</f>
        <v>0</v>
      </c>
      <c r="I215" s="91">
        <f t="shared" si="7"/>
        <v>0</v>
      </c>
      <c r="J215" s="92"/>
      <c r="K215" s="92"/>
      <c r="L215" s="96"/>
      <c r="M215" s="56" t="s">
        <v>149</v>
      </c>
      <c r="N215" s="56"/>
    </row>
    <row r="216" spans="1:14" s="51" customFormat="1" ht="25.2" hidden="1" customHeight="1">
      <c r="A216" s="68">
        <f t="shared" si="6"/>
        <v>0</v>
      </c>
      <c r="B216" s="86" t="str">
        <f>IF(chitiet!G5=1,"MDD1",IF(chitiet!G5=2,"MDD2",IF(chitiet!G5=3,"MDD3",IF(chitiet!G5=4,"MDD4"))))</f>
        <v>MDD3</v>
      </c>
      <c r="C216" s="86"/>
      <c r="D216" s="96"/>
      <c r="E216" s="88" t="str">
        <f>VLOOKUP($B216,[1]DG!A:D,[1]DG!$B$2,)</f>
        <v>03.1013</v>
      </c>
      <c r="F216" s="89" t="str">
        <f>VLOOKUP($B216,[1]DG!A:D,[1]DG!$C$2,)</f>
        <v>Đào hố móng đất cấp 3 sâu &gt;1m</v>
      </c>
      <c r="G216" s="88" t="str">
        <f>VLOOKUP($B216,[1]DG!A:D,[1]DG!$D$2,)</f>
        <v>m3</v>
      </c>
      <c r="H216" s="94">
        <f>H212*1.45</f>
        <v>0</v>
      </c>
      <c r="I216" s="91">
        <f t="shared" si="7"/>
        <v>0</v>
      </c>
      <c r="J216" s="92"/>
      <c r="K216" s="92"/>
      <c r="L216" s="96"/>
      <c r="M216" s="56" t="s">
        <v>149</v>
      </c>
      <c r="N216" s="56"/>
    </row>
    <row r="217" spans="1:14" s="51" customFormat="1" ht="25.2" hidden="1" customHeight="1">
      <c r="A217" s="68">
        <f t="shared" si="6"/>
        <v>0</v>
      </c>
      <c r="B217" s="86" t="str">
        <f>IF(chitiet!G5=1,"MDAP1",IF(chitiet!G5=2,"MDAP2",IF(chitiet!G5=3,"MDAP3",IF(chitiet!G5=4,"MDAP4"))))</f>
        <v>MDAP3</v>
      </c>
      <c r="C217" s="86"/>
      <c r="D217" s="96"/>
      <c r="E217" s="88" t="str">
        <f>VLOOKUP($B217,[1]DG!A:D,[1]DG!$B$2,)</f>
        <v>03.4113</v>
      </c>
      <c r="F217" s="89" t="str">
        <f>VLOOKUP($B217,[1]DG!A:D,[1]DG!$C$2,)</f>
        <v>Đắp đất hố móng, độ chặt k=0,95</v>
      </c>
      <c r="G217" s="88" t="str">
        <f>VLOOKUP($B217,[1]DG!A:D,[1]DG!$D$2,)</f>
        <v>m3</v>
      </c>
      <c r="H217" s="94">
        <f>H212*1.37</f>
        <v>0</v>
      </c>
      <c r="I217" s="91">
        <f t="shared" si="7"/>
        <v>0</v>
      </c>
      <c r="J217" s="92"/>
      <c r="K217" s="92"/>
      <c r="L217" s="96"/>
      <c r="M217" s="56" t="s">
        <v>149</v>
      </c>
      <c r="N217" s="56"/>
    </row>
    <row r="218" spans="1:14" s="51" customFormat="1" ht="25.2" hidden="1" customHeight="1">
      <c r="A218" s="68">
        <f t="shared" si="6"/>
        <v>0</v>
      </c>
      <c r="B218" s="69"/>
      <c r="C218" s="69"/>
      <c r="D218" s="111">
        <f>IF(H218&gt;0,D212+1,D212)</f>
        <v>0</v>
      </c>
      <c r="E218" s="112"/>
      <c r="F218" s="136" t="s">
        <v>77</v>
      </c>
      <c r="G218" s="114" t="s">
        <v>67</v>
      </c>
      <c r="H218" s="110">
        <f>SUM(H197:H197)</f>
        <v>0</v>
      </c>
      <c r="I218" s="91">
        <f t="shared" si="7"/>
        <v>0</v>
      </c>
      <c r="J218" s="92"/>
      <c r="K218" s="92"/>
      <c r="L218" s="117"/>
      <c r="M218" s="56" t="s">
        <v>149</v>
      </c>
    </row>
    <row r="219" spans="1:14" s="51" customFormat="1" ht="25.2" hidden="1" customHeight="1">
      <c r="A219" s="68">
        <f>IF(A218&gt;0,1,0)</f>
        <v>0</v>
      </c>
      <c r="B219" s="69"/>
      <c r="C219" s="69"/>
      <c r="D219" s="114"/>
      <c r="E219" s="112"/>
      <c r="F219" s="137" t="s">
        <v>68</v>
      </c>
      <c r="G219" s="96"/>
      <c r="H219" s="94"/>
      <c r="I219" s="91">
        <f t="shared" si="7"/>
        <v>0</v>
      </c>
      <c r="J219" s="92"/>
      <c r="K219" s="92"/>
      <c r="L219" s="117"/>
      <c r="M219" s="56" t="s">
        <v>149</v>
      </c>
    </row>
    <row r="220" spans="1:14" s="51" customFormat="1" ht="25.2" hidden="1" customHeight="1">
      <c r="A220" s="68">
        <f t="shared" si="6"/>
        <v>0</v>
      </c>
      <c r="B220" s="69" t="s">
        <v>78</v>
      </c>
      <c r="C220" s="69"/>
      <c r="D220" s="96"/>
      <c r="E220" s="88" t="str">
        <f>VLOOKUP($B220,[1]DG!A:D,[1]DG!$B$2,)</f>
        <v>05.6001</v>
      </c>
      <c r="F220" s="89" t="str">
        <f>VLOOKUP($B220,[1]DG!A:D,[1]DG!$C$2,)</f>
        <v>Giá chữ "T" lắp FCO, LA (V50x50x5)</v>
      </c>
      <c r="G220" s="88" t="str">
        <f>VLOOKUP($B220,[1]DG!A:D,[1]DG!$D$2,)</f>
        <v>Kg</v>
      </c>
      <c r="H220" s="94">
        <f>1*H218</f>
        <v>0</v>
      </c>
      <c r="I220" s="91">
        <f t="shared" si="7"/>
        <v>0</v>
      </c>
      <c r="J220" s="92"/>
      <c r="K220" s="92"/>
      <c r="L220" s="117"/>
      <c r="M220" s="56" t="s">
        <v>149</v>
      </c>
    </row>
    <row r="221" spans="1:14" s="51" customFormat="1" ht="25.2" hidden="1" customHeight="1">
      <c r="A221" s="68">
        <f t="shared" ref="A221:A284" si="10">IF(I221&gt;0,1,0)</f>
        <v>0</v>
      </c>
      <c r="B221" s="69" t="s">
        <v>65</v>
      </c>
      <c r="C221" s="69"/>
      <c r="D221" s="96"/>
      <c r="E221" s="116"/>
      <c r="F221" s="89" t="str">
        <f>VLOOKUP($B221,[1]DG!A:D,[1]DG!$C$2,)</f>
        <v>Boulon 16x300+ 2 long đền vuông D18-50x50x3/Zn</v>
      </c>
      <c r="G221" s="88" t="str">
        <f>VLOOKUP($B221,[1]DG!A:D,[1]DG!$D$2,)</f>
        <v>bộ</v>
      </c>
      <c r="H221" s="94">
        <f>2*H218</f>
        <v>0</v>
      </c>
      <c r="I221" s="91">
        <f t="shared" si="7"/>
        <v>0</v>
      </c>
      <c r="J221" s="92"/>
      <c r="K221" s="92"/>
      <c r="L221" s="117"/>
      <c r="M221" s="56" t="s">
        <v>149</v>
      </c>
    </row>
    <row r="222" spans="1:14" s="51" customFormat="1" ht="25.2" hidden="1" customHeight="1">
      <c r="A222" s="68">
        <f t="shared" si="10"/>
        <v>0</v>
      </c>
      <c r="B222" s="69" t="s">
        <v>79</v>
      </c>
      <c r="C222" s="69"/>
      <c r="D222" s="96"/>
      <c r="E222" s="116"/>
      <c r="F222" s="89" t="str">
        <f>VLOOKUP($B222,[1]DG!A:D,[1]DG!$C$2,)</f>
        <v>Boulon 12x50+ 2 long đền vuông D14-50x50x3/Zn</v>
      </c>
      <c r="G222" s="88" t="str">
        <f>VLOOKUP($B222,[1]DG!A:D,[1]DG!$D$2,)</f>
        <v>bộ</v>
      </c>
      <c r="H222" s="94">
        <f>2*H218</f>
        <v>0</v>
      </c>
      <c r="I222" s="91">
        <f t="shared" si="7"/>
        <v>0</v>
      </c>
      <c r="J222" s="92"/>
      <c r="K222" s="92"/>
      <c r="L222" s="117"/>
      <c r="M222" s="56" t="s">
        <v>149</v>
      </c>
    </row>
    <row r="223" spans="1:14" s="51" customFormat="1" ht="25.2" hidden="1" customHeight="1">
      <c r="A223" s="68">
        <f t="shared" si="10"/>
        <v>0</v>
      </c>
      <c r="B223" s="69"/>
      <c r="C223" s="69"/>
      <c r="D223" s="114">
        <f>IF(H223&gt;0,D218+1,D218)</f>
        <v>0</v>
      </c>
      <c r="E223" s="112"/>
      <c r="F223" s="136" t="s">
        <v>80</v>
      </c>
      <c r="G223" s="114" t="s">
        <v>67</v>
      </c>
      <c r="H223" s="110">
        <f>H218</f>
        <v>0</v>
      </c>
      <c r="I223" s="91">
        <f t="shared" si="7"/>
        <v>0</v>
      </c>
      <c r="J223" s="92"/>
      <c r="K223" s="92"/>
      <c r="L223" s="117"/>
      <c r="M223" s="56" t="s">
        <v>149</v>
      </c>
    </row>
    <row r="224" spans="1:14" s="51" customFormat="1" ht="25.2" hidden="1" customHeight="1">
      <c r="A224" s="68">
        <f>IF(A223&gt;0,1,0)</f>
        <v>0</v>
      </c>
      <c r="B224" s="69"/>
      <c r="C224" s="69"/>
      <c r="D224" s="96"/>
      <c r="E224" s="116"/>
      <c r="F224" s="137" t="s">
        <v>68</v>
      </c>
      <c r="G224" s="96"/>
      <c r="H224" s="94"/>
      <c r="I224" s="91">
        <f t="shared" si="7"/>
        <v>0</v>
      </c>
      <c r="J224" s="92"/>
      <c r="K224" s="92"/>
      <c r="L224" s="117"/>
      <c r="M224" s="56" t="s">
        <v>149</v>
      </c>
    </row>
    <row r="225" spans="1:13" s="51" customFormat="1" ht="25.2" hidden="1" customHeight="1">
      <c r="A225" s="68">
        <f t="shared" si="10"/>
        <v>0</v>
      </c>
      <c r="B225" s="69" t="s">
        <v>81</v>
      </c>
      <c r="C225" s="69"/>
      <c r="D225" s="96"/>
      <c r="E225" s="88">
        <f>VLOOKUP($B225,[1]DG!A:D,[1]DG!$B$2,)</f>
        <v>0</v>
      </c>
      <c r="F225" s="89" t="str">
        <f>VLOOKUP($B225,[1]DG!A:D,[1]DG!$C$2,)</f>
        <v>Cáp đồng trần M25mm2</v>
      </c>
      <c r="G225" s="88" t="str">
        <f>VLOOKUP($B225,[1]DG!A:D,[1]DG!$D$2,)</f>
        <v>kg</v>
      </c>
      <c r="H225" s="94">
        <f>+H223*10*0.224</f>
        <v>0</v>
      </c>
      <c r="I225" s="91">
        <f t="shared" ref="I225:I288" si="11">IF(M225=$M$23,H225+J225-K225,0)</f>
        <v>0</v>
      </c>
      <c r="J225" s="92"/>
      <c r="K225" s="92"/>
      <c r="L225" s="117"/>
      <c r="M225" s="56" t="s">
        <v>149</v>
      </c>
    </row>
    <row r="226" spans="1:13" s="51" customFormat="1" ht="25.2" hidden="1" customHeight="1">
      <c r="A226" s="68">
        <f t="shared" si="10"/>
        <v>0</v>
      </c>
      <c r="B226" s="86" t="s">
        <v>82</v>
      </c>
      <c r="C226" s="86"/>
      <c r="D226" s="96"/>
      <c r="E226" s="88">
        <f>VLOOKUP($B226,[1]DG!A:D,[1]DG!$B$2,)</f>
        <v>0</v>
      </c>
      <c r="F226" s="89" t="str">
        <f>VLOOKUP($B226,[1]DG!A:D,[1]DG!$C$2,)</f>
        <v>Cọc tiếp đất Þ 16- 2,4m + kẹp cọc mạ đồng</v>
      </c>
      <c r="G226" s="88" t="str">
        <f>VLOOKUP($B226,[1]DG!A:D,[1]DG!$D$2,)</f>
        <v>bộ</v>
      </c>
      <c r="H226" s="94">
        <f>12*H223</f>
        <v>0</v>
      </c>
      <c r="I226" s="91">
        <f t="shared" si="11"/>
        <v>0</v>
      </c>
      <c r="J226" s="92"/>
      <c r="K226" s="92"/>
      <c r="L226" s="117"/>
      <c r="M226" s="56" t="s">
        <v>149</v>
      </c>
    </row>
    <row r="227" spans="1:13" s="51" customFormat="1" ht="25.2" hidden="1" customHeight="1">
      <c r="A227" s="68">
        <f t="shared" si="10"/>
        <v>0</v>
      </c>
      <c r="B227" s="144" t="s">
        <v>153</v>
      </c>
      <c r="C227" s="144"/>
      <c r="D227" s="96"/>
      <c r="E227" s="88">
        <f>VLOOKUP($B227,[1]DG!A:D,[1]DG!$B$2,)</f>
        <v>0</v>
      </c>
      <c r="F227" s="89" t="str">
        <f>VLOOKUP($B227,[1]DG!A:D,[1]DG!$C$2,)</f>
        <v>Sắt Ø10</v>
      </c>
      <c r="G227" s="88" t="str">
        <f>VLOOKUP($B227,[1]DG!A:D,[1]DG!$D$2,)</f>
        <v>kg</v>
      </c>
      <c r="H227" s="94">
        <f>40*H223</f>
        <v>0</v>
      </c>
      <c r="I227" s="91">
        <f t="shared" si="11"/>
        <v>0</v>
      </c>
      <c r="J227" s="92"/>
      <c r="K227" s="92"/>
      <c r="L227" s="117"/>
      <c r="M227" s="56" t="s">
        <v>149</v>
      </c>
    </row>
    <row r="228" spans="1:13" s="51" customFormat="1" ht="25.2" hidden="1" customHeight="1">
      <c r="A228" s="68">
        <f t="shared" si="10"/>
        <v>0</v>
      </c>
      <c r="B228" s="69" t="s">
        <v>84</v>
      </c>
      <c r="C228" s="69"/>
      <c r="D228" s="96"/>
      <c r="E228" s="88">
        <f>VLOOKUP($B228,[1]DG!A:D,[1]DG!$B$2,)</f>
        <v>0</v>
      </c>
      <c r="F228" s="89" t="str">
        <f>VLOOKUP($B228,[1]DG!A:D,[1]DG!$C$2,)</f>
        <v>Kẹp ép WR cỡ dây 50mm2</v>
      </c>
      <c r="G228" s="88" t="str">
        <f>VLOOKUP($B228,[1]DG!A:D,[1]DG!$D$2,)</f>
        <v>cái</v>
      </c>
      <c r="H228" s="94">
        <f>2*H223</f>
        <v>0</v>
      </c>
      <c r="I228" s="91">
        <f t="shared" si="11"/>
        <v>0</v>
      </c>
      <c r="J228" s="92"/>
      <c r="K228" s="92"/>
      <c r="L228" s="117"/>
      <c r="M228" s="56" t="s">
        <v>149</v>
      </c>
    </row>
    <row r="229" spans="1:13" s="51" customFormat="1" ht="25.2" hidden="1" customHeight="1">
      <c r="A229" s="68">
        <f t="shared" si="10"/>
        <v>0</v>
      </c>
      <c r="B229" s="69" t="s">
        <v>154</v>
      </c>
      <c r="C229" s="69"/>
      <c r="D229" s="96"/>
      <c r="E229" s="88" t="str">
        <f>VLOOKUP($B229,[1]DG!A:D,[1]DG!$B$2,)</f>
        <v>04.3107</v>
      </c>
      <c r="F229" s="89" t="str">
        <f>VLOOKUP($B229,[1]DG!A:D,[1]DG!$C$2,)</f>
        <v>Ốc siết cáp cỡ 25mm2</v>
      </c>
      <c r="G229" s="88" t="str">
        <f>VLOOKUP($B229,[1]DG!A:D,[1]DG!$D$2,)</f>
        <v>cái</v>
      </c>
      <c r="H229" s="94">
        <f>4*H223</f>
        <v>0</v>
      </c>
      <c r="I229" s="91">
        <f t="shared" si="11"/>
        <v>0</v>
      </c>
      <c r="J229" s="92"/>
      <c r="K229" s="92"/>
      <c r="L229" s="117"/>
      <c r="M229" s="56" t="s">
        <v>149</v>
      </c>
    </row>
    <row r="230" spans="1:13" s="51" customFormat="1" ht="25.2" hidden="1" customHeight="1">
      <c r="A230" s="68">
        <f t="shared" si="10"/>
        <v>0</v>
      </c>
      <c r="B230" s="69" t="s">
        <v>155</v>
      </c>
      <c r="C230" s="69"/>
      <c r="D230" s="96"/>
      <c r="E230" s="88" t="str">
        <f>VLOOKUP($B230,[1]DG!A:D,[1]DG!$B$2,)</f>
        <v>03.4003</v>
      </c>
      <c r="F230" s="89" t="str">
        <f>VLOOKUP($B230,[1]DG!A:D,[1]DG!$C$2,)</f>
        <v>Đầu cosse ép Cu 70mm2</v>
      </c>
      <c r="G230" s="88" t="str">
        <f>VLOOKUP($B230,[1]DG!A:D,[1]DG!$D$2,)</f>
        <v>cái</v>
      </c>
      <c r="H230" s="94">
        <f>+H223*2</f>
        <v>0</v>
      </c>
      <c r="I230" s="91">
        <f t="shared" si="11"/>
        <v>0</v>
      </c>
      <c r="J230" s="92"/>
      <c r="K230" s="92"/>
      <c r="L230" s="117"/>
      <c r="M230" s="56" t="s">
        <v>149</v>
      </c>
    </row>
    <row r="231" spans="1:13" s="51" customFormat="1" ht="25.2" hidden="1" customHeight="1">
      <c r="A231" s="68">
        <f t="shared" si="10"/>
        <v>0</v>
      </c>
      <c r="B231" s="69" t="s">
        <v>156</v>
      </c>
      <c r="C231" s="69"/>
      <c r="D231" s="96"/>
      <c r="E231" s="88" t="str">
        <f>VLOOKUP($B231,[1]DG!A:D,[1]DG!$B$2,)</f>
        <v>03.4002</v>
      </c>
      <c r="F231" s="89" t="str">
        <f>VLOOKUP($B231,[1]DG!A:D,[1]DG!$C$2,)</f>
        <v>Đầu cosse ép Cu 50mm2</v>
      </c>
      <c r="G231" s="88" t="str">
        <f>VLOOKUP($B231,[1]DG!A:D,[1]DG!$D$2,)</f>
        <v>cái</v>
      </c>
      <c r="H231" s="94">
        <f>+H223*3</f>
        <v>0</v>
      </c>
      <c r="I231" s="91">
        <f t="shared" si="11"/>
        <v>0</v>
      </c>
      <c r="J231" s="92"/>
      <c r="K231" s="92"/>
      <c r="L231" s="117"/>
      <c r="M231" s="56" t="s">
        <v>149</v>
      </c>
    </row>
    <row r="232" spans="1:13" s="51" customFormat="1" ht="25.2" hidden="1" customHeight="1">
      <c r="A232" s="68">
        <f t="shared" si="10"/>
        <v>0</v>
      </c>
      <c r="B232" s="86" t="s">
        <v>86</v>
      </c>
      <c r="C232" s="86"/>
      <c r="D232" s="96"/>
      <c r="E232" s="88" t="str">
        <f>VLOOKUP($B232,[1]DG!A:D,[1]DG!$B$2,)</f>
        <v>06.3231</v>
      </c>
      <c r="F232" s="89" t="str">
        <f>VLOOKUP($B232,[1]DG!A:D,[1]DG!$C$2,)</f>
        <v>Cổ dê kẹp ống PVC  21</v>
      </c>
      <c r="G232" s="88" t="str">
        <f>VLOOKUP($B232,[1]DG!A:D,[1]DG!$D$2,)</f>
        <v>bộ</v>
      </c>
      <c r="H232" s="94">
        <f>2*H223</f>
        <v>0</v>
      </c>
      <c r="I232" s="91">
        <f t="shared" si="11"/>
        <v>0</v>
      </c>
      <c r="J232" s="92"/>
      <c r="K232" s="92"/>
      <c r="L232" s="117"/>
      <c r="M232" s="56" t="s">
        <v>149</v>
      </c>
    </row>
    <row r="233" spans="1:13" s="51" customFormat="1" ht="25.2" hidden="1" customHeight="1">
      <c r="A233" s="68">
        <f t="shared" si="10"/>
        <v>0</v>
      </c>
      <c r="B233" s="86" t="s">
        <v>157</v>
      </c>
      <c r="C233" s="86"/>
      <c r="D233" s="111"/>
      <c r="E233" s="88">
        <f>VLOOKUP($B233,[1]DG!A:D,[1]DG!$B$2,)</f>
        <v>0</v>
      </c>
      <c r="F233" s="89" t="s">
        <v>158</v>
      </c>
      <c r="G233" s="88" t="str">
        <f>VLOOKUP($B233,[1]DG!A:D,[1]DG!$D$2,)</f>
        <v>bộ</v>
      </c>
      <c r="H233" s="145">
        <f>+H223*10</f>
        <v>0</v>
      </c>
      <c r="I233" s="91">
        <f t="shared" si="11"/>
        <v>0</v>
      </c>
      <c r="J233" s="146"/>
      <c r="K233" s="146"/>
      <c r="L233" s="117"/>
      <c r="M233" s="56" t="s">
        <v>149</v>
      </c>
    </row>
    <row r="234" spans="1:13" s="51" customFormat="1" ht="25.2" hidden="1" customHeight="1">
      <c r="A234" s="68">
        <f t="shared" si="10"/>
        <v>0</v>
      </c>
      <c r="B234" s="69" t="s">
        <v>90</v>
      </c>
      <c r="C234" s="69"/>
      <c r="D234" s="96"/>
      <c r="E234" s="88" t="str">
        <f>VLOOKUP($B234,[1]DG!A:D,[1]DG!$B$2,)</f>
        <v>04.7002</v>
      </c>
      <c r="F234" s="89" t="str">
        <f>VLOOKUP($B234,[1]DG!A:D,[1]DG!$C$2,)</f>
        <v>Kéo dây tiếp địa trong TBA</v>
      </c>
      <c r="G234" s="88" t="str">
        <f>VLOOKUP($B234,[1]DG!A:D,[1]DG!$D$2,)</f>
        <v>mét</v>
      </c>
      <c r="H234" s="94">
        <f>H223*I3</f>
        <v>0</v>
      </c>
      <c r="I234" s="91">
        <f t="shared" si="11"/>
        <v>0</v>
      </c>
      <c r="J234" s="92"/>
      <c r="K234" s="92"/>
      <c r="L234" s="117"/>
      <c r="M234" s="56" t="s">
        <v>149</v>
      </c>
    </row>
    <row r="235" spans="1:13" s="51" customFormat="1" ht="25.2" hidden="1" customHeight="1">
      <c r="A235" s="68">
        <f t="shared" si="10"/>
        <v>0</v>
      </c>
      <c r="B235" s="86" t="s">
        <v>89</v>
      </c>
      <c r="C235" s="86"/>
      <c r="D235" s="96"/>
      <c r="E235" s="88" t="str">
        <f>VLOOKUP($B235,[1]DG!A:D,[1]DG!$B$2,)</f>
        <v>04.7001</v>
      </c>
      <c r="F235" s="89" t="str">
        <f>VLOOKUP($B235,[1]DG!A:D,[1]DG!$C$2,)</f>
        <v>Đóng cọc tiếp địa trong TBA</v>
      </c>
      <c r="G235" s="88" t="str">
        <f>VLOOKUP($B235,[1]DG!A:D,[1]DG!$D$2,)</f>
        <v>cọc</v>
      </c>
      <c r="H235" s="94">
        <f>H226</f>
        <v>0</v>
      </c>
      <c r="I235" s="91">
        <f t="shared" si="11"/>
        <v>0</v>
      </c>
      <c r="J235" s="92"/>
      <c r="K235" s="92"/>
      <c r="L235" s="117"/>
      <c r="M235" s="56" t="s">
        <v>149</v>
      </c>
    </row>
    <row r="236" spans="1:13" s="51" customFormat="1" ht="25.2" hidden="1" customHeight="1">
      <c r="A236" s="68">
        <f t="shared" si="10"/>
        <v>0</v>
      </c>
      <c r="B236" s="69" t="str">
        <f>"dtd"&amp;chitiet!G5</f>
        <v>dtd3</v>
      </c>
      <c r="C236" s="69"/>
      <c r="D236" s="96"/>
      <c r="E236" s="88" t="str">
        <f>VLOOKUP($B236,[1]DG!A:D,[1]DG!$B$2,)</f>
        <v>03.3123</v>
      </c>
      <c r="F236" s="89" t="str">
        <f>VLOOKUP($B236,[1]DG!A:D,[1]DG!$C$2,)</f>
        <v>Đào rãnh tiếp địa đất cấp 3</v>
      </c>
      <c r="G236" s="88" t="str">
        <f>VLOOKUP($B236,[1]DG!A:D,[1]DG!$D$2,)</f>
        <v>m3</v>
      </c>
      <c r="H236" s="94">
        <f>+H223*11*0.3*0.8</f>
        <v>0</v>
      </c>
      <c r="I236" s="91">
        <f t="shared" si="11"/>
        <v>0</v>
      </c>
      <c r="J236" s="92"/>
      <c r="K236" s="92"/>
      <c r="L236" s="117"/>
      <c r="M236" s="56" t="s">
        <v>149</v>
      </c>
    </row>
    <row r="237" spans="1:13" s="51" customFormat="1" ht="25.2" hidden="1" customHeight="1">
      <c r="A237" s="68">
        <f t="shared" si="10"/>
        <v>0</v>
      </c>
      <c r="B237" s="86" t="str">
        <f>"datd"&amp;chitiet!G5</f>
        <v>datd3</v>
      </c>
      <c r="C237" s="86"/>
      <c r="D237" s="96"/>
      <c r="E237" s="88" t="str">
        <f>VLOOKUP($B237,[1]DG!A:D,[1]DG!$B$2,)</f>
        <v>03.4123</v>
      </c>
      <c r="F237" s="89" t="str">
        <f>VLOOKUP($B237,[1]DG!A:D,[1]DG!$C$2,)</f>
        <v>Đắp đất rãnh tiếp độ chặt k=0,85</v>
      </c>
      <c r="G237" s="88" t="str">
        <f>VLOOKUP($B237,[1]DG!A:D,[1]DG!$D$2,)</f>
        <v>m3</v>
      </c>
      <c r="H237" s="94">
        <f>+H236</f>
        <v>0</v>
      </c>
      <c r="I237" s="91">
        <f t="shared" si="11"/>
        <v>0</v>
      </c>
      <c r="J237" s="92"/>
      <c r="K237" s="92"/>
      <c r="L237" s="117"/>
      <c r="M237" s="56" t="s">
        <v>149</v>
      </c>
    </row>
    <row r="238" spans="1:13" s="51" customFormat="1" ht="25.2" hidden="1" customHeight="1">
      <c r="A238" s="68">
        <f t="shared" si="10"/>
        <v>0</v>
      </c>
      <c r="B238" s="69"/>
      <c r="C238" s="69"/>
      <c r="D238" s="114">
        <f>IF(H238&gt;0,D223+1,D223)</f>
        <v>0</v>
      </c>
      <c r="E238" s="88"/>
      <c r="F238" s="113" t="s">
        <v>159</v>
      </c>
      <c r="G238" s="114" t="s">
        <v>67</v>
      </c>
      <c r="H238" s="110">
        <f>H218</f>
        <v>0</v>
      </c>
      <c r="I238" s="91">
        <f t="shared" si="11"/>
        <v>0</v>
      </c>
      <c r="J238" s="92"/>
      <c r="K238" s="92"/>
      <c r="L238" s="117"/>
      <c r="M238" s="56" t="s">
        <v>149</v>
      </c>
    </row>
    <row r="239" spans="1:13" s="51" customFormat="1" ht="25.2" hidden="1" customHeight="1">
      <c r="A239" s="68">
        <f>IF(A238&gt;0,1,0)</f>
        <v>0</v>
      </c>
      <c r="B239" s="69"/>
      <c r="C239" s="69"/>
      <c r="D239" s="114"/>
      <c r="E239" s="88"/>
      <c r="F239" s="137" t="s">
        <v>68</v>
      </c>
      <c r="G239" s="96"/>
      <c r="H239" s="94"/>
      <c r="I239" s="91">
        <f t="shared" si="11"/>
        <v>0</v>
      </c>
      <c r="J239" s="92"/>
      <c r="K239" s="92"/>
      <c r="L239" s="117"/>
      <c r="M239" s="56" t="s">
        <v>149</v>
      </c>
    </row>
    <row r="240" spans="1:13" s="51" customFormat="1" ht="25.2" hidden="1" customHeight="1">
      <c r="A240" s="68">
        <f t="shared" si="10"/>
        <v>0</v>
      </c>
      <c r="B240" s="86" t="s">
        <v>94</v>
      </c>
      <c r="C240" s="86"/>
      <c r="D240" s="96"/>
      <c r="E240" s="88" t="str">
        <f>VLOOKUP($B240,[1]DG!A:D,[1]DG!$B$2,)</f>
        <v>05.1001</v>
      </c>
      <c r="F240" s="89" t="str">
        <f>VLOOKUP($B240,[1]DG!A:D,[1]DG!$C$2,)</f>
        <v>Tủ CB trạm 1 pha + khóa + boulon</v>
      </c>
      <c r="G240" s="88" t="str">
        <f>VLOOKUP($B240,[1]DG!A:D,[1]DG!$D$2,)</f>
        <v>cái</v>
      </c>
      <c r="H240" s="94">
        <f>H238</f>
        <v>0</v>
      </c>
      <c r="I240" s="91">
        <f t="shared" si="11"/>
        <v>0</v>
      </c>
      <c r="J240" s="92"/>
      <c r="K240" s="92"/>
      <c r="L240" s="117"/>
      <c r="M240" s="56" t="s">
        <v>149</v>
      </c>
    </row>
    <row r="241" spans="1:13" s="51" customFormat="1" ht="25.2" hidden="1" customHeight="1">
      <c r="A241" s="68">
        <f t="shared" si="10"/>
        <v>0</v>
      </c>
      <c r="B241" s="69" t="s">
        <v>95</v>
      </c>
      <c r="C241" s="69"/>
      <c r="D241" s="96"/>
      <c r="E241" s="88" t="str">
        <f>VLOOKUP($B241,[1]DG!A:D,[1]DG!$B$2,)</f>
        <v>06.3231</v>
      </c>
      <c r="F241" s="89" t="str">
        <f>VLOOKUP($B241,[1]DG!A:D,[1]DG!$C$2,)</f>
        <v>Cổ dê bắt tủ</v>
      </c>
      <c r="G241" s="88" t="str">
        <f>VLOOKUP($B241,[1]DG!A:D,[1]DG!$D$2,)</f>
        <v>bộ</v>
      </c>
      <c r="H241" s="94">
        <f>2*H238</f>
        <v>0</v>
      </c>
      <c r="I241" s="91">
        <f t="shared" si="11"/>
        <v>0</v>
      </c>
      <c r="J241" s="92"/>
      <c r="K241" s="92"/>
      <c r="L241" s="117"/>
      <c r="M241" s="56" t="s">
        <v>149</v>
      </c>
    </row>
    <row r="242" spans="1:13" s="51" customFormat="1" ht="25.2" hidden="1" customHeight="1">
      <c r="A242" s="68">
        <f t="shared" si="10"/>
        <v>0</v>
      </c>
      <c r="B242" s="69" t="s">
        <v>96</v>
      </c>
      <c r="C242" s="69"/>
      <c r="D242" s="96"/>
      <c r="E242" s="88">
        <f>VLOOKUP($B242,[1]DG!A:D,[1]DG!$B$2,)</f>
        <v>0</v>
      </c>
      <c r="F242" s="89" t="str">
        <f>VLOOKUP($B242,[1]DG!A:D,[1]DG!$C$2,)</f>
        <v xml:space="preserve">Bakelit 550x450 dầy 10mm </v>
      </c>
      <c r="G242" s="88" t="str">
        <f>VLOOKUP($B242,[1]DG!A:D,[1]DG!$D$2,)</f>
        <v>cái</v>
      </c>
      <c r="H242" s="94">
        <f>H238</f>
        <v>0</v>
      </c>
      <c r="I242" s="91">
        <f t="shared" si="11"/>
        <v>0</v>
      </c>
      <c r="J242" s="92"/>
      <c r="K242" s="92"/>
      <c r="L242" s="117"/>
      <c r="M242" s="56" t="s">
        <v>149</v>
      </c>
    </row>
    <row r="243" spans="1:13" s="51" customFormat="1" ht="25.2" hidden="1" customHeight="1">
      <c r="A243" s="68">
        <f t="shared" si="10"/>
        <v>0</v>
      </c>
      <c r="B243" s="69"/>
      <c r="C243" s="69"/>
      <c r="D243" s="114">
        <f>IF(H243&gt;0,D238+1,D238)</f>
        <v>0</v>
      </c>
      <c r="E243" s="88"/>
      <c r="F243" s="136" t="s">
        <v>97</v>
      </c>
      <c r="G243" s="114" t="s">
        <v>67</v>
      </c>
      <c r="H243" s="110">
        <f>H238</f>
        <v>0</v>
      </c>
      <c r="I243" s="91">
        <f t="shared" si="11"/>
        <v>0</v>
      </c>
      <c r="J243" s="92"/>
      <c r="K243" s="92"/>
      <c r="L243" s="117"/>
      <c r="M243" s="56" t="s">
        <v>149</v>
      </c>
    </row>
    <row r="244" spans="1:13" s="51" customFormat="1" ht="25.2" hidden="1" customHeight="1">
      <c r="A244" s="68">
        <f>IF(A243&gt;0,1,0)</f>
        <v>0</v>
      </c>
      <c r="B244" s="69"/>
      <c r="C244" s="69"/>
      <c r="D244" s="114"/>
      <c r="E244" s="88"/>
      <c r="F244" s="137" t="s">
        <v>68</v>
      </c>
      <c r="G244" s="96"/>
      <c r="H244" s="94"/>
      <c r="I244" s="91">
        <f t="shared" si="11"/>
        <v>0</v>
      </c>
      <c r="J244" s="92"/>
      <c r="K244" s="92"/>
      <c r="L244" s="117"/>
      <c r="M244" s="56" t="s">
        <v>149</v>
      </c>
    </row>
    <row r="245" spans="1:13" s="51" customFormat="1" ht="25.2" hidden="1" customHeight="1">
      <c r="A245" s="68">
        <f t="shared" si="10"/>
        <v>0</v>
      </c>
      <c r="B245" s="98" t="s">
        <v>133</v>
      </c>
      <c r="C245" s="98"/>
      <c r="D245" s="96"/>
      <c r="E245" s="88">
        <f>VLOOKUP($B245,[1]DG!A:D,[1]DG!$B$2,)</f>
        <v>0</v>
      </c>
      <c r="F245" s="89" t="str">
        <f>VLOOKUP($B245,[1]DG!A:D,[1]DG!$C$2,)</f>
        <v>Cáp 24KV CX-25mm2</v>
      </c>
      <c r="G245" s="88" t="str">
        <f>VLOOKUP($B245,[1]DG!A:D,[1]DG!$D$2,)</f>
        <v>mét</v>
      </c>
      <c r="H245" s="94">
        <f>3*H243</f>
        <v>0</v>
      </c>
      <c r="I245" s="91">
        <f t="shared" si="11"/>
        <v>0</v>
      </c>
      <c r="J245" s="92"/>
      <c r="K245" s="92"/>
      <c r="L245" s="117"/>
      <c r="M245" s="56" t="s">
        <v>149</v>
      </c>
    </row>
    <row r="246" spans="1:13" s="51" customFormat="1" ht="25.2" hidden="1" customHeight="1">
      <c r="A246" s="68">
        <f t="shared" si="10"/>
        <v>0</v>
      </c>
      <c r="B246" s="86" t="s">
        <v>99</v>
      </c>
      <c r="C246" s="86"/>
      <c r="D246" s="96"/>
      <c r="E246" s="88" t="str">
        <f>VLOOKUP($B246,[1]DG!A:D,[1]DG!$B$2,)</f>
        <v>04.3007</v>
      </c>
      <c r="F246" s="89" t="str">
        <f>VLOOKUP($B246,[1]DG!A:D,[1]DG!$C$2,)</f>
        <v>Kẹp quai 2/0</v>
      </c>
      <c r="G246" s="88" t="str">
        <f>VLOOKUP($B246,[1]DG!A:D,[1]DG!$D$2,)</f>
        <v>cái</v>
      </c>
      <c r="H246" s="94">
        <f>H243</f>
        <v>0</v>
      </c>
      <c r="I246" s="91">
        <f t="shared" si="11"/>
        <v>0</v>
      </c>
      <c r="J246" s="92"/>
      <c r="K246" s="92"/>
      <c r="L246" s="117"/>
      <c r="M246" s="56" t="s">
        <v>149</v>
      </c>
    </row>
    <row r="247" spans="1:13" s="51" customFormat="1" ht="25.2" hidden="1" customHeight="1">
      <c r="A247" s="68">
        <f t="shared" si="10"/>
        <v>0</v>
      </c>
      <c r="B247" s="86" t="s">
        <v>100</v>
      </c>
      <c r="C247" s="86"/>
      <c r="D247" s="96"/>
      <c r="E247" s="88" t="str">
        <f>VLOOKUP($B247,[1]DG!A:D,[1]DG!$B$2,)</f>
        <v>04.3007</v>
      </c>
      <c r="F247" s="89" t="str">
        <f>VLOOKUP($B247,[1]DG!A:D,[1]DG!$C$2,)</f>
        <v>Kẹp hotline 2/0</v>
      </c>
      <c r="G247" s="88" t="str">
        <f>VLOOKUP($B247,[1]DG!A:D,[1]DG!$D$2,)</f>
        <v>cái</v>
      </c>
      <c r="H247" s="94">
        <f>H243</f>
        <v>0</v>
      </c>
      <c r="I247" s="91">
        <f t="shared" si="11"/>
        <v>0</v>
      </c>
      <c r="J247" s="92"/>
      <c r="K247" s="92"/>
      <c r="L247" s="117"/>
      <c r="M247" s="56" t="s">
        <v>149</v>
      </c>
    </row>
    <row r="248" spans="1:13" s="51" customFormat="1" ht="25.2" hidden="1" customHeight="1">
      <c r="A248" s="68">
        <f t="shared" si="10"/>
        <v>0</v>
      </c>
      <c r="B248" s="86" t="s">
        <v>101</v>
      </c>
      <c r="C248" s="86"/>
      <c r="D248" s="96"/>
      <c r="E248" s="88" t="str">
        <f>VLOOKUP($B248,[1]DG!A:D,[1]DG!$B$2,)</f>
        <v>04.4201</v>
      </c>
      <c r="F248" s="89" t="str">
        <f>VLOOKUP($B248,[1]DG!A:D,[1]DG!$C$2,)</f>
        <v>Lắp cáp đồng xuống thiết bị D ≤ 95mm2</v>
      </c>
      <c r="G248" s="88" t="str">
        <f>VLOOKUP($B248,[1]DG!A:D,[1]DG!$D$2,)</f>
        <v>m</v>
      </c>
      <c r="H248" s="94">
        <f>H245</f>
        <v>0</v>
      </c>
      <c r="I248" s="91">
        <f t="shared" si="11"/>
        <v>0</v>
      </c>
      <c r="J248" s="92"/>
      <c r="K248" s="92"/>
      <c r="L248" s="117"/>
      <c r="M248" s="56" t="s">
        <v>149</v>
      </c>
    </row>
    <row r="249" spans="1:13" s="51" customFormat="1" ht="25.2" hidden="1" customHeight="1">
      <c r="A249" s="68">
        <f t="shared" si="10"/>
        <v>0</v>
      </c>
      <c r="B249" s="69"/>
      <c r="C249" s="69"/>
      <c r="D249" s="114">
        <f>IF(H249&gt;0,D243+1,D243)</f>
        <v>0</v>
      </c>
      <c r="E249" s="88"/>
      <c r="F249" s="113" t="s">
        <v>160</v>
      </c>
      <c r="G249" s="114" t="s">
        <v>67</v>
      </c>
      <c r="H249" s="110">
        <f>H197</f>
        <v>0</v>
      </c>
      <c r="I249" s="91">
        <f t="shared" si="11"/>
        <v>0</v>
      </c>
      <c r="J249" s="92"/>
      <c r="K249" s="92"/>
      <c r="L249" s="117"/>
      <c r="M249" s="56" t="s">
        <v>149</v>
      </c>
    </row>
    <row r="250" spans="1:13" s="51" customFormat="1" ht="25.2" hidden="1" customHeight="1">
      <c r="A250" s="68">
        <f>IF(A249&gt;0,1,0)</f>
        <v>0</v>
      </c>
      <c r="B250" s="69"/>
      <c r="C250" s="69"/>
      <c r="D250" s="114"/>
      <c r="E250" s="88"/>
      <c r="F250" s="115" t="s">
        <v>68</v>
      </c>
      <c r="G250" s="114"/>
      <c r="H250" s="110"/>
      <c r="I250" s="91">
        <f t="shared" si="11"/>
        <v>0</v>
      </c>
      <c r="J250" s="92"/>
      <c r="K250" s="92"/>
      <c r="L250" s="117"/>
      <c r="M250" s="56" t="s">
        <v>149</v>
      </c>
    </row>
    <row r="251" spans="1:13" s="51" customFormat="1" ht="25.2" hidden="1" customHeight="1">
      <c r="A251" s="68">
        <f t="shared" si="10"/>
        <v>0</v>
      </c>
      <c r="B251" s="69" t="s">
        <v>142</v>
      </c>
      <c r="C251" s="69"/>
      <c r="D251" s="114"/>
      <c r="E251" s="88">
        <f>VLOOKUP($B251,[1]DG!A:D,[1]DG!$B$2,)</f>
        <v>0</v>
      </c>
      <c r="F251" s="89" t="str">
        <f>VLOOKUP($B251,[1]DG!A:D,[1]DG!$C$2,)</f>
        <v>Cáp đồng bọc CV70</v>
      </c>
      <c r="G251" s="88" t="str">
        <f>VLOOKUP($B251,[1]DG!A:D,[1]DG!$D$2,)</f>
        <v>mét</v>
      </c>
      <c r="H251" s="94">
        <f>H249*10*2</f>
        <v>0</v>
      </c>
      <c r="I251" s="91">
        <f t="shared" si="11"/>
        <v>0</v>
      </c>
      <c r="J251" s="92"/>
      <c r="K251" s="92"/>
      <c r="L251" s="117"/>
      <c r="M251" s="56" t="s">
        <v>149</v>
      </c>
    </row>
    <row r="252" spans="1:13" s="51" customFormat="1" ht="25.2" hidden="1" customHeight="1">
      <c r="A252" s="68">
        <f t="shared" si="10"/>
        <v>0</v>
      </c>
      <c r="B252" s="69" t="s">
        <v>161</v>
      </c>
      <c r="C252" s="69"/>
      <c r="D252" s="114"/>
      <c r="E252" s="88">
        <f>VLOOKUP($B252,[1]DG!A:D,[1]DG!$B$2,)</f>
        <v>0</v>
      </c>
      <c r="F252" s="89" t="str">
        <f>VLOOKUP($B252,[1]DG!A:D,[1]DG!$C$2,)</f>
        <v>Cáp đồng bọc CV50</v>
      </c>
      <c r="G252" s="88" t="str">
        <f>VLOOKUP($B252,[1]DG!A:D,[1]DG!$D$2,)</f>
        <v>mét</v>
      </c>
      <c r="H252" s="94">
        <f>H249*10</f>
        <v>0</v>
      </c>
      <c r="I252" s="91">
        <f t="shared" si="11"/>
        <v>0</v>
      </c>
      <c r="J252" s="92"/>
      <c r="K252" s="92"/>
      <c r="L252" s="117"/>
      <c r="M252" s="56" t="s">
        <v>149</v>
      </c>
    </row>
    <row r="253" spans="1:13" s="51" customFormat="1" ht="25.2" hidden="1" customHeight="1">
      <c r="A253" s="68">
        <f t="shared" si="10"/>
        <v>0</v>
      </c>
      <c r="B253" s="69" t="s">
        <v>105</v>
      </c>
      <c r="C253" s="69"/>
      <c r="D253" s="114"/>
      <c r="E253" s="88" t="str">
        <f>VLOOKUP($B253,[1]DG!A:D,[1]DG!$B$2,)</f>
        <v>03.1401</v>
      </c>
      <c r="F253" s="89" t="str">
        <f>VLOOKUP($B253,[1]DG!A:D,[1]DG!$C$2,)</f>
        <v xml:space="preserve">Cáp CVV 4x2,5mm2  </v>
      </c>
      <c r="G253" s="88" t="str">
        <f>VLOOKUP($B253,[1]DG!A:D,[1]DG!$D$2,)</f>
        <v>mét</v>
      </c>
      <c r="H253" s="94">
        <f>6*H249</f>
        <v>0</v>
      </c>
      <c r="I253" s="91">
        <f t="shared" si="11"/>
        <v>0</v>
      </c>
      <c r="J253" s="92"/>
      <c r="K253" s="92"/>
      <c r="L253" s="117"/>
      <c r="M253" s="56" t="s">
        <v>149</v>
      </c>
    </row>
    <row r="254" spans="1:13" s="51" customFormat="1" ht="25.2" hidden="1" customHeight="1">
      <c r="A254" s="68">
        <f t="shared" si="10"/>
        <v>0</v>
      </c>
      <c r="B254" s="69" t="s">
        <v>155</v>
      </c>
      <c r="C254" s="69"/>
      <c r="D254" s="96"/>
      <c r="E254" s="88" t="str">
        <f>VLOOKUP($B254,[1]DG!A:D,[1]DG!$B$2,)</f>
        <v>03.4003</v>
      </c>
      <c r="F254" s="89" t="str">
        <f>VLOOKUP($B254,[1]DG!A:D,[1]DG!$C$2,)</f>
        <v>Đầu cosse ép Cu 70mm2</v>
      </c>
      <c r="G254" s="88" t="str">
        <f>VLOOKUP($B254,[1]DG!A:D,[1]DG!$D$2,)</f>
        <v>cái</v>
      </c>
      <c r="H254" s="94">
        <f>2*H249</f>
        <v>0</v>
      </c>
      <c r="I254" s="91">
        <f t="shared" si="11"/>
        <v>0</v>
      </c>
      <c r="J254" s="92"/>
      <c r="K254" s="92"/>
      <c r="L254" s="117"/>
      <c r="M254" s="56" t="s">
        <v>149</v>
      </c>
    </row>
    <row r="255" spans="1:13" s="51" customFormat="1" ht="25.2" hidden="1" customHeight="1">
      <c r="A255" s="68">
        <f t="shared" si="10"/>
        <v>0</v>
      </c>
      <c r="B255" s="69" t="s">
        <v>156</v>
      </c>
      <c r="C255" s="69"/>
      <c r="D255" s="96"/>
      <c r="E255" s="88" t="str">
        <f>VLOOKUP($B255,[1]DG!A:D,[1]DG!$B$2,)</f>
        <v>03.4002</v>
      </c>
      <c r="F255" s="89" t="str">
        <f>VLOOKUP($B255,[1]DG!A:D,[1]DG!$C$2,)</f>
        <v>Đầu cosse ép Cu 50mm2</v>
      </c>
      <c r="G255" s="88" t="str">
        <f>VLOOKUP($B255,[1]DG!A:D,[1]DG!$D$2,)</f>
        <v>cái</v>
      </c>
      <c r="H255" s="94">
        <f>H249*2</f>
        <v>0</v>
      </c>
      <c r="I255" s="91">
        <f t="shared" si="11"/>
        <v>0</v>
      </c>
      <c r="J255" s="92"/>
      <c r="K255" s="92"/>
      <c r="L255" s="117"/>
      <c r="M255" s="56" t="s">
        <v>149</v>
      </c>
    </row>
    <row r="256" spans="1:13" s="51" customFormat="1" ht="25.2" hidden="1" customHeight="1">
      <c r="A256" s="68">
        <f t="shared" si="10"/>
        <v>0</v>
      </c>
      <c r="B256" s="52" t="s">
        <v>162</v>
      </c>
      <c r="C256" s="52"/>
      <c r="D256" s="96"/>
      <c r="E256" s="88">
        <f>VLOOKUP($B256,[1]DG!A:D,[1]DG!$B$2,)</f>
        <v>0</v>
      </c>
      <c r="F256" s="89" t="str">
        <f>VLOOKUP($B256,[1]DG!A:D,[1]DG!$C$2,)</f>
        <v>Chụp đầu cosse  70mm2</v>
      </c>
      <c r="G256" s="88" t="str">
        <f>VLOOKUP($B256,[1]DG!A:D,[1]DG!$D$2,)</f>
        <v>cái</v>
      </c>
      <c r="H256" s="94">
        <f>H254</f>
        <v>0</v>
      </c>
      <c r="I256" s="91">
        <f t="shared" si="11"/>
        <v>0</v>
      </c>
      <c r="J256" s="92"/>
      <c r="K256" s="92"/>
      <c r="L256" s="117"/>
      <c r="M256" s="56" t="s">
        <v>149</v>
      </c>
    </row>
    <row r="257" spans="1:13" s="51" customFormat="1" ht="25.2" hidden="1" customHeight="1">
      <c r="A257" s="68">
        <f t="shared" si="10"/>
        <v>0</v>
      </c>
      <c r="B257" s="52" t="s">
        <v>163</v>
      </c>
      <c r="C257" s="52"/>
      <c r="D257" s="96"/>
      <c r="E257" s="88">
        <f>VLOOKUP($B257,[1]DG!A:D,[1]DG!$B$2,)</f>
        <v>0</v>
      </c>
      <c r="F257" s="89" t="str">
        <f>VLOOKUP($B257,[1]DG!A:D,[1]DG!$C$2,)</f>
        <v>Chụp đầu cosse  50mm2</v>
      </c>
      <c r="G257" s="88" t="str">
        <f>VLOOKUP($B257,[1]DG!A:D,[1]DG!$D$2,)</f>
        <v>cái</v>
      </c>
      <c r="H257" s="94">
        <f>H255</f>
        <v>0</v>
      </c>
      <c r="I257" s="91">
        <f t="shared" si="11"/>
        <v>0</v>
      </c>
      <c r="J257" s="92"/>
      <c r="K257" s="92"/>
      <c r="L257" s="117"/>
      <c r="M257" s="56" t="s">
        <v>149</v>
      </c>
    </row>
    <row r="258" spans="1:13" s="51" customFormat="1" ht="25.2" hidden="1" customHeight="1">
      <c r="A258" s="68">
        <f t="shared" si="10"/>
        <v>0</v>
      </c>
      <c r="B258" s="69" t="s">
        <v>110</v>
      </c>
      <c r="C258" s="69"/>
      <c r="D258" s="96"/>
      <c r="E258" s="88" t="str">
        <f>VLOOKUP($B258,[1]DG!A:D,[1]DG!$B$2,)</f>
        <v>04.8003</v>
      </c>
      <c r="F258" s="89" t="str">
        <f>VLOOKUP($B258,[1]DG!A:D,[1]DG!$C$2,)</f>
        <v xml:space="preserve">Ống PVC D90x3,8mm </v>
      </c>
      <c r="G258" s="88" t="str">
        <f>VLOOKUP($B258,[1]DG!A:D,[1]DG!$D$2,)</f>
        <v>m</v>
      </c>
      <c r="H258" s="94">
        <f>8*H249</f>
        <v>0</v>
      </c>
      <c r="I258" s="91">
        <f t="shared" si="11"/>
        <v>0</v>
      </c>
      <c r="J258" s="92"/>
      <c r="K258" s="92"/>
      <c r="L258" s="117"/>
      <c r="M258" s="56" t="s">
        <v>149</v>
      </c>
    </row>
    <row r="259" spans="1:13" s="51" customFormat="1" ht="25.2" hidden="1" customHeight="1">
      <c r="A259" s="68">
        <f t="shared" si="10"/>
        <v>0</v>
      </c>
      <c r="B259" s="86" t="s">
        <v>111</v>
      </c>
      <c r="C259" s="86"/>
      <c r="D259" s="96"/>
      <c r="E259" s="88" t="str">
        <f>VLOOKUP($B259,[1]DG!A:D,[1]DG!$B$2,)</f>
        <v>06.3231</v>
      </c>
      <c r="F259" s="89" t="str">
        <f>VLOOKUP($B259,[1]DG!A:D,[1]DG!$C$2,)</f>
        <v>Cổ dê kẹp ống PVC Ø 90</v>
      </c>
      <c r="G259" s="88" t="str">
        <f>VLOOKUP($B259,[1]DG!A:D,[1]DG!$D$2,)</f>
        <v>bộ</v>
      </c>
      <c r="H259" s="94">
        <f>3*H249</f>
        <v>0</v>
      </c>
      <c r="I259" s="91">
        <f t="shared" si="11"/>
        <v>0</v>
      </c>
      <c r="J259" s="92"/>
      <c r="K259" s="92"/>
      <c r="L259" s="117"/>
      <c r="M259" s="56" t="s">
        <v>149</v>
      </c>
    </row>
    <row r="260" spans="1:13" s="51" customFormat="1" ht="25.2" hidden="1" customHeight="1">
      <c r="A260" s="68">
        <f t="shared" si="10"/>
        <v>0</v>
      </c>
      <c r="B260" s="69" t="s">
        <v>164</v>
      </c>
      <c r="C260" s="69"/>
      <c r="D260" s="96"/>
      <c r="E260" s="88">
        <f>VLOOKUP($B260,[1]DG!A:D,[1]DG!$B$2,)</f>
        <v>0</v>
      </c>
      <c r="F260" s="89" t="str">
        <f>VLOOKUP($B260,[1]DG!A:D,[1]DG!$C$2,)</f>
        <v>Co sừng 90 độ PVC 90</v>
      </c>
      <c r="G260" s="88" t="str">
        <f>VLOOKUP($B260,[1]DG!A:D,[1]DG!$D$2,)</f>
        <v>cái</v>
      </c>
      <c r="H260" s="94">
        <f>4*H249</f>
        <v>0</v>
      </c>
      <c r="I260" s="91">
        <f t="shared" si="11"/>
        <v>0</v>
      </c>
      <c r="J260" s="92"/>
      <c r="K260" s="92"/>
      <c r="L260" s="117"/>
      <c r="M260" s="56" t="s">
        <v>149</v>
      </c>
    </row>
    <row r="261" spans="1:13" s="51" customFormat="1" ht="25.2" hidden="1" customHeight="1">
      <c r="A261" s="68">
        <f t="shared" si="10"/>
        <v>0</v>
      </c>
      <c r="B261" s="69" t="s">
        <v>113</v>
      </c>
      <c r="C261" s="69"/>
      <c r="D261" s="96"/>
      <c r="E261" s="88">
        <f>VLOOKUP($B261,[1]DG!A:D,[1]DG!$B$2,)</f>
        <v>0</v>
      </c>
      <c r="F261" s="89" t="str">
        <f>VLOOKUP($B261,[1]DG!A:D,[1]DG!$C$2,)</f>
        <v xml:space="preserve">Nối thẳng ống PVC 90 </v>
      </c>
      <c r="G261" s="88" t="str">
        <f>VLOOKUP($B261,[1]DG!A:D,[1]DG!$D$2,)</f>
        <v>cái</v>
      </c>
      <c r="H261" s="94">
        <f>H249</f>
        <v>0</v>
      </c>
      <c r="I261" s="91">
        <f t="shared" si="11"/>
        <v>0</v>
      </c>
      <c r="J261" s="92"/>
      <c r="K261" s="92"/>
      <c r="L261" s="117"/>
      <c r="M261" s="56" t="s">
        <v>149</v>
      </c>
    </row>
    <row r="262" spans="1:13" s="51" customFormat="1" ht="25.2" hidden="1" customHeight="1">
      <c r="A262" s="68">
        <f t="shared" si="10"/>
        <v>0</v>
      </c>
      <c r="B262" s="69" t="s">
        <v>114</v>
      </c>
      <c r="C262" s="69"/>
      <c r="D262" s="96"/>
      <c r="E262" s="88">
        <f>VLOOKUP($B262,[1]DG!A:D,[1]DG!$B$2,)</f>
        <v>0</v>
      </c>
      <c r="F262" s="89" t="str">
        <f>VLOOKUP($B262,[1]DG!A:D,[1]DG!$C$2,)</f>
        <v>Keo dán ống PVC (100gr)</v>
      </c>
      <c r="G262" s="88" t="str">
        <f>VLOOKUP($B262,[1]DG!A:D,[1]DG!$D$2,)</f>
        <v>tuýp</v>
      </c>
      <c r="H262" s="94">
        <f>H249</f>
        <v>0</v>
      </c>
      <c r="I262" s="91">
        <f t="shared" si="11"/>
        <v>0</v>
      </c>
      <c r="J262" s="92"/>
      <c r="K262" s="92"/>
      <c r="L262" s="117"/>
      <c r="M262" s="56" t="s">
        <v>149</v>
      </c>
    </row>
    <row r="263" spans="1:13" s="51" customFormat="1" ht="25.2" hidden="1" customHeight="1">
      <c r="A263" s="68">
        <f t="shared" si="10"/>
        <v>0</v>
      </c>
      <c r="B263" s="69" t="s">
        <v>115</v>
      </c>
      <c r="C263" s="69"/>
      <c r="D263" s="96"/>
      <c r="E263" s="88">
        <f>VLOOKUP($B263,[1]DG!A:D,[1]DG!$B$2,)</f>
        <v>0</v>
      </c>
      <c r="F263" s="89" t="str">
        <f>VLOOKUP($B263,[1]DG!A:D,[1]DG!$C$2,)</f>
        <v>Keo silicon bít miệng ống</v>
      </c>
      <c r="G263" s="88" t="str">
        <f>VLOOKUP($B263,[1]DG!A:D,[1]DG!$D$2,)</f>
        <v>ống</v>
      </c>
      <c r="H263" s="94">
        <f>H249</f>
        <v>0</v>
      </c>
      <c r="I263" s="91">
        <f t="shared" si="11"/>
        <v>0</v>
      </c>
      <c r="J263" s="92"/>
      <c r="K263" s="92"/>
      <c r="L263" s="117"/>
      <c r="M263" s="56" t="s">
        <v>149</v>
      </c>
    </row>
    <row r="264" spans="1:13" s="51" customFormat="1" ht="25.2" hidden="1" customHeight="1">
      <c r="A264" s="68">
        <f t="shared" si="10"/>
        <v>0</v>
      </c>
      <c r="B264" s="86" t="s">
        <v>148</v>
      </c>
      <c r="C264" s="86"/>
      <c r="D264" s="96"/>
      <c r="E264" s="88">
        <f>VLOOKUP($B264,[1]DG!A:D,[1]DG!$B$2,)</f>
        <v>0</v>
      </c>
      <c r="F264" s="89" t="str">
        <f>VLOOKUP($B264,[1]DG!A:D,[1]DG!$C$2,)</f>
        <v>Băng keo cách điện</v>
      </c>
      <c r="G264" s="88" t="str">
        <f>VLOOKUP($B264,[1]DG!A:D,[1]DG!$D$2,)</f>
        <v>cuộn</v>
      </c>
      <c r="H264" s="94">
        <f>H249</f>
        <v>0</v>
      </c>
      <c r="I264" s="91">
        <f t="shared" si="11"/>
        <v>0</v>
      </c>
      <c r="J264" s="92"/>
      <c r="K264" s="92"/>
      <c r="L264" s="117"/>
      <c r="M264" s="56" t="s">
        <v>149</v>
      </c>
    </row>
    <row r="265" spans="1:13" s="51" customFormat="1" ht="25.2" hidden="1" customHeight="1">
      <c r="A265" s="68">
        <f t="shared" si="10"/>
        <v>0</v>
      </c>
      <c r="B265" s="69" t="s">
        <v>116</v>
      </c>
      <c r="C265" s="69"/>
      <c r="D265" s="96"/>
      <c r="E265" s="88" t="str">
        <f>VLOOKUP($B265,[1]DG!A:D,[1]DG!$B$2,)</f>
        <v>07.2415</v>
      </c>
      <c r="F265" s="89" t="str">
        <f>VLOOKUP($B265,[1]DG!A:D,[1]DG!$C$2,)</f>
        <v>Lắp ống nhựa PVC D90</v>
      </c>
      <c r="G265" s="88" t="str">
        <f>VLOOKUP($B265,[1]DG!A:D,[1]DG!$D$2,)</f>
        <v>mét</v>
      </c>
      <c r="H265" s="94">
        <f>H258</f>
        <v>0</v>
      </c>
      <c r="I265" s="91">
        <f t="shared" si="11"/>
        <v>0</v>
      </c>
      <c r="J265" s="92"/>
      <c r="K265" s="92"/>
      <c r="L265" s="117"/>
      <c r="M265" s="56" t="s">
        <v>149</v>
      </c>
    </row>
    <row r="266" spans="1:13" s="51" customFormat="1" ht="25.2" hidden="1" customHeight="1">
      <c r="A266" s="68">
        <f t="shared" si="10"/>
        <v>0</v>
      </c>
      <c r="B266" s="86" t="s">
        <v>101</v>
      </c>
      <c r="C266" s="86"/>
      <c r="D266" s="96"/>
      <c r="E266" s="88" t="str">
        <f>VLOOKUP($B266,[1]DG!A:D,[1]DG!$B$2,)</f>
        <v>04.4201</v>
      </c>
      <c r="F266" s="89" t="str">
        <f>VLOOKUP($B266,[1]DG!A:D,[1]DG!$C$2,)</f>
        <v>Lắp cáp đồng xuống thiết bị D ≤ 95mm2</v>
      </c>
      <c r="G266" s="88" t="str">
        <f>VLOOKUP($B266,[1]DG!A:D,[1]DG!$D$2,)</f>
        <v>m</v>
      </c>
      <c r="H266" s="94">
        <f>H251+H252</f>
        <v>0</v>
      </c>
      <c r="I266" s="91">
        <f t="shared" si="11"/>
        <v>0</v>
      </c>
      <c r="J266" s="92"/>
      <c r="K266" s="92"/>
      <c r="L266" s="117"/>
      <c r="M266" s="56" t="s">
        <v>149</v>
      </c>
    </row>
    <row r="267" spans="1:13" s="51" customFormat="1" ht="25.2" hidden="1" customHeight="1">
      <c r="A267" s="68">
        <f t="shared" si="10"/>
        <v>0</v>
      </c>
      <c r="B267" s="69" t="s">
        <v>117</v>
      </c>
      <c r="C267" s="69"/>
      <c r="D267" s="118">
        <f>IF(H267&gt;0,D249+1,D249)</f>
        <v>0</v>
      </c>
      <c r="E267" s="88" t="str">
        <f>VLOOKUP($B267,[1]DG!A:D,[1]DG!$B$2,)</f>
        <v>06.3191</v>
      </c>
      <c r="F267" s="89" t="str">
        <f>VLOOKUP($B267,[1]DG!A:D,[1]DG!$C$2,)</f>
        <v>Bảng tên trạm, bảng báo nguy hiểm + đinh vít</v>
      </c>
      <c r="G267" s="88" t="str">
        <f>VLOOKUP($B267,[1]DG!A:D,[1]DG!$D$2,)</f>
        <v>bộ</v>
      </c>
      <c r="H267" s="120">
        <f>H218</f>
        <v>0</v>
      </c>
      <c r="I267" s="91">
        <f t="shared" si="11"/>
        <v>0</v>
      </c>
      <c r="J267" s="92"/>
      <c r="K267" s="92"/>
      <c r="L267" s="141"/>
      <c r="M267" s="56" t="s">
        <v>149</v>
      </c>
    </row>
    <row r="268" spans="1:13" s="51" customFormat="1" ht="25.2" hidden="1" customHeight="1">
      <c r="A268" s="68">
        <f t="shared" si="10"/>
        <v>0</v>
      </c>
      <c r="B268" s="69"/>
      <c r="C268" s="69"/>
      <c r="D268" s="122"/>
      <c r="E268" s="123"/>
      <c r="F268" s="107"/>
      <c r="G268" s="124"/>
      <c r="H268" s="125"/>
      <c r="I268" s="91">
        <f t="shared" si="11"/>
        <v>0</v>
      </c>
      <c r="J268" s="126"/>
      <c r="K268" s="127"/>
      <c r="L268" s="133"/>
      <c r="M268" s="56"/>
    </row>
    <row r="269" spans="1:13" s="51" customFormat="1" ht="25.2" hidden="1" customHeight="1">
      <c r="A269" s="68">
        <f t="shared" si="10"/>
        <v>0</v>
      </c>
      <c r="B269" s="52"/>
      <c r="C269" s="52"/>
      <c r="D269" s="128"/>
      <c r="E269" s="56"/>
      <c r="H269" s="66"/>
      <c r="I269" s="91">
        <f t="shared" si="11"/>
        <v>0</v>
      </c>
      <c r="M269" s="56"/>
    </row>
    <row r="270" spans="1:13" s="51" customFormat="1" ht="25.2" hidden="1" customHeight="1">
      <c r="A270" s="68">
        <f t="shared" si="10"/>
        <v>0</v>
      </c>
      <c r="B270" s="52"/>
      <c r="C270" s="52"/>
      <c r="D270" s="147" t="str">
        <f>"BAÛNG TOÅNG HÔÏP VAÄT LIEÄU, NHAÂN COÂNG, MAÙY THI COÂNG : "&amp;I9&amp;" TRAÏM 1P50KVA"</f>
        <v>BAÛNG TOÅNG HÔÏP VAÄT LIEÄU, NHAÂN COÂNG, MAÙY THI COÂNG :  TRAÏM 1P50KVA</v>
      </c>
      <c r="E270" s="130"/>
      <c r="F270" s="131"/>
      <c r="G270" s="131"/>
      <c r="H270" s="132"/>
      <c r="I270" s="91">
        <f t="shared" si="11"/>
        <v>0</v>
      </c>
      <c r="J270" s="131"/>
      <c r="K270" s="131"/>
      <c r="L270" s="56"/>
      <c r="M270" s="56"/>
    </row>
    <row r="271" spans="1:13" s="51" customFormat="1" ht="25.2" hidden="1" customHeight="1">
      <c r="A271" s="68">
        <f t="shared" si="10"/>
        <v>0</v>
      </c>
      <c r="B271" s="69"/>
      <c r="C271" s="69"/>
      <c r="D271" s="79"/>
      <c r="E271" s="80"/>
      <c r="F271" s="107" t="s">
        <v>165</v>
      </c>
      <c r="G271" s="82"/>
      <c r="H271" s="83"/>
      <c r="I271" s="91">
        <f t="shared" si="11"/>
        <v>0</v>
      </c>
      <c r="J271" s="82"/>
      <c r="K271" s="82"/>
      <c r="L271" s="133"/>
      <c r="M271" s="56">
        <v>50</v>
      </c>
    </row>
    <row r="272" spans="1:13" s="51" customFormat="1" ht="25.2" hidden="1" customHeight="1">
      <c r="A272" s="68">
        <f t="shared" si="10"/>
        <v>0</v>
      </c>
      <c r="B272" s="86" t="s">
        <v>166</v>
      </c>
      <c r="C272" s="86"/>
      <c r="D272" s="87">
        <f>IF(H272&gt;0,1,0)</f>
        <v>0</v>
      </c>
      <c r="E272" s="88" t="str">
        <f>VLOOKUP($B272,[1]DG!A:D,[1]DG!$B$2,)</f>
        <v>01.1162</v>
      </c>
      <c r="F272" s="89" t="str">
        <f>VLOOKUP($B272,[1]DG!A:D,[1]DG!$C$2,)</f>
        <v>Máy biến áp 12,7/0,23-0,46kV 50kVA</v>
      </c>
      <c r="G272" s="88" t="str">
        <f>VLOOKUP($B272,[1]DG!A:D,[1]DG!$D$2,)</f>
        <v>máy</v>
      </c>
      <c r="H272" s="134">
        <f>I9</f>
        <v>0</v>
      </c>
      <c r="I272" s="91">
        <f t="shared" si="11"/>
        <v>0</v>
      </c>
      <c r="J272" s="92"/>
      <c r="K272" s="92"/>
      <c r="L272" s="117"/>
      <c r="M272" s="56">
        <v>50</v>
      </c>
    </row>
    <row r="273" spans="1:13" s="51" customFormat="1" ht="25.2" hidden="1" customHeight="1">
      <c r="A273" s="68">
        <f t="shared" si="10"/>
        <v>0</v>
      </c>
      <c r="B273" s="86" t="s">
        <v>56</v>
      </c>
      <c r="C273" s="86"/>
      <c r="D273" s="87">
        <f t="shared" ref="D273:D279" si="12">IF(H273&gt;0,D272+1,D272)</f>
        <v>0</v>
      </c>
      <c r="E273" s="88" t="str">
        <f>VLOOKUP($B273,[1]DG!A:D,[1]DG!$B$2,)</f>
        <v>02.3155</v>
      </c>
      <c r="F273" s="89" t="str">
        <f>VLOOKUP($B273,[1]DG!A:D,[1]DG!$C$2,)</f>
        <v>FCO 27kV - 100A</v>
      </c>
      <c r="G273" s="88" t="str">
        <f>VLOOKUP($B273,[1]DG!A:D,[1]DG!$D$2,)</f>
        <v>cái</v>
      </c>
      <c r="H273" s="94">
        <f>+H272</f>
        <v>0</v>
      </c>
      <c r="I273" s="91">
        <f t="shared" si="11"/>
        <v>0</v>
      </c>
      <c r="J273" s="92"/>
      <c r="K273" s="92"/>
      <c r="L273" s="117"/>
      <c r="M273" s="56">
        <v>50</v>
      </c>
    </row>
    <row r="274" spans="1:13" s="51" customFormat="1" ht="25.2" hidden="1" customHeight="1">
      <c r="A274" s="68">
        <f t="shared" si="10"/>
        <v>0</v>
      </c>
      <c r="B274" s="86" t="s">
        <v>167</v>
      </c>
      <c r="C274" s="86"/>
      <c r="D274" s="87">
        <f t="shared" si="12"/>
        <v>0</v>
      </c>
      <c r="E274" s="88">
        <f>VLOOKUP($B274,[1]DG!A:D,[1]DG!$B$2,)</f>
        <v>0</v>
      </c>
      <c r="F274" s="89" t="str">
        <f>VLOOKUP($B274,[1]DG!A:D,[1]DG!$C$2,)</f>
        <v>Dây chảy 6K</v>
      </c>
      <c r="G274" s="88" t="str">
        <f>VLOOKUP($B274,[1]DG!A:D,[1]DG!$D$2,)</f>
        <v>Sợi</v>
      </c>
      <c r="H274" s="94">
        <f>H273</f>
        <v>0</v>
      </c>
      <c r="I274" s="91">
        <f t="shared" si="11"/>
        <v>0</v>
      </c>
      <c r="J274" s="92"/>
      <c r="K274" s="92"/>
      <c r="L274" s="117"/>
      <c r="M274" s="56">
        <v>50</v>
      </c>
    </row>
    <row r="275" spans="1:13" s="51" customFormat="1" ht="25.2" hidden="1" customHeight="1">
      <c r="A275" s="68">
        <f t="shared" si="10"/>
        <v>0</v>
      </c>
      <c r="B275" s="52" t="s">
        <v>58</v>
      </c>
      <c r="C275" s="52"/>
      <c r="D275" s="87">
        <f t="shared" si="12"/>
        <v>0</v>
      </c>
      <c r="E275" s="88" t="str">
        <f>VLOOKUP($B275,[1]DG!A:D,[1]DG!$B$2,)</f>
        <v>02.5114</v>
      </c>
      <c r="F275" s="89" t="str">
        <f>VLOOKUP($B275,[1]DG!A:D,[1]DG!$C$2,)</f>
        <v>Chống sét van LA-18KV-10KA</v>
      </c>
      <c r="G275" s="88" t="str">
        <f>VLOOKUP($B275,[1]DG!A:D,[1]DG!$D$2,)</f>
        <v>cái</v>
      </c>
      <c r="H275" s="94">
        <f>H273</f>
        <v>0</v>
      </c>
      <c r="I275" s="91">
        <f t="shared" si="11"/>
        <v>0</v>
      </c>
      <c r="J275" s="92"/>
      <c r="K275" s="92"/>
      <c r="L275" s="117"/>
      <c r="M275" s="56">
        <v>50</v>
      </c>
    </row>
    <row r="276" spans="1:13" s="51" customFormat="1" ht="25.2" hidden="1" customHeight="1">
      <c r="A276" s="68">
        <f t="shared" si="10"/>
        <v>0</v>
      </c>
      <c r="B276" s="98" t="s">
        <v>168</v>
      </c>
      <c r="C276" s="98"/>
      <c r="D276" s="87">
        <f t="shared" si="12"/>
        <v>0</v>
      </c>
      <c r="E276" s="88" t="str">
        <f>VLOOKUP($B276,[1]DG!A:D,[1]DG!$B$2,)</f>
        <v>02.8401</v>
      </c>
      <c r="F276" s="89" t="str">
        <f>VLOOKUP($B276,[1]DG!A:D,[1]DG!$C$2,)</f>
        <v xml:space="preserve">MCCB 3 cực 600V -250A - 36KA </v>
      </c>
      <c r="G276" s="88" t="str">
        <f>VLOOKUP($B276,[1]DG!A:D,[1]DG!$D$2,)</f>
        <v>cái</v>
      </c>
      <c r="H276" s="94">
        <f>H272</f>
        <v>0</v>
      </c>
      <c r="I276" s="91">
        <f t="shared" si="11"/>
        <v>0</v>
      </c>
      <c r="J276" s="92"/>
      <c r="K276" s="92"/>
      <c r="L276" s="117"/>
      <c r="M276" s="56">
        <v>50</v>
      </c>
    </row>
    <row r="277" spans="1:13" s="51" customFormat="1" ht="25.2" hidden="1" customHeight="1">
      <c r="A277" s="68">
        <f t="shared" si="10"/>
        <v>0</v>
      </c>
      <c r="B277" s="98" t="s">
        <v>169</v>
      </c>
      <c r="C277" s="98"/>
      <c r="D277" s="87">
        <f t="shared" si="12"/>
        <v>1</v>
      </c>
      <c r="E277" s="88">
        <f>VLOOKUP($B277,[1]DG!A:D,[1]DG!$B$2,)</f>
        <v>0</v>
      </c>
      <c r="F277" s="89" t="str">
        <f>VLOOKUP($B277,[1]DG!A:D,[1]DG!$C$2,)</f>
        <v xml:space="preserve">Biến dòng 600V - 200/5A </v>
      </c>
      <c r="G277" s="88" t="str">
        <f>VLOOKUP($B277,[1]DG!A:D,[1]DG!$D$2,)</f>
        <v>cái</v>
      </c>
      <c r="H277" s="94">
        <v>1</v>
      </c>
      <c r="I277" s="91">
        <f t="shared" si="11"/>
        <v>0</v>
      </c>
      <c r="J277" s="92"/>
      <c r="K277" s="92"/>
      <c r="L277" s="96" t="s">
        <v>61</v>
      </c>
      <c r="M277" s="56">
        <v>50</v>
      </c>
    </row>
    <row r="278" spans="1:13" s="51" customFormat="1" ht="25.2" hidden="1" customHeight="1">
      <c r="A278" s="68">
        <f t="shared" si="10"/>
        <v>0</v>
      </c>
      <c r="B278" s="86" t="s">
        <v>152</v>
      </c>
      <c r="C278" s="86"/>
      <c r="D278" s="87">
        <f t="shared" si="12"/>
        <v>2</v>
      </c>
      <c r="E278" s="88">
        <f>VLOOKUP($B278,[1]DG!A:D,[1]DG!$B$2,)</f>
        <v>0</v>
      </c>
      <c r="F278" s="89" t="str">
        <f>VLOOKUP($B278,[1]DG!A:D,[1]DG!$C$2,)</f>
        <v>Điện kế 1 pha 2 dây 220V-5A</v>
      </c>
      <c r="G278" s="88" t="str">
        <f>VLOOKUP($B278,[1]DG!A:D,[1]DG!$D$2,)</f>
        <v>cái</v>
      </c>
      <c r="H278" s="148">
        <f>H277</f>
        <v>1</v>
      </c>
      <c r="I278" s="91">
        <f t="shared" si="11"/>
        <v>0</v>
      </c>
      <c r="J278" s="92"/>
      <c r="K278" s="92"/>
      <c r="L278" s="96" t="s">
        <v>61</v>
      </c>
      <c r="M278" s="56">
        <v>50</v>
      </c>
    </row>
    <row r="279" spans="1:13" s="51" customFormat="1" ht="25.2" hidden="1" customHeight="1">
      <c r="A279" s="68">
        <f t="shared" si="10"/>
        <v>0</v>
      </c>
      <c r="B279" s="69" t="s">
        <v>62</v>
      </c>
      <c r="C279" s="69"/>
      <c r="D279" s="87">
        <f t="shared" si="12"/>
        <v>2</v>
      </c>
      <c r="E279" s="88">
        <f>VLOOKUP($B279,[1]DG!A:D,[1]DG!$B$2,)</f>
        <v>0</v>
      </c>
      <c r="F279" s="89" t="str">
        <f>VLOOKUP($B279,[1]DG!A:D,[1]DG!$C$2,)</f>
        <v xml:space="preserve">Ampe kế 100/5A-600v +AS </v>
      </c>
      <c r="G279" s="88" t="str">
        <f>VLOOKUP($B279,[1]DG!A:D,[1]DG!$D$2,)</f>
        <v>Bộ</v>
      </c>
      <c r="H279" s="94">
        <f>H278*0</f>
        <v>0</v>
      </c>
      <c r="I279" s="91">
        <f t="shared" si="11"/>
        <v>0</v>
      </c>
      <c r="J279" s="92"/>
      <c r="K279" s="92"/>
      <c r="L279" s="117"/>
      <c r="M279" s="56">
        <v>50</v>
      </c>
    </row>
    <row r="280" spans="1:13" s="51" customFormat="1" ht="25.2" hidden="1" customHeight="1">
      <c r="A280" s="68">
        <f t="shared" si="10"/>
        <v>0</v>
      </c>
      <c r="B280" s="69"/>
      <c r="C280" s="69"/>
      <c r="D280" s="100"/>
      <c r="E280" s="101"/>
      <c r="F280" s="84" t="s">
        <v>170</v>
      </c>
      <c r="G280" s="100"/>
      <c r="H280" s="103"/>
      <c r="I280" s="91">
        <f t="shared" si="11"/>
        <v>0</v>
      </c>
      <c r="J280" s="84"/>
      <c r="K280" s="100"/>
      <c r="L280" s="133"/>
      <c r="M280" s="56">
        <v>50</v>
      </c>
    </row>
    <row r="281" spans="1:13" s="51" customFormat="1" ht="25.2" hidden="1" customHeight="1">
      <c r="A281" s="68">
        <f t="shared" si="10"/>
        <v>0</v>
      </c>
      <c r="B281" s="69"/>
      <c r="C281" s="69"/>
      <c r="D281" s="79"/>
      <c r="E281" s="80"/>
      <c r="F281" s="126" t="s">
        <v>171</v>
      </c>
      <c r="G281" s="82"/>
      <c r="H281" s="83"/>
      <c r="I281" s="91">
        <f t="shared" si="11"/>
        <v>0</v>
      </c>
      <c r="J281" s="82"/>
      <c r="K281" s="82"/>
      <c r="L281" s="133"/>
      <c r="M281" s="56">
        <v>50</v>
      </c>
    </row>
    <row r="282" spans="1:13" s="51" customFormat="1" ht="25.2" hidden="1" customHeight="1">
      <c r="A282" s="68">
        <f t="shared" si="10"/>
        <v>0</v>
      </c>
      <c r="B282" s="86" t="s">
        <v>172</v>
      </c>
      <c r="C282" s="86"/>
      <c r="D282" s="87">
        <f>IF(H282&gt;0,1,0)</f>
        <v>0</v>
      </c>
      <c r="E282" s="88" t="str">
        <f>VLOOKUP($B282,[1]DG!A:D,[1]DG!$B$2,)</f>
        <v>01.1161</v>
      </c>
      <c r="F282" s="89" t="str">
        <f>VLOOKUP($B282,[1]DG!A:D,[1]DG!$C$2,)</f>
        <v>Máy biến áp 12,7/0,22-0,44kV  25kVA</v>
      </c>
      <c r="G282" s="88" t="str">
        <f>VLOOKUP($B282,[1]DG!A:D,[1]DG!$D$2,)</f>
        <v>máy</v>
      </c>
      <c r="H282" s="134"/>
      <c r="I282" s="91">
        <f t="shared" si="11"/>
        <v>0</v>
      </c>
      <c r="J282" s="92"/>
      <c r="K282" s="92"/>
      <c r="L282" s="117"/>
      <c r="M282" s="56">
        <v>50</v>
      </c>
    </row>
    <row r="283" spans="1:13" s="51" customFormat="1" ht="25.2" hidden="1" customHeight="1">
      <c r="A283" s="68">
        <f t="shared" si="10"/>
        <v>0</v>
      </c>
      <c r="B283" s="86" t="s">
        <v>150</v>
      </c>
      <c r="C283" s="86"/>
      <c r="D283" s="87">
        <f>IF(H283&gt;0,D282+1,D282)</f>
        <v>0</v>
      </c>
      <c r="E283" s="88" t="str">
        <f>VLOOKUP($B283,[1]DG!A:D,[1]DG!$B$2,)</f>
        <v>01.1412</v>
      </c>
      <c r="F283" s="89" t="str">
        <f>VLOOKUP($B283,[1]DG!A:D,[1]DG!$C$2,)</f>
        <v>Máy biến áp 12,7/0,22-0,44kV  37,5kVA</v>
      </c>
      <c r="G283" s="88" t="str">
        <f>VLOOKUP($B283,[1]DG!A:D,[1]DG!$D$2,)</f>
        <v>máy</v>
      </c>
      <c r="H283" s="134"/>
      <c r="I283" s="91">
        <f t="shared" si="11"/>
        <v>0</v>
      </c>
      <c r="J283" s="92"/>
      <c r="K283" s="92"/>
      <c r="L283" s="117"/>
      <c r="M283" s="56">
        <v>50</v>
      </c>
    </row>
    <row r="284" spans="1:13" s="51" customFormat="1" ht="25.2" hidden="1" customHeight="1">
      <c r="A284" s="68">
        <f t="shared" si="10"/>
        <v>0</v>
      </c>
      <c r="B284" s="86" t="s">
        <v>166</v>
      </c>
      <c r="C284" s="86"/>
      <c r="D284" s="87">
        <f>IF(H284&gt;0,D283+1,D283)</f>
        <v>0</v>
      </c>
      <c r="E284" s="88" t="str">
        <f>VLOOKUP($B284,[1]DG!A:D,[1]DG!$B$2,)</f>
        <v>01.1162</v>
      </c>
      <c r="F284" s="89" t="str">
        <f>VLOOKUP($B284,[1]DG!A:D,[1]DG!$C$2,)</f>
        <v>Máy biến áp 12,7/0,23-0,46kV 50kVA</v>
      </c>
      <c r="G284" s="88" t="str">
        <f>VLOOKUP($B284,[1]DG!A:D,[1]DG!$D$2,)</f>
        <v>máy</v>
      </c>
      <c r="H284" s="134"/>
      <c r="I284" s="91">
        <f t="shared" si="11"/>
        <v>0</v>
      </c>
      <c r="J284" s="92"/>
      <c r="K284" s="92"/>
      <c r="L284" s="117"/>
      <c r="M284" s="56">
        <v>50</v>
      </c>
    </row>
    <row r="285" spans="1:13" s="51" customFormat="1" ht="25.2" hidden="1" customHeight="1">
      <c r="A285" s="68">
        <f t="shared" ref="A285:A352" si="13">IF(I285&gt;0,1,0)</f>
        <v>0</v>
      </c>
      <c r="B285" s="86" t="s">
        <v>173</v>
      </c>
      <c r="C285" s="86"/>
      <c r="D285" s="87">
        <f>IF(H285&gt;0,D284+1,D284)</f>
        <v>0</v>
      </c>
      <c r="E285" s="88" t="str">
        <f>VLOOKUP($B285,[1]DG!A:D,[1]DG!$B$2,)</f>
        <v>01.1163</v>
      </c>
      <c r="F285" s="89" t="str">
        <f>VLOOKUP($B285,[1]DG!A:D,[1]DG!$C$2,)</f>
        <v>Máy biến áp 12,7/0,23-0,46kV  75kVA</v>
      </c>
      <c r="G285" s="88" t="str">
        <f>VLOOKUP($B285,[1]DG!A:D,[1]DG!$D$2,)</f>
        <v>máy</v>
      </c>
      <c r="H285" s="134"/>
      <c r="I285" s="91">
        <f t="shared" si="11"/>
        <v>0</v>
      </c>
      <c r="J285" s="92"/>
      <c r="K285" s="92"/>
      <c r="L285" s="117"/>
      <c r="M285" s="56">
        <v>50</v>
      </c>
    </row>
    <row r="286" spans="1:13" s="51" customFormat="1" ht="25.2" hidden="1" customHeight="1">
      <c r="A286" s="68">
        <f t="shared" si="13"/>
        <v>0</v>
      </c>
      <c r="B286" s="86" t="s">
        <v>174</v>
      </c>
      <c r="C286" s="86"/>
      <c r="D286" s="87">
        <f>IF(H286&gt;0,D285+1,D285)</f>
        <v>0</v>
      </c>
      <c r="E286" s="88" t="str">
        <f>VLOOKUP($B286,[1]DG!A:D,[1]DG!$B$2,)</f>
        <v>01.1144</v>
      </c>
      <c r="F286" s="89" t="str">
        <f>VLOOKUP($B286,[1]DG!A:D,[1]DG!$C$2,)</f>
        <v>Máy biến áp 22/0,4kV  160kVA</v>
      </c>
      <c r="G286" s="88" t="str">
        <f>VLOOKUP($B286,[1]DG!A:D,[1]DG!$D$2,)</f>
        <v>máy</v>
      </c>
      <c r="H286" s="134"/>
      <c r="I286" s="91">
        <f t="shared" si="11"/>
        <v>0</v>
      </c>
      <c r="J286" s="92"/>
      <c r="K286" s="92"/>
      <c r="L286" s="117"/>
      <c r="M286" s="56">
        <v>50</v>
      </c>
    </row>
    <row r="287" spans="1:13" s="51" customFormat="1" ht="25.2" hidden="1" customHeight="1">
      <c r="A287" s="68">
        <f t="shared" si="13"/>
        <v>0</v>
      </c>
      <c r="B287" s="69" t="s">
        <v>175</v>
      </c>
      <c r="C287" s="69"/>
      <c r="D287" s="87">
        <f>IF(H287&gt;0,D286+1,D286)</f>
        <v>0</v>
      </c>
      <c r="E287" s="88" t="str">
        <f>VLOOKUP($B287,[1]DG!A:D,[1]DG!$B$2,)</f>
        <v>01.1144</v>
      </c>
      <c r="F287" s="89" t="str">
        <f>VLOOKUP($B287,[1]DG!A:D,[1]DG!$C$2,)</f>
        <v>Máy biến áp 22/0,4kV  180kVA</v>
      </c>
      <c r="G287" s="88" t="str">
        <f>VLOOKUP($B287,[1]DG!A:D,[1]DG!$D$2,)</f>
        <v>máy</v>
      </c>
      <c r="H287" s="134"/>
      <c r="I287" s="91">
        <f t="shared" si="11"/>
        <v>0</v>
      </c>
      <c r="J287" s="92"/>
      <c r="K287" s="92"/>
      <c r="L287" s="117"/>
      <c r="M287" s="56">
        <v>50</v>
      </c>
    </row>
    <row r="288" spans="1:13" s="51" customFormat="1" ht="25.2" hidden="1" customHeight="1">
      <c r="A288" s="68">
        <f t="shared" si="13"/>
        <v>0</v>
      </c>
      <c r="B288" s="69" t="s">
        <v>58</v>
      </c>
      <c r="C288" s="69"/>
      <c r="D288" s="87">
        <f>IF(H288&gt;0,D286+1,D286)</f>
        <v>0</v>
      </c>
      <c r="E288" s="88" t="str">
        <f>VLOOKUP($B288,[1]DG!A:D,[1]DG!$B$2,)</f>
        <v>02.5114</v>
      </c>
      <c r="F288" s="89" t="str">
        <f>VLOOKUP($B288,[1]DG!A:D,[1]DG!$C$2,)&amp;" : thuoäc ñieän löïc"</f>
        <v>Chống sét van LA-18KV-10KA : thuoäc ñieän löïc</v>
      </c>
      <c r="G288" s="88" t="str">
        <f>VLOOKUP($B288,[1]DG!A:D,[1]DG!$D$2,)</f>
        <v>cái</v>
      </c>
      <c r="H288" s="134"/>
      <c r="I288" s="91">
        <f t="shared" si="11"/>
        <v>0</v>
      </c>
      <c r="J288" s="92"/>
      <c r="K288" s="92"/>
      <c r="L288" s="141"/>
      <c r="M288" s="56">
        <v>50</v>
      </c>
    </row>
    <row r="289" spans="1:14" s="51" customFormat="1" ht="25.2" hidden="1" customHeight="1">
      <c r="A289" s="68">
        <f t="shared" si="13"/>
        <v>0</v>
      </c>
      <c r="B289" s="69" t="s">
        <v>58</v>
      </c>
      <c r="C289" s="69"/>
      <c r="D289" s="87">
        <f>IF(H289&gt;0,D287+1,D287)</f>
        <v>0</v>
      </c>
      <c r="E289" s="88" t="str">
        <f>VLOOKUP($B289,[1]DG!A:D,[1]DG!$B$2,)</f>
        <v>02.5114</v>
      </c>
      <c r="F289" s="89" t="str">
        <f>VLOOKUP($B289,[1]DG!A:D,[1]DG!$C$2,)&amp;" : thuoäc khaùch haøng"</f>
        <v>Chống sét van LA-18KV-10KA : thuoäc khaùch haøng</v>
      </c>
      <c r="G289" s="88" t="str">
        <f>VLOOKUP($B289,[1]DG!A:D,[1]DG!$D$2,)</f>
        <v>cái</v>
      </c>
      <c r="H289" s="134"/>
      <c r="I289" s="91">
        <f t="shared" ref="I289:I349" si="14">IF(M289=$M$23,H289+J289-K289,0)</f>
        <v>0</v>
      </c>
      <c r="J289" s="92"/>
      <c r="K289" s="92"/>
      <c r="L289" s="141"/>
      <c r="M289" s="56">
        <v>50</v>
      </c>
    </row>
    <row r="290" spans="1:14" s="51" customFormat="1" ht="25.2" hidden="1" customHeight="1">
      <c r="A290" s="68">
        <f t="shared" si="13"/>
        <v>0</v>
      </c>
      <c r="B290" s="69" t="s">
        <v>57</v>
      </c>
      <c r="C290" s="69"/>
      <c r="D290" s="87">
        <f>IF(H290&gt;0,D286+1,D286)</f>
        <v>0</v>
      </c>
      <c r="E290" s="88">
        <f>VLOOKUP($B290,[1]DG!A:D,[1]DG!$B$2,)</f>
        <v>0</v>
      </c>
      <c r="F290" s="89" t="str">
        <f>VLOOKUP($B290,[1]DG!A:D,[1]DG!$C$2,)</f>
        <v>Dây chảy 3K</v>
      </c>
      <c r="G290" s="88" t="str">
        <f>VLOOKUP($B290,[1]DG!A:D,[1]DG!$D$2,)</f>
        <v>Sợi</v>
      </c>
      <c r="H290" s="134"/>
      <c r="I290" s="91">
        <f t="shared" si="14"/>
        <v>0</v>
      </c>
      <c r="J290" s="92"/>
      <c r="K290" s="92"/>
      <c r="L290" s="141"/>
      <c r="M290" s="56">
        <v>50</v>
      </c>
    </row>
    <row r="291" spans="1:14" s="51" customFormat="1" ht="25.2" hidden="1" customHeight="1">
      <c r="A291" s="68">
        <f t="shared" si="13"/>
        <v>0</v>
      </c>
      <c r="B291" s="69" t="s">
        <v>167</v>
      </c>
      <c r="C291" s="69"/>
      <c r="D291" s="87">
        <f>IF(H291&gt;0,D287+1,D287)</f>
        <v>0</v>
      </c>
      <c r="E291" s="88">
        <f>VLOOKUP($B291,[1]DG!A:D,[1]DG!$B$2,)</f>
        <v>0</v>
      </c>
      <c r="F291" s="89" t="str">
        <f>VLOOKUP($B291,[1]DG!A:D,[1]DG!$C$2,)</f>
        <v>Dây chảy 6K</v>
      </c>
      <c r="G291" s="88" t="str">
        <f>VLOOKUP($B291,[1]DG!A:D,[1]DG!$D$2,)</f>
        <v>Sợi</v>
      </c>
      <c r="H291" s="134"/>
      <c r="I291" s="91">
        <f t="shared" si="14"/>
        <v>0</v>
      </c>
      <c r="J291" s="92"/>
      <c r="K291" s="92"/>
      <c r="L291" s="141"/>
      <c r="M291" s="56">
        <v>50</v>
      </c>
    </row>
    <row r="292" spans="1:14" s="51" customFormat="1" ht="25.2" hidden="1" customHeight="1">
      <c r="A292" s="68">
        <f t="shared" si="13"/>
        <v>0</v>
      </c>
      <c r="B292" s="69" t="s">
        <v>176</v>
      </c>
      <c r="C292" s="69"/>
      <c r="D292" s="87">
        <f>IF(H292&gt;0,D288+1,D288)</f>
        <v>0</v>
      </c>
      <c r="E292" s="88">
        <f>VLOOKUP($B292,[1]DG!A:D,[1]DG!$B$2,)</f>
        <v>0</v>
      </c>
      <c r="F292" s="89" t="str">
        <f>VLOOKUP($B292,[1]DG!A:D,[1]DG!$C$2,)</f>
        <v>Dây chảy 8K</v>
      </c>
      <c r="G292" s="88" t="str">
        <f>VLOOKUP($B292,[1]DG!A:D,[1]DG!$D$2,)</f>
        <v>Sợi</v>
      </c>
      <c r="H292" s="134"/>
      <c r="I292" s="91">
        <f t="shared" si="14"/>
        <v>0</v>
      </c>
      <c r="J292" s="92"/>
      <c r="K292" s="92"/>
      <c r="L292" s="141"/>
      <c r="M292" s="56">
        <v>50</v>
      </c>
    </row>
    <row r="293" spans="1:14" s="51" customFormat="1" ht="25.2" hidden="1" customHeight="1">
      <c r="A293" s="68">
        <f t="shared" si="13"/>
        <v>0</v>
      </c>
      <c r="B293" s="69" t="s">
        <v>177</v>
      </c>
      <c r="C293" s="69"/>
      <c r="D293" s="87">
        <f>IF(H293&gt;0,D290+1,D290)</f>
        <v>0</v>
      </c>
      <c r="E293" s="88">
        <f>VLOOKUP($B293,[1]DG!A:D,[1]DG!$B$2,)</f>
        <v>0</v>
      </c>
      <c r="F293" s="89" t="str">
        <f>VLOOKUP($B293,[1]DG!A:D,[1]DG!$C$2,)</f>
        <v>Dây chảy 10K</v>
      </c>
      <c r="G293" s="88" t="str">
        <f>VLOOKUP($B293,[1]DG!A:D,[1]DG!$D$2,)</f>
        <v>Sợi</v>
      </c>
      <c r="H293" s="134"/>
      <c r="I293" s="91">
        <f t="shared" si="14"/>
        <v>0</v>
      </c>
      <c r="J293" s="92"/>
      <c r="K293" s="92"/>
      <c r="L293" s="141"/>
      <c r="M293" s="56">
        <v>50</v>
      </c>
    </row>
    <row r="294" spans="1:14" s="51" customFormat="1" ht="25.2" hidden="1" customHeight="1">
      <c r="A294" s="68">
        <f t="shared" si="13"/>
        <v>0</v>
      </c>
      <c r="B294" s="69" t="s">
        <v>58</v>
      </c>
      <c r="C294" s="69"/>
      <c r="D294" s="87">
        <f>IF(H294&gt;0,D287+1,D287)</f>
        <v>0</v>
      </c>
      <c r="E294" s="88" t="str">
        <f>VLOOKUP($B294,[1]DG!A:D,[1]DG!$B$2,)</f>
        <v>02.5114</v>
      </c>
      <c r="F294" s="89" t="str">
        <f>VLOOKUP($B294,[1]DG!A:D,[1]DG!$C$2,)</f>
        <v>Chống sét van LA-18KV-10KA</v>
      </c>
      <c r="G294" s="88" t="str">
        <f>VLOOKUP($B294,[1]DG!A:D,[1]DG!$D$2,)</f>
        <v>cái</v>
      </c>
      <c r="H294" s="134"/>
      <c r="I294" s="91">
        <f t="shared" si="14"/>
        <v>0</v>
      </c>
      <c r="J294" s="92"/>
      <c r="K294" s="92"/>
      <c r="L294" s="141"/>
      <c r="M294" s="56">
        <v>50</v>
      </c>
    </row>
    <row r="295" spans="1:14" s="51" customFormat="1" ht="25.2" hidden="1" customHeight="1">
      <c r="A295" s="68">
        <f t="shared" si="13"/>
        <v>0</v>
      </c>
      <c r="B295" s="69"/>
      <c r="C295" s="69"/>
      <c r="D295" s="149"/>
      <c r="E295" s="150"/>
      <c r="F295" s="151" t="s">
        <v>178</v>
      </c>
      <c r="G295" s="149"/>
      <c r="H295" s="152"/>
      <c r="I295" s="153">
        <f t="shared" si="14"/>
        <v>0</v>
      </c>
      <c r="J295" s="151"/>
      <c r="K295" s="149"/>
      <c r="L295" s="154"/>
      <c r="M295" s="56">
        <v>50</v>
      </c>
    </row>
    <row r="296" spans="1:14" s="51" customFormat="1" ht="25.2" hidden="1" customHeight="1">
      <c r="A296" s="68">
        <f>A297</f>
        <v>0</v>
      </c>
      <c r="B296" s="69"/>
      <c r="C296" s="69"/>
      <c r="D296" s="104"/>
      <c r="E296" s="107"/>
      <c r="F296" s="107" t="s">
        <v>64</v>
      </c>
      <c r="G296" s="107"/>
      <c r="H296" s="83"/>
      <c r="I296" s="155">
        <f t="shared" si="14"/>
        <v>0</v>
      </c>
      <c r="J296" s="107"/>
      <c r="K296" s="107"/>
      <c r="L296" s="156"/>
      <c r="M296" s="56">
        <v>50</v>
      </c>
    </row>
    <row r="297" spans="1:14" s="51" customFormat="1" ht="25.2" hidden="1" customHeight="1">
      <c r="A297" s="68">
        <f t="shared" si="13"/>
        <v>0</v>
      </c>
      <c r="B297" s="69" t="s">
        <v>65</v>
      </c>
      <c r="C297" s="69"/>
      <c r="D297" s="157">
        <f>IF(H309&gt;0,1,0)</f>
        <v>0</v>
      </c>
      <c r="E297" s="158"/>
      <c r="F297" s="159" t="str">
        <f>VLOOKUP($B297,[1]DG!A:D,[1]DG!$C$2,)</f>
        <v>Boulon 16x300+ 2 long đền vuông D18-50x50x3/Zn</v>
      </c>
      <c r="G297" s="160" t="str">
        <f>VLOOKUP($B297,[1]DG!A:D,[1]DG!$D$2,)</f>
        <v>bộ</v>
      </c>
      <c r="H297" s="161">
        <f>2*SUM(H272:H272)</f>
        <v>0</v>
      </c>
      <c r="I297" s="162">
        <f t="shared" si="14"/>
        <v>0</v>
      </c>
      <c r="J297" s="163"/>
      <c r="K297" s="163"/>
      <c r="L297" s="135"/>
      <c r="M297" s="56">
        <v>50</v>
      </c>
    </row>
    <row r="298" spans="1:14" s="51" customFormat="1" ht="25.2" hidden="1" customHeight="1">
      <c r="A298" s="68">
        <f t="shared" si="13"/>
        <v>0</v>
      </c>
      <c r="B298" s="69"/>
      <c r="C298" s="69"/>
      <c r="D298" s="111">
        <f>IF(H298&gt;0,D297+1,D297)</f>
        <v>0</v>
      </c>
      <c r="E298" s="112"/>
      <c r="F298" s="113" t="s">
        <v>66</v>
      </c>
      <c r="G298" s="114" t="s">
        <v>67</v>
      </c>
      <c r="H298" s="110">
        <f>H272*0</f>
        <v>0</v>
      </c>
      <c r="I298" s="91">
        <f t="shared" si="14"/>
        <v>0</v>
      </c>
      <c r="J298" s="95"/>
      <c r="K298" s="95"/>
      <c r="L298" s="96"/>
      <c r="M298" s="56">
        <v>50</v>
      </c>
    </row>
    <row r="299" spans="1:14" s="51" customFormat="1" ht="25.2" hidden="1" customHeight="1">
      <c r="A299" s="68">
        <f>IF(A298&gt;0,1,0)</f>
        <v>0</v>
      </c>
      <c r="B299" s="69"/>
      <c r="C299" s="69"/>
      <c r="D299" s="114"/>
      <c r="E299" s="112"/>
      <c r="F299" s="115" t="s">
        <v>68</v>
      </c>
      <c r="G299" s="96"/>
      <c r="H299" s="94"/>
      <c r="I299" s="91">
        <f t="shared" si="14"/>
        <v>0</v>
      </c>
      <c r="J299" s="95"/>
      <c r="K299" s="95"/>
      <c r="L299" s="96"/>
      <c r="M299" s="56">
        <v>50</v>
      </c>
      <c r="N299" s="56"/>
    </row>
    <row r="300" spans="1:14" s="51" customFormat="1" ht="25.2" hidden="1" customHeight="1">
      <c r="A300" s="68">
        <f t="shared" si="13"/>
        <v>0</v>
      </c>
      <c r="B300" s="86" t="s">
        <v>69</v>
      </c>
      <c r="C300" s="86"/>
      <c r="D300" s="96"/>
      <c r="E300" s="88">
        <f>VLOOKUP($B300,[1]DG!A:D,[1]DG!$B$2,)</f>
        <v>0</v>
      </c>
      <c r="F300" s="89" t="str">
        <f>VLOOKUP($B300,[1]DG!A:D,[1]DG!$C$2,)</f>
        <v>Trụ BTLT 12m F350 dự ứng lực</v>
      </c>
      <c r="G300" s="88" t="str">
        <f>VLOOKUP($B300,[1]DG!A:D,[1]DG!$D$2,)</f>
        <v>trụ</v>
      </c>
      <c r="H300" s="94">
        <f>1*H298</f>
        <v>0</v>
      </c>
      <c r="I300" s="91">
        <f t="shared" si="14"/>
        <v>0</v>
      </c>
      <c r="J300" s="92"/>
      <c r="K300" s="92"/>
      <c r="L300" s="96"/>
      <c r="M300" s="56">
        <v>50</v>
      </c>
      <c r="N300" s="56"/>
    </row>
    <row r="301" spans="1:14" s="51" customFormat="1" ht="25.2" hidden="1" customHeight="1">
      <c r="A301" s="68">
        <f t="shared" si="13"/>
        <v>0</v>
      </c>
      <c r="B301" s="86" t="s">
        <v>70</v>
      </c>
      <c r="C301" s="86"/>
      <c r="D301" s="96"/>
      <c r="E301" s="116"/>
      <c r="F301" s="89" t="str">
        <f>VLOOKUP($B301,[1]DG!A:D,[1]DG!$C$2,)</f>
        <v>Vật liệu dựng trụ</v>
      </c>
      <c r="G301" s="88" t="str">
        <f>VLOOKUP($B301,[1]DG!A:D,[1]DG!$D$2,)</f>
        <v>trụ</v>
      </c>
      <c r="H301" s="94">
        <f>H300</f>
        <v>0</v>
      </c>
      <c r="I301" s="91">
        <f t="shared" si="14"/>
        <v>0</v>
      </c>
      <c r="J301" s="92"/>
      <c r="K301" s="92"/>
      <c r="L301" s="96"/>
      <c r="M301" s="56">
        <v>50</v>
      </c>
      <c r="N301" s="56"/>
    </row>
    <row r="302" spans="1:14" s="51" customFormat="1" ht="25.2" hidden="1" customHeight="1">
      <c r="A302" s="68">
        <f t="shared" si="13"/>
        <v>0</v>
      </c>
      <c r="B302" s="86" t="s">
        <v>71</v>
      </c>
      <c r="C302" s="86"/>
      <c r="D302" s="96"/>
      <c r="E302" s="116"/>
      <c r="F302" s="89" t="str">
        <f>VLOOKUP($B302,[1]DG!A:D,[1]DG!$C$2,)</f>
        <v>Dựng trụ BTLT 12m trong TBA bằng thủ công + cơ giới</v>
      </c>
      <c r="G302" s="88" t="str">
        <f>VLOOKUP($B302,[1]DG!A:D,[1]DG!$D$2,)</f>
        <v>trụ</v>
      </c>
      <c r="H302" s="94">
        <f>H300</f>
        <v>0</v>
      </c>
      <c r="I302" s="91">
        <f t="shared" si="14"/>
        <v>0</v>
      </c>
      <c r="J302" s="92"/>
      <c r="K302" s="92"/>
      <c r="L302" s="96"/>
      <c r="M302" s="56">
        <v>50</v>
      </c>
      <c r="N302" s="56"/>
    </row>
    <row r="303" spans="1:14" s="51" customFormat="1" ht="25.2" hidden="1" customHeight="1">
      <c r="A303" s="68">
        <f t="shared" si="13"/>
        <v>0</v>
      </c>
      <c r="B303" s="69"/>
      <c r="C303" s="69"/>
      <c r="D303" s="111">
        <f>IF(H303&gt;0,D298+1,D298)</f>
        <v>0</v>
      </c>
      <c r="E303" s="112"/>
      <c r="F303" s="113" t="s">
        <v>72</v>
      </c>
      <c r="G303" s="114" t="s">
        <v>67</v>
      </c>
      <c r="H303" s="110">
        <f>H298</f>
        <v>0</v>
      </c>
      <c r="I303" s="91">
        <f t="shared" si="14"/>
        <v>0</v>
      </c>
      <c r="J303" s="95"/>
      <c r="K303" s="95"/>
      <c r="L303" s="96"/>
      <c r="M303" s="56">
        <v>50</v>
      </c>
    </row>
    <row r="304" spans="1:14" s="51" customFormat="1" ht="25.2" hidden="1" customHeight="1">
      <c r="A304" s="68">
        <f>IF(A303&gt;0,1,0)</f>
        <v>0</v>
      </c>
      <c r="B304" s="69"/>
      <c r="C304" s="69"/>
      <c r="D304" s="114"/>
      <c r="E304" s="112"/>
      <c r="F304" s="115" t="s">
        <v>68</v>
      </c>
      <c r="G304" s="96"/>
      <c r="H304" s="94"/>
      <c r="I304" s="91">
        <f t="shared" si="14"/>
        <v>0</v>
      </c>
      <c r="J304" s="95"/>
      <c r="K304" s="95"/>
      <c r="L304" s="96"/>
      <c r="M304" s="56">
        <v>50</v>
      </c>
      <c r="N304" s="56"/>
    </row>
    <row r="305" spans="1:14" s="51" customFormat="1" ht="25.2" hidden="1" customHeight="1">
      <c r="A305" s="68">
        <f t="shared" si="13"/>
        <v>0</v>
      </c>
      <c r="B305" s="86" t="s">
        <v>73</v>
      </c>
      <c r="C305" s="86"/>
      <c r="D305" s="96"/>
      <c r="E305" s="88" t="str">
        <f>VLOOKUP($B305,[1]DG!A:D,[1]DG!$B$2,)</f>
        <v>04.4001</v>
      </c>
      <c r="F305" s="89" t="str">
        <f>VLOOKUP($B305,[1]DG!A:D,[1]DG!$C$2,)</f>
        <v>Đà cản BTCT 1,2m</v>
      </c>
      <c r="G305" s="88" t="str">
        <f>VLOOKUP($B305,[1]DG!A:D,[1]DG!$D$2,)</f>
        <v>cái</v>
      </c>
      <c r="H305" s="94">
        <f>1*H303</f>
        <v>0</v>
      </c>
      <c r="I305" s="91">
        <f t="shared" si="14"/>
        <v>0</v>
      </c>
      <c r="J305" s="92"/>
      <c r="K305" s="92"/>
      <c r="L305" s="96"/>
      <c r="M305" s="56">
        <v>50</v>
      </c>
      <c r="N305" s="56"/>
    </row>
    <row r="306" spans="1:14" s="51" customFormat="1" ht="25.2" hidden="1" customHeight="1">
      <c r="A306" s="68">
        <f t="shared" si="13"/>
        <v>0</v>
      </c>
      <c r="B306" s="86" t="s">
        <v>74</v>
      </c>
      <c r="C306" s="86"/>
      <c r="D306" s="96"/>
      <c r="E306" s="88">
        <f>VLOOKUP($B306,[1]DG!A:D,[1]DG!$B$2,)</f>
        <v>0</v>
      </c>
      <c r="F306" s="89" t="str">
        <f>VLOOKUP($B306,[1]DG!A:D,[1]DG!$C$2,)</f>
        <v>Boulon 22x650+ 2 long đền vuông D24-50x50x3/Zn</v>
      </c>
      <c r="G306" s="88" t="str">
        <f>VLOOKUP($B306,[1]DG!A:D,[1]DG!$D$2,)</f>
        <v>bộ</v>
      </c>
      <c r="H306" s="94">
        <f>H303</f>
        <v>0</v>
      </c>
      <c r="I306" s="91">
        <f t="shared" si="14"/>
        <v>0</v>
      </c>
      <c r="J306" s="92"/>
      <c r="K306" s="92"/>
      <c r="L306" s="96"/>
      <c r="M306" s="56">
        <v>50</v>
      </c>
      <c r="N306" s="56"/>
    </row>
    <row r="307" spans="1:14" s="51" customFormat="1" ht="25.2" hidden="1" customHeight="1">
      <c r="A307" s="68">
        <f t="shared" si="13"/>
        <v>0</v>
      </c>
      <c r="B307" s="86" t="str">
        <f>IF(chitiet!G5=1,"MDD1",IF(chitiet!G5=2,"MDD2",IF(chitiet!G5=3,"MDD3",IF(chitiet!G5=4,"MDD4"))))</f>
        <v>MDD3</v>
      </c>
      <c r="C307" s="86"/>
      <c r="D307" s="96"/>
      <c r="E307" s="88" t="str">
        <f>VLOOKUP($B307,[1]DG!A:D,[1]DG!$B$2,)</f>
        <v>03.1013</v>
      </c>
      <c r="F307" s="89" t="str">
        <f>VLOOKUP($B307,[1]DG!A:D,[1]DG!$C$2,)</f>
        <v>Đào hố móng đất cấp 3 sâu &gt;1m</v>
      </c>
      <c r="G307" s="88" t="str">
        <f>VLOOKUP($B307,[1]DG!A:D,[1]DG!$D$2,)</f>
        <v>m3</v>
      </c>
      <c r="H307" s="94">
        <f>H303*1.45</f>
        <v>0</v>
      </c>
      <c r="I307" s="91">
        <f t="shared" si="14"/>
        <v>0</v>
      </c>
      <c r="J307" s="92"/>
      <c r="K307" s="92"/>
      <c r="L307" s="96"/>
      <c r="M307" s="56">
        <v>50</v>
      </c>
      <c r="N307" s="56"/>
    </row>
    <row r="308" spans="1:14" s="51" customFormat="1" ht="25.2" hidden="1" customHeight="1">
      <c r="A308" s="68">
        <f t="shared" si="13"/>
        <v>0</v>
      </c>
      <c r="B308" s="86" t="str">
        <f>IF(chitiet!G5=1,"MDAP1",IF(chitiet!G5=2,"MDAP2",IF(chitiet!G5=3,"MDAP3",IF(chitiet!G5=4,"MDAP4"))))</f>
        <v>MDAP3</v>
      </c>
      <c r="C308" s="86"/>
      <c r="D308" s="96"/>
      <c r="E308" s="88" t="str">
        <f>VLOOKUP($B308,[1]DG!A:D,[1]DG!$B$2,)</f>
        <v>03.4113</v>
      </c>
      <c r="F308" s="89" t="str">
        <f>VLOOKUP($B308,[1]DG!A:D,[1]DG!$C$2,)</f>
        <v>Đắp đất hố móng, độ chặt k=0,95</v>
      </c>
      <c r="G308" s="88" t="str">
        <f>VLOOKUP($B308,[1]DG!A:D,[1]DG!$D$2,)</f>
        <v>m3</v>
      </c>
      <c r="H308" s="94">
        <f>H303*1.37</f>
        <v>0</v>
      </c>
      <c r="I308" s="91">
        <f t="shared" si="14"/>
        <v>0</v>
      </c>
      <c r="J308" s="92"/>
      <c r="K308" s="92"/>
      <c r="L308" s="96"/>
      <c r="M308" s="56">
        <v>50</v>
      </c>
      <c r="N308" s="56"/>
    </row>
    <row r="309" spans="1:14" s="51" customFormat="1" ht="25.2" hidden="1" customHeight="1">
      <c r="A309" s="68">
        <f t="shared" si="13"/>
        <v>0</v>
      </c>
      <c r="B309" s="69"/>
      <c r="C309" s="69"/>
      <c r="D309" s="111">
        <f>IF(H309&gt;0,D303+1,D303)</f>
        <v>0</v>
      </c>
      <c r="E309" s="112"/>
      <c r="F309" s="136" t="s">
        <v>179</v>
      </c>
      <c r="G309" s="114" t="s">
        <v>67</v>
      </c>
      <c r="H309" s="110">
        <f>SUM(H272:H272)</f>
        <v>0</v>
      </c>
      <c r="I309" s="91">
        <f t="shared" si="14"/>
        <v>0</v>
      </c>
      <c r="J309" s="92"/>
      <c r="K309" s="92"/>
      <c r="L309" s="117"/>
      <c r="M309" s="56">
        <v>50</v>
      </c>
    </row>
    <row r="310" spans="1:14" s="51" customFormat="1" ht="25.2" hidden="1" customHeight="1">
      <c r="A310" s="68">
        <f>IF(A309&gt;0,1,0)</f>
        <v>0</v>
      </c>
      <c r="B310" s="69"/>
      <c r="C310" s="69"/>
      <c r="D310" s="114"/>
      <c r="E310" s="112"/>
      <c r="F310" s="137" t="s">
        <v>68</v>
      </c>
      <c r="G310" s="96"/>
      <c r="H310" s="94"/>
      <c r="I310" s="91">
        <f t="shared" si="14"/>
        <v>0</v>
      </c>
      <c r="J310" s="92"/>
      <c r="K310" s="92"/>
      <c r="L310" s="117"/>
      <c r="M310" s="56">
        <v>50</v>
      </c>
    </row>
    <row r="311" spans="1:14" s="51" customFormat="1" ht="25.2" hidden="1" customHeight="1">
      <c r="A311" s="68">
        <f t="shared" ref="A311:A314" si="15">IF(A310&gt;0,1,0)</f>
        <v>0</v>
      </c>
      <c r="B311" s="69" t="s">
        <v>121</v>
      </c>
      <c r="C311" s="69">
        <v>1</v>
      </c>
      <c r="D311" s="96"/>
      <c r="E311" s="88">
        <f>VLOOKUP($B311,[1]DG!A:D,[1]DG!$B$2,)</f>
        <v>0</v>
      </c>
      <c r="F311" s="89" t="str">
        <f>VLOOKUP($B311,[1]DG!A:D,[1]DG!$C$2,)</f>
        <v>Đà Composite 110x80x5x800</v>
      </c>
      <c r="G311" s="88" t="str">
        <f>VLOOKUP($B311,[1]DG!A:D,[1]DG!$D$2,)</f>
        <v>cái</v>
      </c>
      <c r="H311" s="148">
        <f>H$309*$C311</f>
        <v>0</v>
      </c>
      <c r="I311" s="148">
        <f t="shared" ref="I311:K311" si="16">I$309*$C311</f>
        <v>0</v>
      </c>
      <c r="J311" s="148">
        <f t="shared" si="16"/>
        <v>0</v>
      </c>
      <c r="K311" s="94">
        <f t="shared" si="16"/>
        <v>0</v>
      </c>
      <c r="L311" s="117"/>
      <c r="M311" s="56">
        <v>50</v>
      </c>
    </row>
    <row r="312" spans="1:14" s="51" customFormat="1" ht="25.2" hidden="1" customHeight="1">
      <c r="A312" s="68">
        <f t="shared" si="15"/>
        <v>0</v>
      </c>
      <c r="B312" s="69" t="s">
        <v>122</v>
      </c>
      <c r="C312" s="69">
        <v>1</v>
      </c>
      <c r="D312" s="96"/>
      <c r="E312" s="88">
        <f>VLOOKUP($B312,[1]DG!A:D,[1]DG!$B$2,)</f>
        <v>0</v>
      </c>
      <c r="F312" s="89" t="str">
        <f>VLOOKUP($B312,[1]DG!A:D,[1]DG!$C$2,)</f>
        <v>Thanh chống Composite 10x40x720</v>
      </c>
      <c r="G312" s="88" t="str">
        <f>VLOOKUP($B312,[1]DG!A:D,[1]DG!$D$2,)</f>
        <v>cái</v>
      </c>
      <c r="H312" s="148">
        <f t="shared" ref="H312:K314" si="17">H$309*$C312</f>
        <v>0</v>
      </c>
      <c r="I312" s="148">
        <f t="shared" si="17"/>
        <v>0</v>
      </c>
      <c r="J312" s="148">
        <f t="shared" si="17"/>
        <v>0</v>
      </c>
      <c r="K312" s="94">
        <f t="shared" si="17"/>
        <v>0</v>
      </c>
      <c r="L312" s="117"/>
      <c r="M312" s="56">
        <v>50</v>
      </c>
    </row>
    <row r="313" spans="1:14" s="51" customFormat="1" ht="25.2" hidden="1" customHeight="1">
      <c r="A313" s="68">
        <f t="shared" si="15"/>
        <v>0</v>
      </c>
      <c r="B313" s="69" t="s">
        <v>65</v>
      </c>
      <c r="C313" s="69">
        <v>1</v>
      </c>
      <c r="D313" s="96"/>
      <c r="E313" s="116"/>
      <c r="F313" s="89" t="str">
        <f>VLOOKUP($B313,[1]DG!A:D,[1]DG!$C$2,)</f>
        <v>Boulon 16x300+ 2 long đền vuông D18-50x50x3/Zn</v>
      </c>
      <c r="G313" s="88" t="str">
        <f>VLOOKUP($B313,[1]DG!A:D,[1]DG!$D$2,)</f>
        <v>bộ</v>
      </c>
      <c r="H313" s="148">
        <f t="shared" si="17"/>
        <v>0</v>
      </c>
      <c r="I313" s="148">
        <f t="shared" si="17"/>
        <v>0</v>
      </c>
      <c r="J313" s="148">
        <f t="shared" si="17"/>
        <v>0</v>
      </c>
      <c r="K313" s="94">
        <f t="shared" si="17"/>
        <v>0</v>
      </c>
      <c r="L313" s="117"/>
      <c r="M313" s="56">
        <v>50</v>
      </c>
    </row>
    <row r="314" spans="1:14" s="51" customFormat="1" ht="25.2" hidden="1" customHeight="1">
      <c r="A314" s="68">
        <f t="shared" si="15"/>
        <v>0</v>
      </c>
      <c r="B314" s="69" t="s">
        <v>124</v>
      </c>
      <c r="C314" s="69">
        <v>1</v>
      </c>
      <c r="D314" s="96"/>
      <c r="E314" s="116"/>
      <c r="F314" s="89" t="str">
        <f>VLOOKUP($B314,[1]DG!A:D,[1]DG!$C$2,)</f>
        <v>Boulon 14x150+ 2 long đền vuông D16-50x50x3/Zn</v>
      </c>
      <c r="G314" s="88" t="str">
        <f>VLOOKUP($B314,[1]DG!A:D,[1]DG!$D$2,)</f>
        <v>bộ</v>
      </c>
      <c r="H314" s="148">
        <f t="shared" si="17"/>
        <v>0</v>
      </c>
      <c r="I314" s="148">
        <f t="shared" si="17"/>
        <v>0</v>
      </c>
      <c r="J314" s="148">
        <f t="shared" si="17"/>
        <v>0</v>
      </c>
      <c r="K314" s="94">
        <f t="shared" si="17"/>
        <v>0</v>
      </c>
      <c r="L314" s="117"/>
      <c r="M314" s="56">
        <v>50</v>
      </c>
    </row>
    <row r="315" spans="1:14" s="51" customFormat="1" ht="25.2" hidden="1" customHeight="1">
      <c r="A315" s="68">
        <f t="shared" si="13"/>
        <v>0</v>
      </c>
      <c r="B315" s="69"/>
      <c r="C315" s="69"/>
      <c r="D315" s="114">
        <f>IF(H315&gt;0,D309+1,D309)</f>
        <v>0</v>
      </c>
      <c r="E315" s="112"/>
      <c r="F315" s="136" t="s">
        <v>180</v>
      </c>
      <c r="G315" s="114" t="s">
        <v>67</v>
      </c>
      <c r="H315" s="110">
        <f>H309</f>
        <v>0</v>
      </c>
      <c r="I315" s="91">
        <f t="shared" si="14"/>
        <v>0</v>
      </c>
      <c r="J315" s="92"/>
      <c r="K315" s="92"/>
      <c r="L315" s="117"/>
      <c r="M315" s="56">
        <v>50</v>
      </c>
    </row>
    <row r="316" spans="1:14" s="51" customFormat="1" ht="25.2" hidden="1" customHeight="1">
      <c r="A316" s="68">
        <f>IF(A315&gt;0,1,0)</f>
        <v>0</v>
      </c>
      <c r="B316" s="69"/>
      <c r="C316" s="69"/>
      <c r="D316" s="96"/>
      <c r="E316" s="116"/>
      <c r="F316" s="137" t="s">
        <v>68</v>
      </c>
      <c r="G316" s="96"/>
      <c r="H316" s="94"/>
      <c r="I316" s="91">
        <f t="shared" si="14"/>
        <v>0</v>
      </c>
      <c r="J316" s="92"/>
      <c r="K316" s="92"/>
      <c r="L316" s="117"/>
      <c r="M316" s="56">
        <v>50</v>
      </c>
    </row>
    <row r="317" spans="1:14" s="51" customFormat="1" ht="25.2" hidden="1" customHeight="1">
      <c r="A317" s="68">
        <f t="shared" si="13"/>
        <v>0</v>
      </c>
      <c r="B317" s="69" t="s">
        <v>127</v>
      </c>
      <c r="C317" s="164">
        <v>0.224</v>
      </c>
      <c r="D317" s="96"/>
      <c r="E317" s="88">
        <f>VLOOKUP($B317,[1]DG!A:D,[1]DG!$B$2,)</f>
        <v>0</v>
      </c>
      <c r="F317" s="89" t="str">
        <f>VLOOKUP($B317,[1]DG!A:D,[1]DG!$C$2,)</f>
        <v>Cáp đồng trần M25mm2</v>
      </c>
      <c r="G317" s="88" t="str">
        <f>VLOOKUP($B317,[1]DG!A:D,[1]DG!$D$2,)</f>
        <v>kg</v>
      </c>
      <c r="H317" s="165">
        <v>13</v>
      </c>
      <c r="I317" s="166">
        <f t="shared" si="14"/>
        <v>0</v>
      </c>
      <c r="J317" s="92"/>
      <c r="K317" s="92"/>
      <c r="L317" s="117"/>
      <c r="M317" s="56">
        <v>50</v>
      </c>
    </row>
    <row r="318" spans="1:14" s="51" customFormat="1" ht="25.2" hidden="1" customHeight="1">
      <c r="A318" s="68">
        <f t="shared" si="13"/>
        <v>0</v>
      </c>
      <c r="B318" s="86" t="s">
        <v>82</v>
      </c>
      <c r="C318" s="86"/>
      <c r="D318" s="96"/>
      <c r="E318" s="88">
        <f>VLOOKUP($B318,[1]DG!A:D,[1]DG!$B$2,)</f>
        <v>0</v>
      </c>
      <c r="F318" s="89" t="str">
        <f>VLOOKUP($B318,[1]DG!A:D,[1]DG!$C$2,)</f>
        <v>Cọc tiếp đất Þ 16- 2,4m + kẹp cọc mạ đồng</v>
      </c>
      <c r="G318" s="88" t="str">
        <f>VLOOKUP($B318,[1]DG!A:D,[1]DG!$D$2,)</f>
        <v>bộ</v>
      </c>
      <c r="H318" s="94">
        <f>I2</f>
        <v>10</v>
      </c>
      <c r="I318" s="91">
        <f t="shared" si="14"/>
        <v>0</v>
      </c>
      <c r="J318" s="92"/>
      <c r="K318" s="92"/>
      <c r="L318" s="117"/>
      <c r="M318" s="56">
        <v>50</v>
      </c>
    </row>
    <row r="319" spans="1:14" s="51" customFormat="1" ht="25.2" hidden="1" customHeight="1">
      <c r="A319" s="68">
        <f t="shared" si="13"/>
        <v>0</v>
      </c>
      <c r="B319" s="86" t="s">
        <v>181</v>
      </c>
      <c r="C319" s="86"/>
      <c r="D319" s="96"/>
      <c r="E319" s="88">
        <f>VLOOKUP($B319,[1]DG!A:D,[1]DG!$B$2,)</f>
        <v>0</v>
      </c>
      <c r="F319" s="89" t="str">
        <f>VLOOKUP($B319,[1]DG!A:D,[1]DG!$C$2,)</f>
        <v>Sắt Ø10</v>
      </c>
      <c r="G319" s="88" t="str">
        <f>VLOOKUP($B319,[1]DG!A:D,[1]DG!$D$2,)</f>
        <v>kg</v>
      </c>
      <c r="H319" s="94"/>
      <c r="I319" s="91">
        <f t="shared" si="14"/>
        <v>0</v>
      </c>
      <c r="J319" s="92"/>
      <c r="K319" s="92"/>
      <c r="L319" s="117"/>
      <c r="M319" s="56">
        <v>50</v>
      </c>
    </row>
    <row r="320" spans="1:14" s="51" customFormat="1" ht="25.2" hidden="1" customHeight="1">
      <c r="A320" s="68">
        <f t="shared" si="13"/>
        <v>0</v>
      </c>
      <c r="B320" s="86" t="s">
        <v>182</v>
      </c>
      <c r="C320" s="86"/>
      <c r="D320" s="96"/>
      <c r="E320" s="88" t="str">
        <f>VLOOKUP($B320,[1]DG!A:D,[1]DG!$B$2,)</f>
        <v>07.2403</v>
      </c>
      <c r="F320" s="89" t="str">
        <f>VLOOKUP($B320,[1]DG!A:D,[1]DG!$C$2,)</f>
        <v xml:space="preserve">Ống PVC D21x1,6mm </v>
      </c>
      <c r="G320" s="88" t="str">
        <f>VLOOKUP($B320,[1]DG!A:D,[1]DG!$D$2,)</f>
        <v>m</v>
      </c>
      <c r="H320" s="94">
        <v>6</v>
      </c>
      <c r="I320" s="91">
        <f t="shared" si="14"/>
        <v>0</v>
      </c>
      <c r="J320" s="92"/>
      <c r="K320" s="92"/>
      <c r="L320" s="117"/>
      <c r="M320" s="56">
        <v>50</v>
      </c>
    </row>
    <row r="321" spans="1:13" s="51" customFormat="1" ht="25.2" hidden="1" customHeight="1">
      <c r="A321" s="68">
        <f t="shared" si="13"/>
        <v>0</v>
      </c>
      <c r="B321" s="86" t="s">
        <v>183</v>
      </c>
      <c r="C321" s="86"/>
      <c r="D321" s="96"/>
      <c r="E321" s="88" t="str">
        <f>VLOOKUP($B321,[1]DG!A:D,[1]DG!$B$2,)</f>
        <v>06.3231</v>
      </c>
      <c r="F321" s="89" t="str">
        <f>VLOOKUP($B321,[1]DG!A:D,[1]DG!$C$2,)</f>
        <v>Cổ dê kẹp ống PVC  21</v>
      </c>
      <c r="G321" s="88" t="str">
        <f>VLOOKUP($B321,[1]DG!A:D,[1]DG!$D$2,)</f>
        <v>bộ</v>
      </c>
      <c r="H321" s="94">
        <v>4</v>
      </c>
      <c r="I321" s="91">
        <f t="shared" si="14"/>
        <v>0</v>
      </c>
      <c r="J321" s="92"/>
      <c r="K321" s="92"/>
      <c r="L321" s="117"/>
      <c r="M321" s="56">
        <v>50</v>
      </c>
    </row>
    <row r="322" spans="1:13" s="51" customFormat="1" ht="25.2" hidden="1" customHeight="1">
      <c r="A322" s="68">
        <f t="shared" si="13"/>
        <v>0</v>
      </c>
      <c r="B322" s="69" t="s">
        <v>184</v>
      </c>
      <c r="C322" s="69"/>
      <c r="D322" s="96"/>
      <c r="E322" s="88">
        <f>VLOOKUP($B322,[1]DG!A:D,[1]DG!$B$2,)</f>
        <v>0</v>
      </c>
      <c r="F322" s="89" t="str">
        <f>VLOOKUP($B322,[1]DG!A:D,[1]DG!$C$2,)</f>
        <v>Kẹp ép WR cỡ dây 50mm2</v>
      </c>
      <c r="G322" s="88" t="str">
        <f>VLOOKUP($B322,[1]DG!A:D,[1]DG!$D$2,)</f>
        <v>cái</v>
      </c>
      <c r="H322" s="94">
        <f>2*H314</f>
        <v>0</v>
      </c>
      <c r="I322" s="91">
        <f t="shared" si="14"/>
        <v>0</v>
      </c>
      <c r="J322" s="92"/>
      <c r="K322" s="92"/>
      <c r="L322" s="117"/>
      <c r="M322" s="56">
        <v>50</v>
      </c>
    </row>
    <row r="323" spans="1:13" s="51" customFormat="1" ht="25.2" hidden="1" customHeight="1">
      <c r="A323" s="68">
        <f t="shared" si="13"/>
        <v>0</v>
      </c>
      <c r="B323" s="69" t="s">
        <v>185</v>
      </c>
      <c r="C323" s="69"/>
      <c r="D323" s="96"/>
      <c r="E323" s="88">
        <f>VLOOKUP($B323,[1]DG!A:D,[1]DG!$B$2,)</f>
        <v>0</v>
      </c>
      <c r="F323" s="89" t="str">
        <f>VLOOKUP($B323,[1]DG!A:D,[1]DG!$C$2,)</f>
        <v>Kẹp ép cỡ dây 25mm2</v>
      </c>
      <c r="G323" s="88" t="str">
        <f>VLOOKUP($B323,[1]DG!A:D,[1]DG!$D$2,)</f>
        <v>cái</v>
      </c>
      <c r="H323" s="94">
        <v>11</v>
      </c>
      <c r="I323" s="91">
        <f t="shared" si="14"/>
        <v>0</v>
      </c>
      <c r="J323" s="92"/>
      <c r="K323" s="92"/>
      <c r="L323" s="117"/>
      <c r="M323" s="56">
        <v>50</v>
      </c>
    </row>
    <row r="324" spans="1:13" s="51" customFormat="1" ht="25.2" hidden="1" customHeight="1">
      <c r="A324" s="68">
        <f t="shared" si="13"/>
        <v>0</v>
      </c>
      <c r="B324" s="69" t="s">
        <v>186</v>
      </c>
      <c r="C324" s="69"/>
      <c r="D324" s="96"/>
      <c r="E324" s="88" t="str">
        <f>VLOOKUP($B324,[1]DG!A:D,[1]DG!$B$2,)</f>
        <v>04.3107</v>
      </c>
      <c r="F324" s="89" t="str">
        <f>VLOOKUP($B324,[1]DG!A:D,[1]DG!$C$2,)</f>
        <v xml:space="preserve">Ốc siết cáp cỡ 50mm2 </v>
      </c>
      <c r="G324" s="88" t="str">
        <f>VLOOKUP($B324,[1]DG!A:D,[1]DG!$D$2,)</f>
        <v>cái</v>
      </c>
      <c r="H324" s="94"/>
      <c r="I324" s="91">
        <f t="shared" si="14"/>
        <v>0</v>
      </c>
      <c r="J324" s="92"/>
      <c r="K324" s="92"/>
      <c r="L324" s="117"/>
      <c r="M324" s="56">
        <v>50</v>
      </c>
    </row>
    <row r="325" spans="1:13" s="51" customFormat="1" ht="25.2" hidden="1" customHeight="1">
      <c r="A325" s="68">
        <f t="shared" si="13"/>
        <v>0</v>
      </c>
      <c r="B325" s="69" t="s">
        <v>187</v>
      </c>
      <c r="C325" s="69"/>
      <c r="D325" s="96"/>
      <c r="E325" s="88" t="str">
        <f>VLOOKUP($B325,[1]DG!A:D,[1]DG!$B$2,)</f>
        <v>03.4002</v>
      </c>
      <c r="F325" s="89" t="str">
        <f>VLOOKUP($B325,[1]DG!A:D,[1]DG!$C$2,)</f>
        <v>Đầu cosse ép Cu 35mm2</v>
      </c>
      <c r="G325" s="88" t="str">
        <f>VLOOKUP($B325,[1]DG!A:D,[1]DG!$D$2,)</f>
        <v>cái</v>
      </c>
      <c r="H325" s="94"/>
      <c r="I325" s="91">
        <f t="shared" si="14"/>
        <v>0</v>
      </c>
      <c r="J325" s="92"/>
      <c r="K325" s="92"/>
      <c r="L325" s="117"/>
      <c r="M325" s="56">
        <v>50</v>
      </c>
    </row>
    <row r="326" spans="1:13" s="51" customFormat="1" ht="25.2" hidden="1" customHeight="1">
      <c r="A326" s="68">
        <f t="shared" si="13"/>
        <v>0</v>
      </c>
      <c r="B326" s="69" t="s">
        <v>188</v>
      </c>
      <c r="C326" s="69"/>
      <c r="D326" s="96"/>
      <c r="E326" s="88" t="str">
        <f>VLOOKUP($B326,[1]DG!A:D,[1]DG!$B$2,)</f>
        <v>03.4003</v>
      </c>
      <c r="F326" s="89" t="str">
        <f>VLOOKUP($B326,[1]DG!A:D,[1]DG!$C$2,)</f>
        <v>Đầu cosse ép Cu 70mm2</v>
      </c>
      <c r="G326" s="88" t="str">
        <f>VLOOKUP($B326,[1]DG!A:D,[1]DG!$D$2,)</f>
        <v>cái</v>
      </c>
      <c r="H326" s="94"/>
      <c r="I326" s="91">
        <f t="shared" si="14"/>
        <v>0</v>
      </c>
      <c r="J326" s="92"/>
      <c r="K326" s="92"/>
      <c r="L326" s="117"/>
      <c r="M326" s="56">
        <v>50</v>
      </c>
    </row>
    <row r="327" spans="1:13" s="51" customFormat="1" ht="25.2" hidden="1" customHeight="1">
      <c r="A327" s="68">
        <f t="shared" si="13"/>
        <v>0</v>
      </c>
      <c r="B327" s="86" t="s">
        <v>189</v>
      </c>
      <c r="C327" s="86"/>
      <c r="D327" s="96"/>
      <c r="E327" s="88" t="str">
        <f>VLOOKUP($B327,[1]DG!A:D,[1]DG!$B$2,)</f>
        <v>06.3231</v>
      </c>
      <c r="F327" s="89" t="str">
        <f>VLOOKUP($B327,[1]DG!A:D,[1]DG!$C$2,)</f>
        <v>Cổ dê kẹp sắt Ø 10</v>
      </c>
      <c r="G327" s="88" t="str">
        <f>VLOOKUP($B327,[1]DG!A:D,[1]DG!$D$2,)</f>
        <v>bộ</v>
      </c>
      <c r="H327" s="94"/>
      <c r="I327" s="91">
        <f t="shared" si="14"/>
        <v>0</v>
      </c>
      <c r="J327" s="92"/>
      <c r="K327" s="92"/>
      <c r="L327" s="117"/>
      <c r="M327" s="56">
        <v>50</v>
      </c>
    </row>
    <row r="328" spans="1:13" s="51" customFormat="1" ht="25.2" hidden="1" customHeight="1">
      <c r="A328" s="68">
        <f t="shared" si="13"/>
        <v>0</v>
      </c>
      <c r="B328" s="86" t="s">
        <v>157</v>
      </c>
      <c r="C328" s="86"/>
      <c r="D328" s="96"/>
      <c r="E328" s="88">
        <f>VLOOKUP($B328,[1]DG!A:D,[1]DG!$B$2,)</f>
        <v>0</v>
      </c>
      <c r="F328" s="89" t="s">
        <v>158</v>
      </c>
      <c r="G328" s="88" t="str">
        <f>VLOOKUP($B328,[1]DG!A:D,[1]DG!$D$2,)</f>
        <v>bộ</v>
      </c>
      <c r="H328" s="94"/>
      <c r="I328" s="91">
        <f t="shared" si="14"/>
        <v>0</v>
      </c>
      <c r="J328" s="92"/>
      <c r="K328" s="92"/>
      <c r="L328" s="117"/>
      <c r="M328" s="56">
        <v>50</v>
      </c>
    </row>
    <row r="329" spans="1:13" s="51" customFormat="1" ht="25.2" hidden="1" customHeight="1">
      <c r="A329" s="68">
        <f t="shared" si="13"/>
        <v>0</v>
      </c>
      <c r="B329" s="69" t="s">
        <v>90</v>
      </c>
      <c r="C329" s="69"/>
      <c r="D329" s="96"/>
      <c r="E329" s="88" t="str">
        <f>VLOOKUP($B329,[1]DG!A:D,[1]DG!$B$2,)</f>
        <v>04.7002</v>
      </c>
      <c r="F329" s="89" t="str">
        <f>VLOOKUP($B329,[1]DG!A:D,[1]DG!$C$2,)</f>
        <v>Kéo dây tiếp địa trong TBA</v>
      </c>
      <c r="G329" s="88" t="str">
        <f>VLOOKUP($B329,[1]DG!A:D,[1]DG!$D$2,)</f>
        <v>mét</v>
      </c>
      <c r="H329" s="148">
        <f>+H318*3+12*2+4</f>
        <v>58</v>
      </c>
      <c r="I329" s="91">
        <f t="shared" si="14"/>
        <v>0</v>
      </c>
      <c r="J329" s="92"/>
      <c r="K329" s="92"/>
      <c r="L329" s="117"/>
      <c r="M329" s="56">
        <v>50</v>
      </c>
    </row>
    <row r="330" spans="1:13" s="51" customFormat="1" ht="25.2" hidden="1" customHeight="1">
      <c r="A330" s="68">
        <f t="shared" si="13"/>
        <v>0</v>
      </c>
      <c r="B330" s="86" t="s">
        <v>89</v>
      </c>
      <c r="C330" s="86"/>
      <c r="D330" s="96"/>
      <c r="E330" s="88" t="str">
        <f>VLOOKUP($B330,[1]DG!A:D,[1]DG!$B$2,)</f>
        <v>04.7001</v>
      </c>
      <c r="F330" s="89" t="str">
        <f>VLOOKUP($B330,[1]DG!A:D,[1]DG!$C$2,)</f>
        <v>Đóng cọc tiếp địa trong TBA</v>
      </c>
      <c r="G330" s="88" t="str">
        <f>VLOOKUP($B330,[1]DG!A:D,[1]DG!$D$2,)</f>
        <v>cọc</v>
      </c>
      <c r="H330" s="148">
        <f>H318</f>
        <v>10</v>
      </c>
      <c r="I330" s="91">
        <f t="shared" si="14"/>
        <v>0</v>
      </c>
      <c r="J330" s="92"/>
      <c r="K330" s="92"/>
      <c r="L330" s="117"/>
      <c r="M330" s="56">
        <v>50</v>
      </c>
    </row>
    <row r="331" spans="1:13" s="51" customFormat="1" ht="25.2" hidden="1" customHeight="1">
      <c r="A331" s="68">
        <f t="shared" si="13"/>
        <v>0</v>
      </c>
      <c r="B331" s="69" t="str">
        <f>"dtd"&amp;chitiet!G5</f>
        <v>dtd3</v>
      </c>
      <c r="C331" s="69"/>
      <c r="D331" s="96"/>
      <c r="E331" s="88" t="str">
        <f>VLOOKUP($B331,[1]DG!A:D,[1]DG!$B$2,)</f>
        <v>03.3123</v>
      </c>
      <c r="F331" s="89" t="str">
        <f>VLOOKUP($B331,[1]DG!A:D,[1]DG!$C$2,)</f>
        <v>Đào rãnh tiếp địa đất cấp 3</v>
      </c>
      <c r="G331" s="88" t="str">
        <f>VLOOKUP($B331,[1]DG!A:D,[1]DG!$D$2,)</f>
        <v>m3</v>
      </c>
      <c r="H331" s="167">
        <v>8.64</v>
      </c>
      <c r="I331" s="91">
        <f t="shared" si="14"/>
        <v>0</v>
      </c>
      <c r="J331" s="92"/>
      <c r="K331" s="92"/>
      <c r="L331" s="117"/>
      <c r="M331" s="56">
        <v>50</v>
      </c>
    </row>
    <row r="332" spans="1:13" s="51" customFormat="1" ht="25.2" hidden="1" customHeight="1">
      <c r="A332" s="68">
        <f t="shared" si="13"/>
        <v>0</v>
      </c>
      <c r="B332" s="86" t="str">
        <f>"datd"&amp;chitiet!G5</f>
        <v>datd3</v>
      </c>
      <c r="C332" s="86"/>
      <c r="D332" s="96"/>
      <c r="E332" s="88" t="str">
        <f>VLOOKUP($B332,[1]DG!A:D,[1]DG!$B$2,)</f>
        <v>03.4123</v>
      </c>
      <c r="F332" s="89" t="str">
        <f>VLOOKUP($B332,[1]DG!A:D,[1]DG!$C$2,)</f>
        <v>Đắp đất rãnh tiếp độ chặt k=0,85</v>
      </c>
      <c r="G332" s="88" t="str">
        <f>VLOOKUP($B332,[1]DG!A:D,[1]DG!$D$2,)</f>
        <v>m3</v>
      </c>
      <c r="H332" s="148">
        <f>H331</f>
        <v>8.64</v>
      </c>
      <c r="I332" s="91">
        <f t="shared" si="14"/>
        <v>0</v>
      </c>
      <c r="J332" s="92"/>
      <c r="K332" s="92"/>
      <c r="L332" s="117"/>
      <c r="M332" s="56">
        <v>50</v>
      </c>
    </row>
    <row r="333" spans="1:13" s="51" customFormat="1" ht="25.2" hidden="1" customHeight="1">
      <c r="A333" s="68">
        <f t="shared" si="13"/>
        <v>0</v>
      </c>
      <c r="B333" s="69"/>
      <c r="C333" s="69"/>
      <c r="D333" s="114">
        <f>IF(H333&gt;0,D315+1,D315)</f>
        <v>0</v>
      </c>
      <c r="E333" s="112"/>
      <c r="F333" s="113" t="s">
        <v>159</v>
      </c>
      <c r="G333" s="114" t="s">
        <v>67</v>
      </c>
      <c r="H333" s="110">
        <f>H309</f>
        <v>0</v>
      </c>
      <c r="I333" s="91">
        <f t="shared" si="14"/>
        <v>0</v>
      </c>
      <c r="J333" s="92"/>
      <c r="K333" s="92"/>
      <c r="L333" s="117"/>
      <c r="M333" s="56">
        <v>50</v>
      </c>
    </row>
    <row r="334" spans="1:13" s="51" customFormat="1" ht="25.2" hidden="1" customHeight="1">
      <c r="A334" s="68">
        <f>IF(A333&gt;0,1,0)</f>
        <v>0</v>
      </c>
      <c r="B334" s="69"/>
      <c r="C334" s="69"/>
      <c r="D334" s="114"/>
      <c r="E334" s="112"/>
      <c r="F334" s="137" t="s">
        <v>68</v>
      </c>
      <c r="G334" s="96"/>
      <c r="H334" s="94"/>
      <c r="I334" s="91">
        <f t="shared" si="14"/>
        <v>0</v>
      </c>
      <c r="J334" s="92"/>
      <c r="K334" s="92"/>
      <c r="L334" s="117"/>
      <c r="M334" s="56">
        <v>50</v>
      </c>
    </row>
    <row r="335" spans="1:13" s="51" customFormat="1" ht="25.2" hidden="1" customHeight="1">
      <c r="A335" s="68">
        <f t="shared" si="13"/>
        <v>0</v>
      </c>
      <c r="B335" s="86" t="s">
        <v>94</v>
      </c>
      <c r="C335" s="86"/>
      <c r="D335" s="96"/>
      <c r="E335" s="88" t="str">
        <f>VLOOKUP($B335,[1]DG!A:D,[1]DG!$B$2,)</f>
        <v>05.1001</v>
      </c>
      <c r="F335" s="89" t="str">
        <f>VLOOKUP($B335,[1]DG!A:D,[1]DG!$C$2,)</f>
        <v>Tủ CB trạm 1 pha + khóa + boulon</v>
      </c>
      <c r="G335" s="88" t="str">
        <f>VLOOKUP($B335,[1]DG!A:D,[1]DG!$D$2,)</f>
        <v>cái</v>
      </c>
      <c r="H335" s="94">
        <f>H333</f>
        <v>0</v>
      </c>
      <c r="I335" s="91">
        <f t="shared" si="14"/>
        <v>0</v>
      </c>
      <c r="J335" s="92"/>
      <c r="K335" s="92"/>
      <c r="L335" s="117"/>
      <c r="M335" s="56">
        <v>50</v>
      </c>
    </row>
    <row r="336" spans="1:13" s="51" customFormat="1" ht="25.2" hidden="1" customHeight="1">
      <c r="A336" s="68">
        <f t="shared" si="13"/>
        <v>0</v>
      </c>
      <c r="B336" s="69" t="s">
        <v>95</v>
      </c>
      <c r="C336" s="69"/>
      <c r="D336" s="96"/>
      <c r="E336" s="88" t="str">
        <f>VLOOKUP($B336,[1]DG!A:D,[1]DG!$B$2,)</f>
        <v>06.3231</v>
      </c>
      <c r="F336" s="89" t="str">
        <f>VLOOKUP($B336,[1]DG!A:D,[1]DG!$C$2,)</f>
        <v>Cổ dê bắt tủ</v>
      </c>
      <c r="G336" s="88" t="str">
        <f>VLOOKUP($B336,[1]DG!A:D,[1]DG!$D$2,)</f>
        <v>bộ</v>
      </c>
      <c r="H336" s="94">
        <f>2*H333</f>
        <v>0</v>
      </c>
      <c r="I336" s="91">
        <f t="shared" si="14"/>
        <v>0</v>
      </c>
      <c r="J336" s="92"/>
      <c r="K336" s="92"/>
      <c r="L336" s="117"/>
      <c r="M336" s="56">
        <v>50</v>
      </c>
    </row>
    <row r="337" spans="1:13" s="51" customFormat="1" ht="25.2" hidden="1" customHeight="1">
      <c r="A337" s="68">
        <f t="shared" si="13"/>
        <v>0</v>
      </c>
      <c r="B337" s="69" t="s">
        <v>96</v>
      </c>
      <c r="C337" s="69"/>
      <c r="D337" s="96"/>
      <c r="E337" s="88">
        <f>VLOOKUP($B337,[1]DG!A:D,[1]DG!$B$2,)</f>
        <v>0</v>
      </c>
      <c r="F337" s="89" t="str">
        <f>VLOOKUP($B337,[1]DG!A:D,[1]DG!$C$2,)</f>
        <v xml:space="preserve">Bakelit 550x450 dầy 10mm </v>
      </c>
      <c r="G337" s="88" t="str">
        <f>VLOOKUP($B337,[1]DG!A:D,[1]DG!$D$2,)</f>
        <v>cái</v>
      </c>
      <c r="H337" s="94">
        <f>H335</f>
        <v>0</v>
      </c>
      <c r="I337" s="91">
        <f t="shared" si="14"/>
        <v>0</v>
      </c>
      <c r="J337" s="92"/>
      <c r="K337" s="92"/>
      <c r="L337" s="117"/>
      <c r="M337" s="56">
        <v>50</v>
      </c>
    </row>
    <row r="338" spans="1:13" s="51" customFormat="1" ht="25.2" hidden="1" customHeight="1">
      <c r="A338" s="68">
        <f t="shared" si="13"/>
        <v>0</v>
      </c>
      <c r="B338" s="69" t="s">
        <v>190</v>
      </c>
      <c r="C338" s="69"/>
      <c r="D338" s="96"/>
      <c r="E338" s="88">
        <f>VLOOKUP($B338,[1]DG!A:D,[1]DG!$B$2,)</f>
        <v>0</v>
      </c>
      <c r="F338" s="89" t="str">
        <f>VLOOKUP($B338,[1]DG!A:D,[1]DG!$C$2,)</f>
        <v>Bakelit 350x510 dầy 5mm</v>
      </c>
      <c r="G338" s="88" t="str">
        <f>VLOOKUP($B338,[1]DG!A:D,[1]DG!$D$2,)</f>
        <v>cái</v>
      </c>
      <c r="H338" s="94">
        <f>H333</f>
        <v>0</v>
      </c>
      <c r="I338" s="91">
        <f t="shared" si="14"/>
        <v>0</v>
      </c>
      <c r="J338" s="92"/>
      <c r="K338" s="92"/>
      <c r="L338" s="117"/>
      <c r="M338" s="56">
        <v>50</v>
      </c>
    </row>
    <row r="339" spans="1:13" s="51" customFormat="1" ht="25.2" hidden="1" customHeight="1">
      <c r="A339" s="68">
        <f t="shared" si="13"/>
        <v>0</v>
      </c>
      <c r="B339" s="69"/>
      <c r="C339" s="69"/>
      <c r="D339" s="114">
        <f>IF(H339&gt;0,D333+1,D333)</f>
        <v>0</v>
      </c>
      <c r="E339" s="112"/>
      <c r="F339" s="136" t="s">
        <v>97</v>
      </c>
      <c r="G339" s="114" t="s">
        <v>67</v>
      </c>
      <c r="H339" s="110">
        <f>H333</f>
        <v>0</v>
      </c>
      <c r="I339" s="91">
        <f t="shared" si="14"/>
        <v>0</v>
      </c>
      <c r="J339" s="92"/>
      <c r="K339" s="92"/>
      <c r="L339" s="117"/>
      <c r="M339" s="56">
        <v>50</v>
      </c>
    </row>
    <row r="340" spans="1:13" s="51" customFormat="1" ht="25.2" hidden="1" customHeight="1">
      <c r="A340" s="68">
        <f>IF(A339&gt;0,1,0)</f>
        <v>0</v>
      </c>
      <c r="B340" s="69"/>
      <c r="C340" s="69"/>
      <c r="D340" s="114"/>
      <c r="E340" s="112"/>
      <c r="F340" s="137" t="s">
        <v>68</v>
      </c>
      <c r="G340" s="96"/>
      <c r="H340" s="94"/>
      <c r="I340" s="91">
        <f t="shared" si="14"/>
        <v>0</v>
      </c>
      <c r="J340" s="92"/>
      <c r="K340" s="92"/>
      <c r="L340" s="117"/>
      <c r="M340" s="56">
        <v>50</v>
      </c>
    </row>
    <row r="341" spans="1:13" s="51" customFormat="1" ht="25.2" hidden="1" customHeight="1">
      <c r="A341" s="68">
        <f t="shared" si="13"/>
        <v>0</v>
      </c>
      <c r="B341" s="86" t="s">
        <v>98</v>
      </c>
      <c r="C341" s="86"/>
      <c r="D341" s="96"/>
      <c r="E341" s="88">
        <f>VLOOKUP($B341,[1]DG!A:D,[1]DG!$B$2,)</f>
        <v>0</v>
      </c>
      <c r="F341" s="89" t="str">
        <f>VLOOKUP($B341,[1]DG!A:D,[1]DG!$C$2,)</f>
        <v>Cáp 24KV CX-25mm2</v>
      </c>
      <c r="G341" s="88" t="str">
        <f>VLOOKUP($B341,[1]DG!A:D,[1]DG!$D$2,)</f>
        <v>mét</v>
      </c>
      <c r="H341" s="94">
        <v>4</v>
      </c>
      <c r="I341" s="91">
        <f t="shared" si="14"/>
        <v>0</v>
      </c>
      <c r="J341" s="92"/>
      <c r="K341" s="92"/>
      <c r="L341" s="117"/>
      <c r="M341" s="56">
        <v>50</v>
      </c>
    </row>
    <row r="342" spans="1:13" s="51" customFormat="1" ht="25.2" hidden="1" customHeight="1">
      <c r="A342" s="68">
        <f t="shared" si="13"/>
        <v>0</v>
      </c>
      <c r="B342" s="86" t="s">
        <v>99</v>
      </c>
      <c r="C342" s="86"/>
      <c r="D342" s="96"/>
      <c r="E342" s="88" t="str">
        <f>VLOOKUP($B342,[1]DG!A:D,[1]DG!$B$2,)</f>
        <v>04.3007</v>
      </c>
      <c r="F342" s="89" t="str">
        <f>VLOOKUP($B342,[1]DG!A:D,[1]DG!$C$2,)</f>
        <v>Kẹp quai 2/0</v>
      </c>
      <c r="G342" s="88" t="str">
        <f>VLOOKUP($B342,[1]DG!A:D,[1]DG!$D$2,)</f>
        <v>cái</v>
      </c>
      <c r="H342" s="94">
        <f>H339</f>
        <v>0</v>
      </c>
      <c r="I342" s="91">
        <f t="shared" si="14"/>
        <v>0</v>
      </c>
      <c r="J342" s="92"/>
      <c r="K342" s="92"/>
      <c r="L342" s="117"/>
      <c r="M342" s="56">
        <v>50</v>
      </c>
    </row>
    <row r="343" spans="1:13" s="51" customFormat="1" ht="25.2" hidden="1" customHeight="1">
      <c r="A343" s="68">
        <f t="shared" si="13"/>
        <v>0</v>
      </c>
      <c r="B343" s="86" t="s">
        <v>100</v>
      </c>
      <c r="C343" s="86"/>
      <c r="D343" s="96"/>
      <c r="E343" s="88" t="str">
        <f>VLOOKUP($B343,[1]DG!A:D,[1]DG!$B$2,)</f>
        <v>04.3007</v>
      </c>
      <c r="F343" s="89" t="str">
        <f>VLOOKUP($B343,[1]DG!A:D,[1]DG!$C$2,)</f>
        <v>Kẹp hotline 2/0</v>
      </c>
      <c r="G343" s="88" t="str">
        <f>VLOOKUP($B343,[1]DG!A:D,[1]DG!$D$2,)</f>
        <v>cái</v>
      </c>
      <c r="H343" s="94">
        <f>H339</f>
        <v>0</v>
      </c>
      <c r="I343" s="91">
        <f t="shared" si="14"/>
        <v>0</v>
      </c>
      <c r="J343" s="92"/>
      <c r="K343" s="92"/>
      <c r="L343" s="117"/>
      <c r="M343" s="56">
        <v>50</v>
      </c>
    </row>
    <row r="344" spans="1:13" s="51" customFormat="1" ht="25.2" hidden="1" customHeight="1">
      <c r="A344" s="68">
        <f t="shared" si="13"/>
        <v>0</v>
      </c>
      <c r="B344" s="86" t="s">
        <v>191</v>
      </c>
      <c r="C344" s="86"/>
      <c r="D344" s="96"/>
      <c r="E344" s="88">
        <f>VLOOKUP($B344,[1]DG!A:D,[1]DG!$B$2,)</f>
        <v>0</v>
      </c>
      <c r="F344" s="89" t="str">
        <f>VLOOKUP($B344,[1]DG!A:D,[1]DG!$C$2,)</f>
        <v>Chụp đầu cực FCO (bộ 2 cái)</v>
      </c>
      <c r="G344" s="88" t="str">
        <f>VLOOKUP($B344,[1]DG!A:D,[1]DG!$D$2,)</f>
        <v>bộ</v>
      </c>
      <c r="H344" s="94">
        <f>H273</f>
        <v>0</v>
      </c>
      <c r="I344" s="91">
        <f t="shared" si="14"/>
        <v>0</v>
      </c>
      <c r="J344" s="92"/>
      <c r="K344" s="92"/>
      <c r="L344" s="117"/>
      <c r="M344" s="56">
        <v>50</v>
      </c>
    </row>
    <row r="345" spans="1:13" s="51" customFormat="1" ht="25.2" hidden="1" customHeight="1">
      <c r="A345" s="68">
        <f t="shared" si="13"/>
        <v>0</v>
      </c>
      <c r="B345" s="86" t="s">
        <v>192</v>
      </c>
      <c r="C345" s="86"/>
      <c r="D345" s="96"/>
      <c r="E345" s="88">
        <f>VLOOKUP($B345,[1]DG!A:D,[1]DG!$B$2,)</f>
        <v>0</v>
      </c>
      <c r="F345" s="89" t="str">
        <f>VLOOKUP($B345,[1]DG!A:D,[1]DG!$C$2,)</f>
        <v>Chụp đầu cực LA</v>
      </c>
      <c r="G345" s="88" t="str">
        <f>VLOOKUP($B345,[1]DG!A:D,[1]DG!$D$2,)</f>
        <v>cái</v>
      </c>
      <c r="H345" s="94">
        <f>H275</f>
        <v>0</v>
      </c>
      <c r="I345" s="91">
        <f t="shared" si="14"/>
        <v>0</v>
      </c>
      <c r="J345" s="92"/>
      <c r="K345" s="92"/>
      <c r="L345" s="117"/>
      <c r="M345" s="56">
        <v>50</v>
      </c>
    </row>
    <row r="346" spans="1:13" s="51" customFormat="1" ht="25.2" hidden="1" customHeight="1">
      <c r="A346" s="68">
        <f t="shared" si="13"/>
        <v>0</v>
      </c>
      <c r="B346" s="86" t="s">
        <v>193</v>
      </c>
      <c r="C346" s="86"/>
      <c r="D346" s="96"/>
      <c r="E346" s="88">
        <f>VLOOKUP($B346,[1]DG!A:D,[1]DG!$B$2,)</f>
        <v>0</v>
      </c>
      <c r="F346" s="89" t="str">
        <f>VLOOKUP($B346,[1]DG!A:D,[1]DG!$C$2,)</f>
        <v>Chụp đầu MBA</v>
      </c>
      <c r="G346" s="88" t="str">
        <f>VLOOKUP($B346,[1]DG!A:D,[1]DG!$D$2,)</f>
        <v>cái</v>
      </c>
      <c r="H346" s="94">
        <f>H272</f>
        <v>0</v>
      </c>
      <c r="I346" s="91">
        <f t="shared" si="14"/>
        <v>0</v>
      </c>
      <c r="J346" s="92"/>
      <c r="K346" s="92"/>
      <c r="L346" s="117"/>
      <c r="M346" s="56">
        <v>50</v>
      </c>
    </row>
    <row r="347" spans="1:13" s="51" customFormat="1" ht="25.2" hidden="1" customHeight="1">
      <c r="A347" s="68">
        <f t="shared" si="13"/>
        <v>0</v>
      </c>
      <c r="B347" s="86" t="s">
        <v>101</v>
      </c>
      <c r="C347" s="86"/>
      <c r="D347" s="96"/>
      <c r="E347" s="88" t="str">
        <f>VLOOKUP($B347,[1]DG!A:D,[1]DG!$B$2,)</f>
        <v>04.4201</v>
      </c>
      <c r="F347" s="89" t="str">
        <f>VLOOKUP($B347,[1]DG!A:D,[1]DG!$C$2,)</f>
        <v>Lắp cáp đồng xuống thiết bị D ≤ 95mm2</v>
      </c>
      <c r="G347" s="88" t="str">
        <f>VLOOKUP($B347,[1]DG!A:D,[1]DG!$D$2,)</f>
        <v>m</v>
      </c>
      <c r="H347" s="94">
        <f>H341</f>
        <v>4</v>
      </c>
      <c r="I347" s="91">
        <f t="shared" si="14"/>
        <v>0</v>
      </c>
      <c r="J347" s="92"/>
      <c r="K347" s="92"/>
      <c r="L347" s="117"/>
      <c r="M347" s="56">
        <v>50</v>
      </c>
    </row>
    <row r="348" spans="1:13" s="51" customFormat="1" ht="25.2" hidden="1" customHeight="1">
      <c r="A348" s="68">
        <f t="shared" si="13"/>
        <v>0</v>
      </c>
      <c r="B348" s="69"/>
      <c r="C348" s="69"/>
      <c r="D348" s="114">
        <f>IF(H348&gt;0,D339+1,D339)</f>
        <v>0</v>
      </c>
      <c r="E348" s="112"/>
      <c r="F348" s="113" t="s">
        <v>194</v>
      </c>
      <c r="G348" s="114" t="s">
        <v>67</v>
      </c>
      <c r="H348" s="110">
        <f>H272</f>
        <v>0</v>
      </c>
      <c r="I348" s="91">
        <f t="shared" si="14"/>
        <v>0</v>
      </c>
      <c r="J348" s="92"/>
      <c r="K348" s="92"/>
      <c r="L348" s="117"/>
      <c r="M348" s="56">
        <v>50</v>
      </c>
    </row>
    <row r="349" spans="1:13" s="51" customFormat="1" ht="25.2" hidden="1" customHeight="1">
      <c r="A349" s="68">
        <f>IF(A348&gt;0,1,0)</f>
        <v>0</v>
      </c>
      <c r="B349" s="69"/>
      <c r="C349" s="69"/>
      <c r="D349" s="114"/>
      <c r="E349" s="112"/>
      <c r="F349" s="115" t="s">
        <v>68</v>
      </c>
      <c r="G349" s="114"/>
      <c r="H349" s="110"/>
      <c r="I349" s="91">
        <f t="shared" si="14"/>
        <v>0</v>
      </c>
      <c r="J349" s="92"/>
      <c r="K349" s="92"/>
      <c r="L349" s="117"/>
      <c r="M349" s="56">
        <v>50</v>
      </c>
    </row>
    <row r="350" spans="1:13" s="51" customFormat="1" ht="25.2" hidden="1" customHeight="1">
      <c r="A350" s="68">
        <f t="shared" si="13"/>
        <v>0</v>
      </c>
      <c r="B350" s="69" t="s">
        <v>195</v>
      </c>
      <c r="C350" s="69">
        <v>18</v>
      </c>
      <c r="D350" s="114"/>
      <c r="E350" s="88">
        <f>VLOOKUP($B350,[1]DG!A:D,[1]DG!$B$2,)</f>
        <v>0</v>
      </c>
      <c r="F350" s="89" t="str">
        <f>VLOOKUP($B350,[1]DG!A:D,[1]DG!$C$2,)</f>
        <v>Cáp đồng bọc CV120</v>
      </c>
      <c r="G350" s="88" t="str">
        <f>VLOOKUP($B350,[1]DG!A:D,[1]DG!$D$2,)</f>
        <v>mét</v>
      </c>
      <c r="H350" s="148">
        <v>20</v>
      </c>
      <c r="I350" s="148">
        <f t="shared" ref="H350:K365" si="18">I$348*$C350</f>
        <v>0</v>
      </c>
      <c r="J350" s="148">
        <f t="shared" si="18"/>
        <v>0</v>
      </c>
      <c r="K350" s="148">
        <f t="shared" si="18"/>
        <v>0</v>
      </c>
      <c r="L350" s="117"/>
      <c r="M350" s="56">
        <v>50</v>
      </c>
    </row>
    <row r="351" spans="1:13" s="51" customFormat="1" ht="25.2" hidden="1" customHeight="1">
      <c r="A351" s="68">
        <f t="shared" si="13"/>
        <v>0</v>
      </c>
      <c r="B351" s="69" t="s">
        <v>104</v>
      </c>
      <c r="C351" s="69">
        <v>11</v>
      </c>
      <c r="D351" s="114"/>
      <c r="E351" s="88">
        <f>VLOOKUP($B351,[1]DG!A:D,[1]DG!$B$2,)</f>
        <v>0</v>
      </c>
      <c r="F351" s="89" t="str">
        <f>VLOOKUP($B351,[1]DG!A:D,[1]DG!$C$2,)</f>
        <v>Cáp đồng bọc CV25</v>
      </c>
      <c r="G351" s="88" t="str">
        <f>VLOOKUP($B351,[1]DG!A:D,[1]DG!$D$2,)</f>
        <v>mét</v>
      </c>
      <c r="H351" s="148"/>
      <c r="I351" s="148"/>
      <c r="J351" s="148">
        <f t="shared" si="18"/>
        <v>0</v>
      </c>
      <c r="K351" s="148">
        <f t="shared" si="18"/>
        <v>0</v>
      </c>
      <c r="L351" s="117"/>
      <c r="M351" s="56">
        <v>50</v>
      </c>
    </row>
    <row r="352" spans="1:13" s="51" customFormat="1" ht="25.2" hidden="1" customHeight="1">
      <c r="A352" s="68">
        <f t="shared" si="13"/>
        <v>0</v>
      </c>
      <c r="B352" s="69" t="s">
        <v>143</v>
      </c>
      <c r="C352" s="69">
        <v>2</v>
      </c>
      <c r="D352" s="96"/>
      <c r="E352" s="88" t="str">
        <f>VLOOKUP($B352,[1]DG!A:D,[1]DG!$B$2,)</f>
        <v>03.1401</v>
      </c>
      <c r="F352" s="89" t="str">
        <f>VLOOKUP($B352,[1]DG!A:D,[1]DG!$C$2,)</f>
        <v xml:space="preserve">Cáp CVV 4x4mm2  </v>
      </c>
      <c r="G352" s="88" t="str">
        <f>VLOOKUP($B352,[1]DG!A:D,[1]DG!$D$2,)</f>
        <v>mét</v>
      </c>
      <c r="H352" s="148">
        <f t="shared" si="18"/>
        <v>0</v>
      </c>
      <c r="I352" s="148">
        <f t="shared" si="18"/>
        <v>0</v>
      </c>
      <c r="J352" s="148">
        <f t="shared" si="18"/>
        <v>0</v>
      </c>
      <c r="K352" s="148">
        <f t="shared" si="18"/>
        <v>0</v>
      </c>
      <c r="L352" s="117"/>
      <c r="M352" s="56">
        <v>50</v>
      </c>
    </row>
    <row r="353" spans="1:13" s="51" customFormat="1" ht="25.2" hidden="1" customHeight="1">
      <c r="A353" s="68">
        <f t="shared" ref="A353:A414" si="19">IF(I353&gt;0,1,0)</f>
        <v>0</v>
      </c>
      <c r="B353" s="69" t="s">
        <v>196</v>
      </c>
      <c r="C353" s="69">
        <v>4</v>
      </c>
      <c r="D353" s="96"/>
      <c r="E353" s="88" t="str">
        <f>VLOOKUP($B353,[1]DG!A:D,[1]DG!$B$2,)</f>
        <v>03.4005</v>
      </c>
      <c r="F353" s="89" t="str">
        <f>VLOOKUP($B353,[1]DG!A:D,[1]DG!$C$2,)</f>
        <v>Đầu cosse ép Cu 120mm2</v>
      </c>
      <c r="G353" s="88" t="str">
        <f>VLOOKUP($B353,[1]DG!A:D,[1]DG!$D$2,)</f>
        <v>cái</v>
      </c>
      <c r="H353" s="148">
        <f t="shared" si="18"/>
        <v>0</v>
      </c>
      <c r="I353" s="148">
        <f t="shared" si="18"/>
        <v>0</v>
      </c>
      <c r="J353" s="148">
        <f t="shared" si="18"/>
        <v>0</v>
      </c>
      <c r="K353" s="148">
        <f t="shared" si="18"/>
        <v>0</v>
      </c>
      <c r="L353" s="117"/>
      <c r="M353" s="56">
        <v>50</v>
      </c>
    </row>
    <row r="354" spans="1:13" s="51" customFormat="1" ht="25.2" hidden="1" customHeight="1">
      <c r="A354" s="68">
        <f t="shared" si="19"/>
        <v>0</v>
      </c>
      <c r="B354" s="69" t="s">
        <v>197</v>
      </c>
      <c r="C354" s="69">
        <v>4</v>
      </c>
      <c r="D354" s="96"/>
      <c r="E354" s="88">
        <f>VLOOKUP($B354,[1]DG!A:D,[1]DG!$B$2,)</f>
        <v>0</v>
      </c>
      <c r="F354" s="89" t="str">
        <f>VLOOKUP($B354,[1]DG!A:D,[1]DG!$C$2,)</f>
        <v>Chụp đầu cosse  120mm2</v>
      </c>
      <c r="G354" s="88" t="str">
        <f>VLOOKUP($B354,[1]DG!A:D,[1]DG!$D$2,)</f>
        <v>cái</v>
      </c>
      <c r="H354" s="148">
        <f t="shared" si="18"/>
        <v>0</v>
      </c>
      <c r="I354" s="148">
        <f t="shared" si="18"/>
        <v>0</v>
      </c>
      <c r="J354" s="148">
        <f t="shared" si="18"/>
        <v>0</v>
      </c>
      <c r="K354" s="148">
        <f t="shared" si="18"/>
        <v>0</v>
      </c>
      <c r="L354" s="117"/>
      <c r="M354" s="56">
        <v>50</v>
      </c>
    </row>
    <row r="355" spans="1:13" s="51" customFormat="1" ht="25.2" hidden="1" customHeight="1">
      <c r="A355" s="68">
        <f t="shared" si="19"/>
        <v>0</v>
      </c>
      <c r="B355" s="69" t="s">
        <v>198</v>
      </c>
      <c r="C355" s="69">
        <v>0</v>
      </c>
      <c r="D355" s="96"/>
      <c r="E355" s="88" t="str">
        <f>VLOOKUP($B355,[1]DG!A:D,[1]DG!$B$2,)</f>
        <v>03.4001</v>
      </c>
      <c r="F355" s="89" t="str">
        <f>VLOOKUP($B355,[1]DG!A:D,[1]DG!$C$2,)</f>
        <v>Đầu cosse ép Cu 25mm2</v>
      </c>
      <c r="G355" s="88" t="str">
        <f>VLOOKUP($B355,[1]DG!A:D,[1]DG!$D$2,)</f>
        <v>cái</v>
      </c>
      <c r="H355" s="148">
        <f t="shared" si="18"/>
        <v>0</v>
      </c>
      <c r="I355" s="148">
        <f t="shared" si="18"/>
        <v>0</v>
      </c>
      <c r="J355" s="148">
        <f t="shared" si="18"/>
        <v>0</v>
      </c>
      <c r="K355" s="148">
        <f t="shared" si="18"/>
        <v>0</v>
      </c>
      <c r="L355" s="117"/>
      <c r="M355" s="56">
        <v>50</v>
      </c>
    </row>
    <row r="356" spans="1:13" s="51" customFormat="1" ht="25.2" hidden="1" customHeight="1">
      <c r="A356" s="68">
        <f t="shared" si="19"/>
        <v>0</v>
      </c>
      <c r="B356" s="69" t="s">
        <v>199</v>
      </c>
      <c r="C356" s="69">
        <v>0</v>
      </c>
      <c r="D356" s="96"/>
      <c r="E356" s="88">
        <f>VLOOKUP($B356,[1]DG!A:D,[1]DG!$B$2,)</f>
        <v>0</v>
      </c>
      <c r="F356" s="89" t="str">
        <f>VLOOKUP($B356,[1]DG!A:D,[1]DG!$C$2,)</f>
        <v>Chụp đầu cosse  25mm2</v>
      </c>
      <c r="G356" s="88" t="str">
        <f>VLOOKUP($B356,[1]DG!A:D,[1]DG!$D$2,)</f>
        <v>cái</v>
      </c>
      <c r="H356" s="148">
        <f t="shared" si="18"/>
        <v>0</v>
      </c>
      <c r="I356" s="148">
        <f t="shared" si="18"/>
        <v>0</v>
      </c>
      <c r="J356" s="148">
        <f t="shared" si="18"/>
        <v>0</v>
      </c>
      <c r="K356" s="148">
        <f t="shared" si="18"/>
        <v>0</v>
      </c>
      <c r="L356" s="117"/>
      <c r="M356" s="56">
        <v>50</v>
      </c>
    </row>
    <row r="357" spans="1:13" s="51" customFormat="1" ht="25.2" hidden="1" customHeight="1">
      <c r="A357" s="68">
        <f t="shared" si="19"/>
        <v>1</v>
      </c>
      <c r="B357" s="69" t="s">
        <v>144</v>
      </c>
      <c r="C357" s="69">
        <v>8</v>
      </c>
      <c r="D357" s="96"/>
      <c r="E357" s="88">
        <f>VLOOKUP($B357,[1]DG!A:D,[1]DG!$B$2,)</f>
        <v>0</v>
      </c>
      <c r="F357" s="89" t="str">
        <f>VLOOKUP($B357,[1]DG!A:D,[1]DG!$C$2,)</f>
        <v xml:space="preserve">Ống PVC D114x4,9mm </v>
      </c>
      <c r="G357" s="88" t="str">
        <f>VLOOKUP($B357,[1]DG!A:D,[1]DG!$D$2,)</f>
        <v>m</v>
      </c>
      <c r="H357" s="148">
        <v>7</v>
      </c>
      <c r="I357" s="148">
        <f>H357</f>
        <v>7</v>
      </c>
      <c r="J357" s="148">
        <f t="shared" si="18"/>
        <v>0</v>
      </c>
      <c r="K357" s="148">
        <f t="shared" si="18"/>
        <v>0</v>
      </c>
      <c r="L357" s="117"/>
      <c r="M357" s="56">
        <v>50</v>
      </c>
    </row>
    <row r="358" spans="1:13" s="51" customFormat="1" ht="25.2" hidden="1" customHeight="1">
      <c r="A358" s="68">
        <f t="shared" si="19"/>
        <v>0</v>
      </c>
      <c r="B358" s="86" t="s">
        <v>145</v>
      </c>
      <c r="C358" s="86">
        <v>3</v>
      </c>
      <c r="D358" s="96"/>
      <c r="E358" s="88" t="str">
        <f>VLOOKUP($B358,[1]DG!A:D,[1]DG!$B$2,)</f>
        <v>06.3231</v>
      </c>
      <c r="F358" s="89" t="str">
        <f>VLOOKUP($B358,[1]DG!A:D,[1]DG!$C$2,)</f>
        <v>Cổ dê kẹp ống PVC Ø 114</v>
      </c>
      <c r="G358" s="88" t="str">
        <f>VLOOKUP($B358,[1]DG!A:D,[1]DG!$D$2,)</f>
        <v>bộ</v>
      </c>
      <c r="H358" s="148">
        <v>2</v>
      </c>
      <c r="I358" s="148">
        <f t="shared" si="18"/>
        <v>0</v>
      </c>
      <c r="J358" s="148">
        <f t="shared" si="18"/>
        <v>0</v>
      </c>
      <c r="K358" s="148">
        <f t="shared" si="18"/>
        <v>0</v>
      </c>
      <c r="L358" s="117"/>
      <c r="M358" s="56">
        <v>50</v>
      </c>
    </row>
    <row r="359" spans="1:13" s="51" customFormat="1" ht="25.2" hidden="1" customHeight="1">
      <c r="A359" s="68">
        <f t="shared" si="19"/>
        <v>0</v>
      </c>
      <c r="B359" s="69" t="s">
        <v>146</v>
      </c>
      <c r="C359" s="69">
        <v>2</v>
      </c>
      <c r="D359" s="96"/>
      <c r="E359" s="88">
        <f>VLOOKUP($B359,[1]DG!A:D,[1]DG!$B$2,)</f>
        <v>0</v>
      </c>
      <c r="F359" s="89" t="str">
        <f>VLOOKUP($B359,[1]DG!A:D,[1]DG!$C$2,)</f>
        <v>Co  90 độ PVC 114</v>
      </c>
      <c r="G359" s="88" t="str">
        <f>VLOOKUP($B359,[1]DG!A:D,[1]DG!$D$2,)</f>
        <v>cái</v>
      </c>
      <c r="H359" s="148">
        <f t="shared" si="18"/>
        <v>0</v>
      </c>
      <c r="I359" s="148">
        <f t="shared" si="18"/>
        <v>0</v>
      </c>
      <c r="J359" s="148">
        <f t="shared" si="18"/>
        <v>0</v>
      </c>
      <c r="K359" s="148">
        <f t="shared" si="18"/>
        <v>0</v>
      </c>
      <c r="L359" s="117"/>
      <c r="M359" s="56">
        <v>50</v>
      </c>
    </row>
    <row r="360" spans="1:13" s="51" customFormat="1" ht="25.2" hidden="1" customHeight="1">
      <c r="A360" s="68">
        <f t="shared" si="19"/>
        <v>0</v>
      </c>
      <c r="B360" s="69" t="s">
        <v>147</v>
      </c>
      <c r="C360" s="69">
        <v>1</v>
      </c>
      <c r="D360" s="96"/>
      <c r="E360" s="88">
        <f>VLOOKUP($B360,[1]DG!A:D,[1]DG!$B$2,)</f>
        <v>0</v>
      </c>
      <c r="F360" s="89" t="str">
        <f>VLOOKUP($B360,[1]DG!A:D,[1]DG!$C$2,)</f>
        <v>Nối ống PVC 114</v>
      </c>
      <c r="G360" s="88" t="str">
        <f>VLOOKUP($B360,[1]DG!A:D,[1]DG!$D$2,)</f>
        <v>cái</v>
      </c>
      <c r="H360" s="148">
        <f t="shared" si="18"/>
        <v>0</v>
      </c>
      <c r="I360" s="148">
        <f t="shared" si="18"/>
        <v>0</v>
      </c>
      <c r="J360" s="148">
        <f t="shared" si="18"/>
        <v>0</v>
      </c>
      <c r="K360" s="148">
        <f t="shared" si="18"/>
        <v>0</v>
      </c>
      <c r="L360" s="117"/>
      <c r="M360" s="56">
        <v>50</v>
      </c>
    </row>
    <row r="361" spans="1:13" s="51" customFormat="1" ht="25.2" hidden="1" customHeight="1">
      <c r="A361" s="68">
        <f t="shared" si="19"/>
        <v>0</v>
      </c>
      <c r="B361" s="69" t="s">
        <v>114</v>
      </c>
      <c r="C361" s="69">
        <v>1</v>
      </c>
      <c r="D361" s="96"/>
      <c r="E361" s="88">
        <f>VLOOKUP($B361,[1]DG!A:D,[1]DG!$B$2,)</f>
        <v>0</v>
      </c>
      <c r="F361" s="89" t="str">
        <f>VLOOKUP($B361,[1]DG!A:D,[1]DG!$C$2,)</f>
        <v>Keo dán ống PVC (100gr)</v>
      </c>
      <c r="G361" s="88" t="str">
        <f>VLOOKUP($B361,[1]DG!A:D,[1]DG!$D$2,)</f>
        <v>tuýp</v>
      </c>
      <c r="H361" s="148">
        <f t="shared" si="18"/>
        <v>0</v>
      </c>
      <c r="I361" s="148">
        <f t="shared" si="18"/>
        <v>0</v>
      </c>
      <c r="J361" s="148">
        <f t="shared" si="18"/>
        <v>0</v>
      </c>
      <c r="K361" s="148">
        <f t="shared" si="18"/>
        <v>0</v>
      </c>
      <c r="L361" s="117"/>
      <c r="M361" s="56">
        <v>50</v>
      </c>
    </row>
    <row r="362" spans="1:13" s="51" customFormat="1" ht="25.2" hidden="1" customHeight="1">
      <c r="A362" s="68">
        <f t="shared" si="19"/>
        <v>0</v>
      </c>
      <c r="B362" s="69" t="s">
        <v>115</v>
      </c>
      <c r="C362" s="69">
        <v>1</v>
      </c>
      <c r="D362" s="96"/>
      <c r="E362" s="88">
        <f>VLOOKUP($B362,[1]DG!A:D,[1]DG!$B$2,)</f>
        <v>0</v>
      </c>
      <c r="F362" s="89" t="str">
        <f>VLOOKUP($B362,[1]DG!A:D,[1]DG!$C$2,)</f>
        <v>Keo silicon bít miệng ống</v>
      </c>
      <c r="G362" s="88" t="str">
        <f>VLOOKUP($B362,[1]DG!A:D,[1]DG!$D$2,)</f>
        <v>ống</v>
      </c>
      <c r="H362" s="148">
        <f t="shared" si="18"/>
        <v>0</v>
      </c>
      <c r="I362" s="148">
        <f t="shared" si="18"/>
        <v>0</v>
      </c>
      <c r="J362" s="148">
        <f t="shared" si="18"/>
        <v>0</v>
      </c>
      <c r="K362" s="148">
        <f t="shared" si="18"/>
        <v>0</v>
      </c>
      <c r="L362" s="117"/>
      <c r="M362" s="56">
        <v>50</v>
      </c>
    </row>
    <row r="363" spans="1:13" s="51" customFormat="1" ht="25.2" hidden="1" customHeight="1">
      <c r="A363" s="68">
        <f t="shared" si="19"/>
        <v>0</v>
      </c>
      <c r="B363" s="86" t="s">
        <v>148</v>
      </c>
      <c r="C363" s="86">
        <v>1</v>
      </c>
      <c r="D363" s="96"/>
      <c r="E363" s="116"/>
      <c r="F363" s="89" t="str">
        <f>VLOOKUP($B363,[1]DG!A:D,[1]DG!$C$2,)</f>
        <v>Băng keo cách điện</v>
      </c>
      <c r="G363" s="88" t="str">
        <f>VLOOKUP($B363,[1]DG!A:D,[1]DG!$D$2,)</f>
        <v>cuộn</v>
      </c>
      <c r="H363" s="148">
        <f t="shared" si="18"/>
        <v>0</v>
      </c>
      <c r="I363" s="148">
        <f t="shared" si="18"/>
        <v>0</v>
      </c>
      <c r="J363" s="148">
        <f t="shared" si="18"/>
        <v>0</v>
      </c>
      <c r="K363" s="148">
        <f t="shared" si="18"/>
        <v>0</v>
      </c>
      <c r="L363" s="117"/>
      <c r="M363" s="56">
        <v>50</v>
      </c>
    </row>
    <row r="364" spans="1:13" s="51" customFormat="1" ht="25.2" hidden="1" customHeight="1">
      <c r="A364" s="68">
        <f t="shared" si="19"/>
        <v>1</v>
      </c>
      <c r="B364" s="69" t="s">
        <v>200</v>
      </c>
      <c r="C364" s="69">
        <v>8</v>
      </c>
      <c r="D364" s="96"/>
      <c r="E364" s="88" t="str">
        <f>VLOOKUP($B364,[1]DG!A:D,[1]DG!$B$2,)</f>
        <v>07,2407</v>
      </c>
      <c r="F364" s="89" t="str">
        <f>VLOOKUP($B364,[1]DG!A:D,[1]DG!$C$2,)</f>
        <v>Lắp ống nhựa PVC D114</v>
      </c>
      <c r="G364" s="88" t="str">
        <f>VLOOKUP($B364,[1]DG!A:D,[1]DG!$D$2,)</f>
        <v>mét</v>
      </c>
      <c r="H364" s="148">
        <f>H357</f>
        <v>7</v>
      </c>
      <c r="I364" s="148">
        <f>H364</f>
        <v>7</v>
      </c>
      <c r="J364" s="148">
        <f t="shared" si="18"/>
        <v>0</v>
      </c>
      <c r="K364" s="148">
        <f t="shared" si="18"/>
        <v>0</v>
      </c>
      <c r="L364" s="117"/>
      <c r="M364" s="56">
        <v>50</v>
      </c>
    </row>
    <row r="365" spans="1:13" s="51" customFormat="1" ht="25.2" hidden="1" customHeight="1">
      <c r="A365" s="68">
        <f t="shared" si="19"/>
        <v>1</v>
      </c>
      <c r="B365" s="86" t="s">
        <v>101</v>
      </c>
      <c r="C365" s="86"/>
      <c r="D365" s="96"/>
      <c r="E365" s="88" t="str">
        <f>VLOOKUP($B365,[1]DG!A:D,[1]DG!$B$2,)</f>
        <v>04.4201</v>
      </c>
      <c r="F365" s="89" t="str">
        <f>VLOOKUP($B365,[1]DG!A:D,[1]DG!$C$2,)</f>
        <v>Lắp cáp đồng xuống thiết bị D ≤ 95mm2</v>
      </c>
      <c r="G365" s="88" t="str">
        <f>VLOOKUP($B365,[1]DG!A:D,[1]DG!$D$2,)</f>
        <v>m</v>
      </c>
      <c r="H365" s="148">
        <f>H350+H351</f>
        <v>20</v>
      </c>
      <c r="I365" s="148">
        <f>H365</f>
        <v>20</v>
      </c>
      <c r="J365" s="148">
        <f t="shared" si="18"/>
        <v>0</v>
      </c>
      <c r="K365" s="148">
        <f t="shared" si="18"/>
        <v>0</v>
      </c>
      <c r="L365" s="117"/>
      <c r="M365" s="56">
        <v>50</v>
      </c>
    </row>
    <row r="366" spans="1:13" s="51" customFormat="1" ht="25.2" hidden="1" customHeight="1">
      <c r="A366" s="68">
        <f t="shared" si="19"/>
        <v>1</v>
      </c>
      <c r="B366" s="69" t="s">
        <v>117</v>
      </c>
      <c r="C366" s="69"/>
      <c r="D366" s="118">
        <f>IF(H366&gt;0,D348+1,D348)</f>
        <v>1</v>
      </c>
      <c r="E366" s="119"/>
      <c r="F366" s="89" t="str">
        <f>VLOOKUP($B366,[1]DG!A:D,[1]DG!$C$2,)</f>
        <v>Bảng tên trạm, bảng báo nguy hiểm + đinh vít</v>
      </c>
      <c r="G366" s="88" t="str">
        <f>VLOOKUP($B366,[1]DG!A:D,[1]DG!$D$2,)</f>
        <v>bộ</v>
      </c>
      <c r="H366" s="148">
        <v>1</v>
      </c>
      <c r="I366" s="148">
        <f>H366</f>
        <v>1</v>
      </c>
      <c r="J366" s="148">
        <f t="shared" ref="J366:M381" si="20">J$348*$C366</f>
        <v>0</v>
      </c>
      <c r="K366" s="148">
        <f t="shared" si="20"/>
        <v>0</v>
      </c>
      <c r="L366" s="141"/>
      <c r="M366" s="56">
        <v>50</v>
      </c>
    </row>
    <row r="367" spans="1:13" s="51" customFormat="1" ht="25.2" hidden="1" customHeight="1">
      <c r="A367" s="68">
        <f t="shared" si="19"/>
        <v>0</v>
      </c>
      <c r="B367" s="69"/>
      <c r="C367" s="69"/>
      <c r="D367" s="122"/>
      <c r="E367" s="123"/>
      <c r="F367" s="107"/>
      <c r="G367" s="124"/>
      <c r="H367" s="125"/>
      <c r="I367" s="91">
        <f t="shared" ref="I367:I430" si="21">IF(M367=$M$23,H367+J367-K367,0)</f>
        <v>0</v>
      </c>
      <c r="J367" s="126"/>
      <c r="K367" s="127"/>
      <c r="L367" s="133"/>
      <c r="M367" s="56"/>
    </row>
    <row r="368" spans="1:13" s="51" customFormat="1" ht="25.2" hidden="1" customHeight="1">
      <c r="A368" s="68">
        <f t="shared" si="19"/>
        <v>0</v>
      </c>
      <c r="B368" s="52"/>
      <c r="C368" s="52"/>
      <c r="D368" s="128"/>
      <c r="E368" s="56"/>
      <c r="H368" s="66"/>
      <c r="I368" s="91">
        <f t="shared" si="21"/>
        <v>0</v>
      </c>
      <c r="M368" s="56"/>
    </row>
    <row r="369" spans="1:14" s="51" customFormat="1" ht="25.2" hidden="1" customHeight="1">
      <c r="A369" s="68">
        <f t="shared" si="19"/>
        <v>0</v>
      </c>
      <c r="B369" s="52"/>
      <c r="C369" s="52"/>
      <c r="D369" s="147" t="str">
        <f>"BAÛNG TOÅNG HÔÏP VAÄT LIEÄU, NHAÂN COÂNG, MAÙY THI COÂNG : "&amp;I10&amp;" TRAÏM 1P_75KVA"</f>
        <v>BAÛNG TOÅNG HÔÏP VAÄT LIEÄU, NHAÂN COÂNG, MAÙY THI COÂNG :  TRAÏM 1P_75KVA</v>
      </c>
      <c r="E369" s="130"/>
      <c r="F369" s="131"/>
      <c r="G369" s="131"/>
      <c r="H369" s="132"/>
      <c r="I369" s="91">
        <f t="shared" si="21"/>
        <v>0</v>
      </c>
      <c r="J369" s="131"/>
      <c r="K369" s="131"/>
      <c r="L369" s="56"/>
      <c r="M369" s="56"/>
    </row>
    <row r="370" spans="1:14" s="51" customFormat="1" ht="25.2" hidden="1" customHeight="1">
      <c r="A370" s="68">
        <f t="shared" si="19"/>
        <v>0</v>
      </c>
      <c r="B370" s="69"/>
      <c r="C370" s="69"/>
      <c r="D370" s="79"/>
      <c r="E370" s="80"/>
      <c r="F370" s="107" t="s">
        <v>53</v>
      </c>
      <c r="G370" s="82"/>
      <c r="H370" s="83"/>
      <c r="I370" s="83">
        <f t="shared" si="21"/>
        <v>0</v>
      </c>
      <c r="J370" s="82"/>
      <c r="K370" s="82"/>
      <c r="L370" s="133"/>
      <c r="M370" s="56">
        <v>75</v>
      </c>
    </row>
    <row r="371" spans="1:14" s="51" customFormat="1" ht="25.2" hidden="1" customHeight="1">
      <c r="A371" s="68">
        <f t="shared" si="19"/>
        <v>0</v>
      </c>
      <c r="B371" s="86" t="s">
        <v>173</v>
      </c>
      <c r="C371" s="86"/>
      <c r="D371" s="87">
        <f>IF(H371&gt;0,1,0)</f>
        <v>0</v>
      </c>
      <c r="E371" s="88" t="str">
        <f>VLOOKUP($B371,[1]DG!A:D,[1]DG!$B$2,)</f>
        <v>01.1163</v>
      </c>
      <c r="F371" s="89" t="str">
        <f>VLOOKUP($B371,[1]DG!A:D,[1]DG!$C$2,)</f>
        <v>Máy biến áp 12,7/0,23-0,46kV  75kVA</v>
      </c>
      <c r="G371" s="88" t="str">
        <f>VLOOKUP($B371,[1]DG!A:D,[1]DG!$D$2,)</f>
        <v>máy</v>
      </c>
      <c r="H371" s="134">
        <f>I10</f>
        <v>0</v>
      </c>
      <c r="I371" s="91">
        <f t="shared" si="21"/>
        <v>0</v>
      </c>
      <c r="J371" s="92"/>
      <c r="K371" s="92"/>
      <c r="L371" s="117"/>
      <c r="M371" s="56">
        <v>75</v>
      </c>
    </row>
    <row r="372" spans="1:14" s="51" customFormat="1" ht="25.2" hidden="1" customHeight="1">
      <c r="A372" s="68">
        <f t="shared" si="19"/>
        <v>0</v>
      </c>
      <c r="B372" s="86" t="s">
        <v>56</v>
      </c>
      <c r="C372" s="86"/>
      <c r="D372" s="87">
        <f t="shared" ref="D372:D379" si="22">IF(H372&gt;0,D371+1,D371)</f>
        <v>0</v>
      </c>
      <c r="E372" s="88" t="str">
        <f>VLOOKUP($B372,[1]DG!A:D,[1]DG!$B$2,)</f>
        <v>02.3155</v>
      </c>
      <c r="F372" s="89" t="str">
        <f>VLOOKUP($B372,[1]DG!A:D,[1]DG!$C$2,)</f>
        <v>FCO 27kV - 100A</v>
      </c>
      <c r="G372" s="88" t="str">
        <f>VLOOKUP($B372,[1]DG!A:D,[1]DG!$D$2,)</f>
        <v>cái</v>
      </c>
      <c r="H372" s="94">
        <f>+H371</f>
        <v>0</v>
      </c>
      <c r="I372" s="91">
        <f t="shared" si="21"/>
        <v>0</v>
      </c>
      <c r="J372" s="92"/>
      <c r="K372" s="92"/>
      <c r="L372" s="117"/>
      <c r="M372" s="56">
        <v>75</v>
      </c>
    </row>
    <row r="373" spans="1:14" s="51" customFormat="1" ht="25.2" hidden="1" customHeight="1">
      <c r="A373" s="68">
        <f t="shared" si="19"/>
        <v>0</v>
      </c>
      <c r="B373" s="86" t="s">
        <v>176</v>
      </c>
      <c r="C373" s="86"/>
      <c r="D373" s="87">
        <f t="shared" si="22"/>
        <v>0</v>
      </c>
      <c r="E373" s="88">
        <f>VLOOKUP($B373,[1]DG!A:D,[1]DG!$B$2,)</f>
        <v>0</v>
      </c>
      <c r="F373" s="89" t="str">
        <f>VLOOKUP($B373,[1]DG!A:D,[1]DG!$C$2,)</f>
        <v>Dây chảy 8K</v>
      </c>
      <c r="G373" s="88" t="str">
        <f>VLOOKUP($B373,[1]DG!A:D,[1]DG!$D$2,)</f>
        <v>Sợi</v>
      </c>
      <c r="H373" s="94">
        <f>H372</f>
        <v>0</v>
      </c>
      <c r="I373" s="91">
        <f t="shared" si="21"/>
        <v>0</v>
      </c>
      <c r="J373" s="92"/>
      <c r="K373" s="92"/>
      <c r="L373" s="117"/>
      <c r="M373" s="56">
        <v>75</v>
      </c>
    </row>
    <row r="374" spans="1:14" s="51" customFormat="1" ht="25.2" hidden="1" customHeight="1">
      <c r="A374" s="68">
        <f t="shared" si="19"/>
        <v>0</v>
      </c>
      <c r="B374" s="52" t="s">
        <v>58</v>
      </c>
      <c r="C374" s="52"/>
      <c r="D374" s="87">
        <f t="shared" si="22"/>
        <v>0</v>
      </c>
      <c r="E374" s="88" t="str">
        <f>VLOOKUP($B374,[1]DG!A:D,[1]DG!$B$2,)</f>
        <v>02.5114</v>
      </c>
      <c r="F374" s="89" t="str">
        <f>VLOOKUP($B374,[1]DG!A:D,[1]DG!$C$2,)</f>
        <v>Chống sét van LA-18KV-10KA</v>
      </c>
      <c r="G374" s="88" t="str">
        <f>VLOOKUP($B374,[1]DG!A:D,[1]DG!$D$2,)</f>
        <v>cái</v>
      </c>
      <c r="H374" s="94">
        <f>H372</f>
        <v>0</v>
      </c>
      <c r="I374" s="91">
        <f t="shared" si="21"/>
        <v>0</v>
      </c>
      <c r="J374" s="92"/>
      <c r="K374" s="92"/>
      <c r="L374" s="117"/>
      <c r="M374" s="56">
        <v>75</v>
      </c>
    </row>
    <row r="375" spans="1:14" s="51" customFormat="1" ht="25.2" hidden="1" customHeight="1">
      <c r="A375" s="68">
        <f t="shared" si="19"/>
        <v>0</v>
      </c>
      <c r="B375" s="98" t="s">
        <v>201</v>
      </c>
      <c r="C375" s="98"/>
      <c r="D375" s="87">
        <f t="shared" si="22"/>
        <v>0</v>
      </c>
      <c r="E375" s="88" t="str">
        <f>VLOOKUP($B375,[1]DG!A:D,[1]DG!$B$2,)</f>
        <v>02.8402</v>
      </c>
      <c r="F375" s="89" t="str">
        <f>VLOOKUP($B375,[1]DG!A:D,[1]DG!$C$2,)</f>
        <v>MCCB 3 cực 690V - 400A - 50KA</v>
      </c>
      <c r="G375" s="88" t="str">
        <f>VLOOKUP($B375,[1]DG!A:D,[1]DG!$D$2,)</f>
        <v>cái</v>
      </c>
      <c r="H375" s="94">
        <f>H371</f>
        <v>0</v>
      </c>
      <c r="I375" s="91">
        <f t="shared" si="21"/>
        <v>0</v>
      </c>
      <c r="J375" s="92"/>
      <c r="K375" s="92"/>
      <c r="L375" s="117"/>
      <c r="M375" s="56">
        <v>75</v>
      </c>
    </row>
    <row r="376" spans="1:14" s="51" customFormat="1" ht="25.2" hidden="1" customHeight="1">
      <c r="A376" s="68">
        <f t="shared" si="19"/>
        <v>0</v>
      </c>
      <c r="B376" s="98" t="s">
        <v>202</v>
      </c>
      <c r="C376" s="98"/>
      <c r="D376" s="87">
        <f t="shared" si="22"/>
        <v>0</v>
      </c>
      <c r="E376" s="88">
        <f>VLOOKUP($B376,[1]DG!A:D,[1]DG!$B$2,)</f>
        <v>0</v>
      </c>
      <c r="F376" s="89" t="str">
        <f>VLOOKUP($B376,[1]DG!A:D,[1]DG!$C$2,)</f>
        <v xml:space="preserve">Biến dòng 600V - 300/5A </v>
      </c>
      <c r="G376" s="88" t="str">
        <f>VLOOKUP($B376,[1]DG!A:D,[1]DG!$D$2,)</f>
        <v>cái</v>
      </c>
      <c r="H376" s="94">
        <f>H371</f>
        <v>0</v>
      </c>
      <c r="I376" s="91">
        <f t="shared" si="21"/>
        <v>0</v>
      </c>
      <c r="J376" s="92"/>
      <c r="K376" s="92"/>
      <c r="L376" s="96" t="s">
        <v>61</v>
      </c>
      <c r="M376" s="56">
        <v>75</v>
      </c>
    </row>
    <row r="377" spans="1:14" s="51" customFormat="1" ht="25.2" hidden="1" customHeight="1">
      <c r="A377" s="68">
        <f t="shared" si="19"/>
        <v>0</v>
      </c>
      <c r="B377" s="86" t="s">
        <v>203</v>
      </c>
      <c r="C377" s="86"/>
      <c r="D377" s="87">
        <f>IF(H377&gt;0,D376+1,D376)</f>
        <v>0</v>
      </c>
      <c r="E377" s="88" t="str">
        <f>VLOOKUP($B377,[1]DG!A:D,[1]DG!$B$2,)</f>
        <v>05.5104</v>
      </c>
      <c r="F377" s="89" t="str">
        <f>VLOOKUP($B377,[1]DG!A:D,[1]DG!$C$2,)</f>
        <v>Điện kế 3 pha điện tử 220/380V-5A</v>
      </c>
      <c r="G377" s="88" t="str">
        <f>VLOOKUP($B377,[1]DG!A:D,[1]DG!$D$2,)</f>
        <v>cái</v>
      </c>
      <c r="H377" s="94">
        <f>H376</f>
        <v>0</v>
      </c>
      <c r="I377" s="91">
        <f t="shared" si="21"/>
        <v>0</v>
      </c>
      <c r="J377" s="92"/>
      <c r="K377" s="92"/>
      <c r="L377" s="96" t="s">
        <v>61</v>
      </c>
      <c r="M377" s="56">
        <v>75</v>
      </c>
    </row>
    <row r="378" spans="1:14" s="51" customFormat="1" ht="25.2" hidden="1" customHeight="1">
      <c r="A378" s="68">
        <f t="shared" si="19"/>
        <v>0</v>
      </c>
      <c r="B378" s="69" t="s">
        <v>62</v>
      </c>
      <c r="C378" s="69"/>
      <c r="D378" s="87">
        <f t="shared" si="22"/>
        <v>0</v>
      </c>
      <c r="E378" s="88">
        <f>VLOOKUP($B378,[1]DG!A:D,[1]DG!$B$2,)</f>
        <v>0</v>
      </c>
      <c r="F378" s="89" t="str">
        <f>VLOOKUP($B378,[1]DG!A:D,[1]DG!$C$2,)</f>
        <v xml:space="preserve">Ampe kế 100/5A-600v +AS </v>
      </c>
      <c r="G378" s="88" t="str">
        <f>VLOOKUP($B378,[1]DG!A:D,[1]DG!$D$2,)</f>
        <v>Bộ</v>
      </c>
      <c r="H378" s="94">
        <f>H377*0</f>
        <v>0</v>
      </c>
      <c r="I378" s="91">
        <f t="shared" si="21"/>
        <v>0</v>
      </c>
      <c r="J378" s="92"/>
      <c r="K378" s="92"/>
      <c r="L378" s="96" t="s">
        <v>61</v>
      </c>
      <c r="M378" s="56">
        <v>75</v>
      </c>
    </row>
    <row r="379" spans="1:14" s="51" customFormat="1" ht="25.2" hidden="1" customHeight="1">
      <c r="A379" s="68">
        <f t="shared" si="19"/>
        <v>0</v>
      </c>
      <c r="B379" s="69" t="s">
        <v>63</v>
      </c>
      <c r="C379" s="69"/>
      <c r="D379" s="87">
        <f t="shared" si="22"/>
        <v>0</v>
      </c>
      <c r="E379" s="88">
        <f>VLOOKUP($B379,[1]DG!A:D,[1]DG!$B$2,)</f>
        <v>0</v>
      </c>
      <c r="F379" s="89" t="str">
        <f>VLOOKUP($B379,[1]DG!A:D,[1]DG!$C$2,)</f>
        <v>Volt kế 500V + VS + 2xChì ống 1A-230V</v>
      </c>
      <c r="G379" s="88" t="str">
        <f>VLOOKUP($B379,[1]DG!A:D,[1]DG!$D$2,)</f>
        <v>Bộ</v>
      </c>
      <c r="H379" s="94">
        <f>H378</f>
        <v>0</v>
      </c>
      <c r="I379" s="91">
        <f t="shared" si="21"/>
        <v>0</v>
      </c>
      <c r="J379" s="92"/>
      <c r="K379" s="92"/>
      <c r="L379" s="141"/>
      <c r="M379" s="56">
        <v>75</v>
      </c>
    </row>
    <row r="380" spans="1:14" s="51" customFormat="1" ht="25.2" hidden="1" customHeight="1">
      <c r="A380" s="68">
        <f>A382</f>
        <v>0</v>
      </c>
      <c r="B380" s="69"/>
      <c r="C380" s="69"/>
      <c r="D380" s="100"/>
      <c r="E380" s="101"/>
      <c r="F380" s="84"/>
      <c r="G380" s="100"/>
      <c r="H380" s="103"/>
      <c r="I380" s="103">
        <f t="shared" si="21"/>
        <v>0</v>
      </c>
      <c r="J380" s="84"/>
      <c r="K380" s="100"/>
      <c r="L380" s="133"/>
      <c r="M380" s="56">
        <v>75</v>
      </c>
    </row>
    <row r="381" spans="1:14" s="51" customFormat="1" ht="25.2" hidden="1" customHeight="1">
      <c r="A381" s="68">
        <f>A382</f>
        <v>0</v>
      </c>
      <c r="B381" s="69"/>
      <c r="C381" s="69"/>
      <c r="D381" s="104"/>
      <c r="E381" s="105"/>
      <c r="F381" s="107" t="s">
        <v>64</v>
      </c>
      <c r="G381" s="107"/>
      <c r="H381" s="83"/>
      <c r="I381" s="83">
        <f t="shared" si="21"/>
        <v>0</v>
      </c>
      <c r="J381" s="107"/>
      <c r="K381" s="107"/>
      <c r="L381" s="133"/>
      <c r="M381" s="56">
        <v>75</v>
      </c>
    </row>
    <row r="382" spans="1:14" s="51" customFormat="1" ht="25.2" hidden="1" customHeight="1">
      <c r="A382" s="68">
        <f t="shared" si="19"/>
        <v>0</v>
      </c>
      <c r="B382" s="69" t="s">
        <v>65</v>
      </c>
      <c r="C382" s="69"/>
      <c r="D382" s="108">
        <f>IF(H394&gt;0,1,0)</f>
        <v>0</v>
      </c>
      <c r="E382" s="112"/>
      <c r="F382" s="89" t="str">
        <f>VLOOKUP($B382,[1]DG!A:D,[1]DG!$C$2,)</f>
        <v>Boulon 16x300+ 2 long đền vuông D18-50x50x3/Zn</v>
      </c>
      <c r="G382" s="88" t="str">
        <f>VLOOKUP($B382,[1]DG!A:D,[1]DG!$D$2,)</f>
        <v>bộ</v>
      </c>
      <c r="H382" s="110">
        <f>2*SUM(H371:H371)</f>
        <v>0</v>
      </c>
      <c r="I382" s="91">
        <f t="shared" si="21"/>
        <v>0</v>
      </c>
      <c r="J382" s="92"/>
      <c r="K382" s="92"/>
      <c r="L382" s="135"/>
      <c r="M382" s="56">
        <v>75</v>
      </c>
    </row>
    <row r="383" spans="1:14" s="51" customFormat="1" ht="25.2" hidden="1" customHeight="1">
      <c r="A383" s="68">
        <f t="shared" si="19"/>
        <v>0</v>
      </c>
      <c r="B383" s="69"/>
      <c r="C383" s="69"/>
      <c r="D383" s="111">
        <f>IF(H383&gt;0,D382+1,D382)</f>
        <v>0</v>
      </c>
      <c r="E383" s="112"/>
      <c r="F383" s="113" t="s">
        <v>66</v>
      </c>
      <c r="G383" s="114" t="s">
        <v>67</v>
      </c>
      <c r="H383" s="110">
        <f>H371*0</f>
        <v>0</v>
      </c>
      <c r="I383" s="91">
        <f t="shared" si="21"/>
        <v>0</v>
      </c>
      <c r="J383" s="95"/>
      <c r="K383" s="95"/>
      <c r="L383" s="96"/>
      <c r="M383" s="56">
        <v>75</v>
      </c>
    </row>
    <row r="384" spans="1:14" s="51" customFormat="1" ht="25.2" hidden="1" customHeight="1">
      <c r="A384" s="68">
        <f>IF(A383&gt;0,1,0)</f>
        <v>0</v>
      </c>
      <c r="B384" s="69"/>
      <c r="C384" s="69"/>
      <c r="D384" s="114"/>
      <c r="E384" s="112"/>
      <c r="F384" s="115" t="s">
        <v>68</v>
      </c>
      <c r="G384" s="96"/>
      <c r="H384" s="94"/>
      <c r="I384" s="91">
        <f t="shared" si="21"/>
        <v>0</v>
      </c>
      <c r="J384" s="95"/>
      <c r="K384" s="95"/>
      <c r="L384" s="96"/>
      <c r="M384" s="56">
        <v>75</v>
      </c>
      <c r="N384" s="56"/>
    </row>
    <row r="385" spans="1:14" s="51" customFormat="1" ht="25.2" hidden="1" customHeight="1">
      <c r="A385" s="68">
        <f t="shared" si="19"/>
        <v>0</v>
      </c>
      <c r="B385" s="86" t="s">
        <v>69</v>
      </c>
      <c r="C385" s="86"/>
      <c r="D385" s="96"/>
      <c r="E385" s="88">
        <f>VLOOKUP($B385,[1]DG!A:D,[1]DG!$B$2,)</f>
        <v>0</v>
      </c>
      <c r="F385" s="89" t="str">
        <f>VLOOKUP($B385,[1]DG!A:D,[1]DG!$C$2,)</f>
        <v>Trụ BTLT 12m F350 dự ứng lực</v>
      </c>
      <c r="G385" s="88" t="str">
        <f>VLOOKUP($B385,[1]DG!A:D,[1]DG!$D$2,)</f>
        <v>trụ</v>
      </c>
      <c r="H385" s="94">
        <f>1*H383</f>
        <v>0</v>
      </c>
      <c r="I385" s="91">
        <f t="shared" si="21"/>
        <v>0</v>
      </c>
      <c r="J385" s="92"/>
      <c r="K385" s="92"/>
      <c r="L385" s="96"/>
      <c r="M385" s="56">
        <v>75</v>
      </c>
      <c r="N385" s="56"/>
    </row>
    <row r="386" spans="1:14" s="51" customFormat="1" ht="25.2" hidden="1" customHeight="1">
      <c r="A386" s="68">
        <f t="shared" si="19"/>
        <v>0</v>
      </c>
      <c r="B386" s="86" t="s">
        <v>70</v>
      </c>
      <c r="C386" s="86"/>
      <c r="D386" s="96"/>
      <c r="E386" s="116"/>
      <c r="F386" s="89" t="str">
        <f>VLOOKUP($B386,[1]DG!A:D,[1]DG!$C$2,)</f>
        <v>Vật liệu dựng trụ</v>
      </c>
      <c r="G386" s="88" t="str">
        <f>VLOOKUP($B386,[1]DG!A:D,[1]DG!$D$2,)</f>
        <v>trụ</v>
      </c>
      <c r="H386" s="94">
        <f>H385</f>
        <v>0</v>
      </c>
      <c r="I386" s="91">
        <f t="shared" si="21"/>
        <v>0</v>
      </c>
      <c r="J386" s="92"/>
      <c r="K386" s="92"/>
      <c r="L386" s="96"/>
      <c r="M386" s="56">
        <v>75</v>
      </c>
      <c r="N386" s="56"/>
    </row>
    <row r="387" spans="1:14" s="51" customFormat="1" ht="25.2" hidden="1" customHeight="1">
      <c r="A387" s="68">
        <f t="shared" si="19"/>
        <v>0</v>
      </c>
      <c r="B387" s="86" t="s">
        <v>71</v>
      </c>
      <c r="C387" s="86"/>
      <c r="D387" s="96"/>
      <c r="E387" s="116"/>
      <c r="F387" s="89" t="str">
        <f>VLOOKUP($B387,[1]DG!A:D,[1]DG!$C$2,)</f>
        <v>Dựng trụ BTLT 12m trong TBA bằng thủ công + cơ giới</v>
      </c>
      <c r="G387" s="88" t="str">
        <f>VLOOKUP($B387,[1]DG!A:D,[1]DG!$D$2,)</f>
        <v>trụ</v>
      </c>
      <c r="H387" s="94">
        <f>H385</f>
        <v>0</v>
      </c>
      <c r="I387" s="91">
        <f t="shared" si="21"/>
        <v>0</v>
      </c>
      <c r="J387" s="92"/>
      <c r="K387" s="92"/>
      <c r="L387" s="96"/>
      <c r="M387" s="56">
        <v>75</v>
      </c>
      <c r="N387" s="56"/>
    </row>
    <row r="388" spans="1:14" s="51" customFormat="1" ht="25.2" hidden="1" customHeight="1">
      <c r="A388" s="68">
        <f t="shared" si="19"/>
        <v>0</v>
      </c>
      <c r="B388" s="69"/>
      <c r="C388" s="69"/>
      <c r="D388" s="111">
        <f>IF(H388&gt;0,D383+1,D383)</f>
        <v>0</v>
      </c>
      <c r="E388" s="112"/>
      <c r="F388" s="113" t="s">
        <v>72</v>
      </c>
      <c r="G388" s="114" t="s">
        <v>67</v>
      </c>
      <c r="H388" s="110">
        <f>H383</f>
        <v>0</v>
      </c>
      <c r="I388" s="91">
        <f t="shared" si="21"/>
        <v>0</v>
      </c>
      <c r="J388" s="95"/>
      <c r="K388" s="95"/>
      <c r="L388" s="96"/>
      <c r="M388" s="56">
        <v>75</v>
      </c>
    </row>
    <row r="389" spans="1:14" s="51" customFormat="1" ht="25.2" hidden="1" customHeight="1">
      <c r="A389" s="68">
        <f>IF(A388&gt;0,1,0)</f>
        <v>0</v>
      </c>
      <c r="B389" s="69"/>
      <c r="C389" s="69"/>
      <c r="D389" s="114"/>
      <c r="E389" s="112"/>
      <c r="F389" s="115" t="s">
        <v>68</v>
      </c>
      <c r="G389" s="96"/>
      <c r="H389" s="94"/>
      <c r="I389" s="91">
        <f t="shared" si="21"/>
        <v>0</v>
      </c>
      <c r="J389" s="95"/>
      <c r="K389" s="95"/>
      <c r="L389" s="96"/>
      <c r="M389" s="56">
        <v>75</v>
      </c>
      <c r="N389" s="56"/>
    </row>
    <row r="390" spans="1:14" s="51" customFormat="1" ht="25.2" hidden="1" customHeight="1">
      <c r="A390" s="68">
        <f t="shared" si="19"/>
        <v>0</v>
      </c>
      <c r="B390" s="86" t="s">
        <v>73</v>
      </c>
      <c r="C390" s="86"/>
      <c r="D390" s="96"/>
      <c r="E390" s="88" t="str">
        <f>VLOOKUP($B390,[1]DG!A:D,[1]DG!$B$2,)</f>
        <v>04.4001</v>
      </c>
      <c r="F390" s="89" t="str">
        <f>VLOOKUP($B390,[1]DG!A:D,[1]DG!$C$2,)</f>
        <v>Đà cản BTCT 1,2m</v>
      </c>
      <c r="G390" s="88" t="str">
        <f>VLOOKUP($B390,[1]DG!A:D,[1]DG!$D$2,)</f>
        <v>cái</v>
      </c>
      <c r="H390" s="94">
        <f>1*H388</f>
        <v>0</v>
      </c>
      <c r="I390" s="91">
        <f t="shared" si="21"/>
        <v>0</v>
      </c>
      <c r="J390" s="92"/>
      <c r="K390" s="92"/>
      <c r="L390" s="96"/>
      <c r="M390" s="56">
        <v>75</v>
      </c>
      <c r="N390" s="56"/>
    </row>
    <row r="391" spans="1:14" s="51" customFormat="1" ht="25.2" hidden="1" customHeight="1">
      <c r="A391" s="68">
        <f t="shared" si="19"/>
        <v>0</v>
      </c>
      <c r="B391" s="86" t="s">
        <v>74</v>
      </c>
      <c r="C391" s="86"/>
      <c r="D391" s="96"/>
      <c r="E391" s="88">
        <f>VLOOKUP($B391,[1]DG!A:D,[1]DG!$B$2,)</f>
        <v>0</v>
      </c>
      <c r="F391" s="89" t="str">
        <f>VLOOKUP($B391,[1]DG!A:D,[1]DG!$C$2,)</f>
        <v>Boulon 22x650+ 2 long đền vuông D24-50x50x3/Zn</v>
      </c>
      <c r="G391" s="88" t="str">
        <f>VLOOKUP($B391,[1]DG!A:D,[1]DG!$D$2,)</f>
        <v>bộ</v>
      </c>
      <c r="H391" s="94">
        <f>H388</f>
        <v>0</v>
      </c>
      <c r="I391" s="91">
        <f t="shared" si="21"/>
        <v>0</v>
      </c>
      <c r="J391" s="92"/>
      <c r="K391" s="92"/>
      <c r="L391" s="96"/>
      <c r="M391" s="56">
        <v>75</v>
      </c>
      <c r="N391" s="56"/>
    </row>
    <row r="392" spans="1:14" s="51" customFormat="1" ht="25.2" hidden="1" customHeight="1">
      <c r="A392" s="68">
        <f t="shared" si="19"/>
        <v>0</v>
      </c>
      <c r="B392" s="86" t="str">
        <f>IF(chitiet!G5=1,"MDD1",IF(chitiet!G5=2,"MDD2",IF(chitiet!G5=3,"MDD3",IF(chitiet!G5=4,"MDD4"))))</f>
        <v>MDD3</v>
      </c>
      <c r="C392" s="86"/>
      <c r="D392" s="96"/>
      <c r="E392" s="88" t="str">
        <f>VLOOKUP($B392,[1]DG!A:D,[1]DG!$B$2,)</f>
        <v>03.1013</v>
      </c>
      <c r="F392" s="89" t="str">
        <f>VLOOKUP($B392,[1]DG!A:D,[1]DG!$C$2,)</f>
        <v>Đào hố móng đất cấp 3 sâu &gt;1m</v>
      </c>
      <c r="G392" s="88" t="str">
        <f>VLOOKUP($B392,[1]DG!A:D,[1]DG!$D$2,)</f>
        <v>m3</v>
      </c>
      <c r="H392" s="94">
        <f>H388*1.45</f>
        <v>0</v>
      </c>
      <c r="I392" s="91">
        <f t="shared" si="21"/>
        <v>0</v>
      </c>
      <c r="J392" s="92"/>
      <c r="K392" s="92"/>
      <c r="L392" s="96"/>
      <c r="M392" s="56">
        <v>75</v>
      </c>
      <c r="N392" s="56"/>
    </row>
    <row r="393" spans="1:14" s="51" customFormat="1" ht="25.2" hidden="1" customHeight="1">
      <c r="A393" s="68">
        <f t="shared" si="19"/>
        <v>0</v>
      </c>
      <c r="B393" s="86" t="str">
        <f>IF(chitiet!G5=1,"MDAP1",IF(chitiet!G5=2,"MDAP2",IF(chitiet!G5=3,"MDAP3",IF(chitiet!G5=4,"MDAP4"))))</f>
        <v>MDAP3</v>
      </c>
      <c r="C393" s="86"/>
      <c r="D393" s="96"/>
      <c r="E393" s="88" t="str">
        <f>VLOOKUP($B393,[1]DG!A:D,[1]DG!$B$2,)</f>
        <v>03.4113</v>
      </c>
      <c r="F393" s="89" t="str">
        <f>VLOOKUP($B393,[1]DG!A:D,[1]DG!$C$2,)</f>
        <v>Đắp đất hố móng, độ chặt k=0,95</v>
      </c>
      <c r="G393" s="88" t="str">
        <f>VLOOKUP($B393,[1]DG!A:D,[1]DG!$D$2,)</f>
        <v>m3</v>
      </c>
      <c r="H393" s="94">
        <f>H388*1.37</f>
        <v>0</v>
      </c>
      <c r="I393" s="91">
        <f t="shared" si="21"/>
        <v>0</v>
      </c>
      <c r="J393" s="92"/>
      <c r="K393" s="92"/>
      <c r="L393" s="96"/>
      <c r="M393" s="56">
        <v>75</v>
      </c>
      <c r="N393" s="56"/>
    </row>
    <row r="394" spans="1:14" s="51" customFormat="1" ht="25.2" hidden="1" customHeight="1">
      <c r="A394" s="68">
        <f t="shared" si="19"/>
        <v>0</v>
      </c>
      <c r="B394" s="69"/>
      <c r="C394" s="69"/>
      <c r="D394" s="111">
        <f>IF(H394&gt;0,D388+1,D388)</f>
        <v>0</v>
      </c>
      <c r="E394" s="112"/>
      <c r="F394" s="136" t="s">
        <v>77</v>
      </c>
      <c r="G394" s="114" t="s">
        <v>67</v>
      </c>
      <c r="H394" s="110">
        <f>SUM(H371:H371)</f>
        <v>0</v>
      </c>
      <c r="I394" s="91">
        <f t="shared" si="21"/>
        <v>0</v>
      </c>
      <c r="J394" s="92"/>
      <c r="K394" s="92"/>
      <c r="L394" s="117"/>
      <c r="M394" s="56">
        <v>75</v>
      </c>
    </row>
    <row r="395" spans="1:14" s="51" customFormat="1" ht="25.2" hidden="1" customHeight="1">
      <c r="A395" s="68">
        <f>IF(A394&gt;0,1,0)</f>
        <v>0</v>
      </c>
      <c r="B395" s="69"/>
      <c r="C395" s="69"/>
      <c r="D395" s="114"/>
      <c r="E395" s="112"/>
      <c r="F395" s="137" t="s">
        <v>68</v>
      </c>
      <c r="G395" s="96"/>
      <c r="H395" s="94"/>
      <c r="I395" s="91">
        <f t="shared" si="21"/>
        <v>0</v>
      </c>
      <c r="J395" s="92"/>
      <c r="K395" s="92"/>
      <c r="L395" s="117"/>
      <c r="M395" s="56">
        <v>75</v>
      </c>
    </row>
    <row r="396" spans="1:14" s="51" customFormat="1" ht="25.2" hidden="1" customHeight="1">
      <c r="A396" s="68">
        <f t="shared" si="19"/>
        <v>0</v>
      </c>
      <c r="B396" s="168" t="s">
        <v>204</v>
      </c>
      <c r="C396" s="168"/>
      <c r="D396" s="96"/>
      <c r="E396" s="88">
        <f>VLOOKUP($B396,[1]DG!A:D,[1]DG!$B$2,)</f>
        <v>0</v>
      </c>
      <c r="F396" s="89" t="str">
        <f>VLOOKUP($B396,[1]DG!A:D,[1]DG!$C$2,)</f>
        <v>Đà composite 0,8m + Thanh chống đà 720</v>
      </c>
      <c r="G396" s="88" t="str">
        <f>VLOOKUP($B396,[1]DG!A:D,[1]DG!$D$2,)</f>
        <v>cái</v>
      </c>
      <c r="H396" s="94">
        <f>1*H394</f>
        <v>0</v>
      </c>
      <c r="I396" s="91">
        <f t="shared" si="21"/>
        <v>0</v>
      </c>
      <c r="J396" s="92"/>
      <c r="K396" s="92"/>
      <c r="L396" s="117"/>
      <c r="M396" s="56">
        <v>75</v>
      </c>
    </row>
    <row r="397" spans="1:14" s="51" customFormat="1" ht="25.2" hidden="1" customHeight="1">
      <c r="A397" s="68">
        <f t="shared" si="19"/>
        <v>0</v>
      </c>
      <c r="B397" s="69" t="s">
        <v>123</v>
      </c>
      <c r="C397" s="69"/>
      <c r="D397" s="96"/>
      <c r="E397" s="88">
        <f>VLOOKUP($B397,[1]DG!A:D,[1]DG!$B$2,)</f>
        <v>0</v>
      </c>
      <c r="F397" s="89" t="str">
        <f>VLOOKUP($B397,[1]DG!A:D,[1]DG!$C$2,)</f>
        <v>Boulon 16x350+ 2 long đền vuông D18-50x50x3/Zn</v>
      </c>
      <c r="G397" s="88" t="str">
        <f>VLOOKUP($B397,[1]DG!A:D,[1]DG!$D$2,)</f>
        <v>bộ</v>
      </c>
      <c r="H397" s="94">
        <f>H396*2</f>
        <v>0</v>
      </c>
      <c r="I397" s="91">
        <f t="shared" si="21"/>
        <v>0</v>
      </c>
      <c r="J397" s="92"/>
      <c r="K397" s="92"/>
      <c r="L397" s="117"/>
      <c r="M397" s="56">
        <v>75</v>
      </c>
    </row>
    <row r="398" spans="1:14" s="51" customFormat="1" ht="25.2" hidden="1" customHeight="1">
      <c r="A398" s="68">
        <f t="shared" si="19"/>
        <v>0</v>
      </c>
      <c r="B398" s="69" t="s">
        <v>205</v>
      </c>
      <c r="C398" s="69"/>
      <c r="D398" s="96"/>
      <c r="E398" s="116"/>
      <c r="F398" s="89" t="str">
        <f>VLOOKUP($B398,[1]DG!A:D,[1]DG!$C$2,)</f>
        <v>Boulon 14x100+ 2 long đền vuông D16-50x50x3/Zn</v>
      </c>
      <c r="G398" s="88" t="str">
        <f>VLOOKUP($B398,[1]DG!A:D,[1]DG!$D$2,)</f>
        <v>bộ</v>
      </c>
      <c r="H398" s="94">
        <f>H394</f>
        <v>0</v>
      </c>
      <c r="I398" s="91">
        <f t="shared" si="21"/>
        <v>0</v>
      </c>
      <c r="J398" s="92"/>
      <c r="K398" s="92"/>
      <c r="L398" s="117"/>
      <c r="M398" s="56">
        <v>75</v>
      </c>
    </row>
    <row r="399" spans="1:14" s="51" customFormat="1" ht="25.2" hidden="1" customHeight="1">
      <c r="A399" s="68">
        <f t="shared" si="19"/>
        <v>0</v>
      </c>
      <c r="B399" s="69" t="s">
        <v>125</v>
      </c>
      <c r="C399" s="69"/>
      <c r="D399" s="96"/>
      <c r="E399" s="116"/>
      <c r="F399" s="89" t="str">
        <f>VLOOKUP($B399,[1]DG!A:D,[1]DG!$C$2,)</f>
        <v>Bass LL bắt FCO, LA</v>
      </c>
      <c r="G399" s="88" t="str">
        <f>VLOOKUP($B399,[1]DG!A:D,[1]DG!$D$2,)</f>
        <v>bộ</v>
      </c>
      <c r="H399" s="94">
        <f>H394</f>
        <v>0</v>
      </c>
      <c r="I399" s="91">
        <f t="shared" si="21"/>
        <v>0</v>
      </c>
      <c r="J399" s="92"/>
      <c r="K399" s="92"/>
      <c r="L399" s="117"/>
      <c r="M399" s="56">
        <v>75</v>
      </c>
    </row>
    <row r="400" spans="1:14" s="51" customFormat="1" ht="25.2" hidden="1" customHeight="1">
      <c r="A400" s="68">
        <f t="shared" si="19"/>
        <v>0</v>
      </c>
      <c r="B400" s="69"/>
      <c r="C400" s="69"/>
      <c r="D400" s="114">
        <f>IF(H400&gt;0,D394+1,D394)</f>
        <v>0</v>
      </c>
      <c r="E400" s="112"/>
      <c r="F400" s="136" t="s">
        <v>80</v>
      </c>
      <c r="G400" s="114" t="s">
        <v>67</v>
      </c>
      <c r="H400" s="110">
        <f>H394</f>
        <v>0</v>
      </c>
      <c r="I400" s="91">
        <f t="shared" si="21"/>
        <v>0</v>
      </c>
      <c r="J400" s="92"/>
      <c r="K400" s="92"/>
      <c r="L400" s="117"/>
      <c r="M400" s="56">
        <v>75</v>
      </c>
    </row>
    <row r="401" spans="1:13" s="51" customFormat="1" ht="25.2" hidden="1" customHeight="1">
      <c r="A401" s="68">
        <f>IF(A400&gt;0,1,0)</f>
        <v>0</v>
      </c>
      <c r="B401" s="69"/>
      <c r="C401" s="69"/>
      <c r="D401" s="96"/>
      <c r="E401" s="116"/>
      <c r="F401" s="137" t="s">
        <v>68</v>
      </c>
      <c r="G401" s="96"/>
      <c r="H401" s="94"/>
      <c r="I401" s="91">
        <f t="shared" si="21"/>
        <v>0</v>
      </c>
      <c r="J401" s="92"/>
      <c r="K401" s="92"/>
      <c r="L401" s="117"/>
      <c r="M401" s="56">
        <v>75</v>
      </c>
    </row>
    <row r="402" spans="1:13" s="51" customFormat="1" ht="25.2" hidden="1" customHeight="1">
      <c r="A402" s="68">
        <f t="shared" si="19"/>
        <v>0</v>
      </c>
      <c r="B402" s="69" t="s">
        <v>81</v>
      </c>
      <c r="C402" s="69"/>
      <c r="D402" s="96"/>
      <c r="E402" s="88">
        <f>VLOOKUP($B402,[1]DG!A:D,[1]DG!$B$2,)</f>
        <v>0</v>
      </c>
      <c r="F402" s="89" t="str">
        <f>VLOOKUP($B402,[1]DG!A:D,[1]DG!$C$2,)</f>
        <v>Cáp đồng trần M25mm2</v>
      </c>
      <c r="G402" s="88" t="str">
        <f>VLOOKUP($B402,[1]DG!A:D,[1]DG!$D$2,)</f>
        <v>kg</v>
      </c>
      <c r="H402" s="94">
        <f>53*H400*0.224</f>
        <v>0</v>
      </c>
      <c r="I402" s="91">
        <f t="shared" si="21"/>
        <v>0</v>
      </c>
      <c r="J402" s="92"/>
      <c r="K402" s="92"/>
      <c r="L402" s="117"/>
      <c r="M402" s="56">
        <v>75</v>
      </c>
    </row>
    <row r="403" spans="1:13" s="51" customFormat="1" ht="25.2" hidden="1" customHeight="1">
      <c r="A403" s="68">
        <f t="shared" si="19"/>
        <v>0</v>
      </c>
      <c r="B403" s="86" t="s">
        <v>82</v>
      </c>
      <c r="C403" s="86"/>
      <c r="D403" s="96"/>
      <c r="E403" s="88">
        <f>VLOOKUP($B403,[1]DG!A:D,[1]DG!$B$2,)</f>
        <v>0</v>
      </c>
      <c r="F403" s="89" t="str">
        <f>VLOOKUP($B403,[1]DG!A:D,[1]DG!$C$2,)</f>
        <v>Cọc tiếp đất Þ 16- 2,4m + kẹp cọc mạ đồng</v>
      </c>
      <c r="G403" s="88" t="str">
        <f>VLOOKUP($B403,[1]DG!A:D,[1]DG!$D$2,)</f>
        <v>bộ</v>
      </c>
      <c r="H403" s="94">
        <f>9*H400</f>
        <v>0</v>
      </c>
      <c r="I403" s="91">
        <f t="shared" si="21"/>
        <v>0</v>
      </c>
      <c r="J403" s="92"/>
      <c r="K403" s="92"/>
      <c r="L403" s="117"/>
      <c r="M403" s="56">
        <v>75</v>
      </c>
    </row>
    <row r="404" spans="1:13" s="51" customFormat="1" ht="25.2" hidden="1" customHeight="1">
      <c r="A404" s="68">
        <f t="shared" si="19"/>
        <v>0</v>
      </c>
      <c r="B404" s="86" t="s">
        <v>83</v>
      </c>
      <c r="C404" s="86"/>
      <c r="D404" s="96"/>
      <c r="E404" s="88" t="str">
        <f>VLOOKUP($B404,[1]DG!A:D,[1]DG!$B$2,)</f>
        <v>07.2403</v>
      </c>
      <c r="F404" s="89" t="str">
        <f>VLOOKUP($B404,[1]DG!A:D,[1]DG!$C$2,)</f>
        <v xml:space="preserve">Ống PVC D21x1,6mm </v>
      </c>
      <c r="G404" s="88" t="str">
        <f>VLOOKUP($B404,[1]DG!A:D,[1]DG!$D$2,)</f>
        <v>m</v>
      </c>
      <c r="H404" s="94">
        <f>6*H400</f>
        <v>0</v>
      </c>
      <c r="I404" s="91">
        <f t="shared" si="21"/>
        <v>0</v>
      </c>
      <c r="J404" s="92"/>
      <c r="K404" s="92"/>
      <c r="L404" s="117"/>
      <c r="M404" s="56">
        <v>75</v>
      </c>
    </row>
    <row r="405" spans="1:13" s="51" customFormat="1" ht="25.2" hidden="1" customHeight="1">
      <c r="A405" s="68">
        <f t="shared" si="19"/>
        <v>0</v>
      </c>
      <c r="B405" s="69" t="s">
        <v>184</v>
      </c>
      <c r="C405" s="69"/>
      <c r="D405" s="96"/>
      <c r="E405" s="88">
        <f>VLOOKUP($B405,[1]DG!A:D,[1]DG!$B$2,)</f>
        <v>0</v>
      </c>
      <c r="F405" s="89" t="str">
        <f>VLOOKUP($B405,[1]DG!A:D,[1]DG!$C$2,)</f>
        <v>Kẹp ép WR cỡ dây 50mm2</v>
      </c>
      <c r="G405" s="88" t="str">
        <f>VLOOKUP($B405,[1]DG!A:D,[1]DG!$D$2,)</f>
        <v>cái</v>
      </c>
      <c r="H405" s="94">
        <f>2*H400</f>
        <v>0</v>
      </c>
      <c r="I405" s="91">
        <f t="shared" si="21"/>
        <v>0</v>
      </c>
      <c r="J405" s="92"/>
      <c r="K405" s="92"/>
      <c r="L405" s="117"/>
      <c r="M405" s="56">
        <v>75</v>
      </c>
    </row>
    <row r="406" spans="1:13" s="51" customFormat="1" ht="25.2" hidden="1" customHeight="1">
      <c r="A406" s="68">
        <f t="shared" si="19"/>
        <v>0</v>
      </c>
      <c r="B406" s="69" t="s">
        <v>185</v>
      </c>
      <c r="C406" s="69"/>
      <c r="D406" s="96"/>
      <c r="E406" s="88">
        <f>VLOOKUP($B406,[1]DG!A:D,[1]DG!$B$2,)</f>
        <v>0</v>
      </c>
      <c r="F406" s="89" t="str">
        <f>VLOOKUP($B406,[1]DG!A:D,[1]DG!$C$2,)</f>
        <v>Kẹp ép cỡ dây 25mm2</v>
      </c>
      <c r="G406" s="88" t="str">
        <f>VLOOKUP($B406,[1]DG!A:D,[1]DG!$D$2,)</f>
        <v>cái</v>
      </c>
      <c r="H406" s="94">
        <f>H400*10</f>
        <v>0</v>
      </c>
      <c r="I406" s="91">
        <f t="shared" si="21"/>
        <v>0</v>
      </c>
      <c r="J406" s="92"/>
      <c r="K406" s="92"/>
      <c r="L406" s="117"/>
      <c r="M406" s="56">
        <v>75</v>
      </c>
    </row>
    <row r="407" spans="1:13" s="51" customFormat="1" ht="25.2" hidden="1" customHeight="1">
      <c r="A407" s="68">
        <f t="shared" si="19"/>
        <v>0</v>
      </c>
      <c r="B407" s="86" t="s">
        <v>86</v>
      </c>
      <c r="C407" s="86"/>
      <c r="D407" s="96"/>
      <c r="E407" s="88" t="str">
        <f>VLOOKUP($B407,[1]DG!A:D,[1]DG!$B$2,)</f>
        <v>06.3231</v>
      </c>
      <c r="F407" s="89" t="str">
        <f>VLOOKUP($B407,[1]DG!A:D,[1]DG!$C$2,)</f>
        <v>Cổ dê kẹp ống PVC  21</v>
      </c>
      <c r="G407" s="88" t="str">
        <f>VLOOKUP($B407,[1]DG!A:D,[1]DG!$D$2,)</f>
        <v>bộ</v>
      </c>
      <c r="H407" s="94">
        <f>3*H400</f>
        <v>0</v>
      </c>
      <c r="I407" s="91">
        <f t="shared" si="21"/>
        <v>0</v>
      </c>
      <c r="J407" s="92"/>
      <c r="K407" s="92"/>
      <c r="L407" s="117"/>
      <c r="M407" s="56">
        <v>75</v>
      </c>
    </row>
    <row r="408" spans="1:13" s="51" customFormat="1" ht="25.2" hidden="1" customHeight="1">
      <c r="A408" s="68">
        <f t="shared" si="19"/>
        <v>0</v>
      </c>
      <c r="B408" s="69" t="s">
        <v>90</v>
      </c>
      <c r="C408" s="69"/>
      <c r="D408" s="96"/>
      <c r="E408" s="88" t="str">
        <f>VLOOKUP($B408,[1]DG!A:D,[1]DG!$B$2,)</f>
        <v>04.7002</v>
      </c>
      <c r="F408" s="89" t="str">
        <f>VLOOKUP($B408,[1]DG!A:D,[1]DG!$C$2,)</f>
        <v>Kéo dây tiếp địa trong TBA</v>
      </c>
      <c r="G408" s="88" t="str">
        <f>VLOOKUP($B408,[1]DG!A:D,[1]DG!$D$2,)</f>
        <v>mét</v>
      </c>
      <c r="H408" s="94">
        <f>H402/0.224</f>
        <v>0</v>
      </c>
      <c r="I408" s="91">
        <f t="shared" si="21"/>
        <v>0</v>
      </c>
      <c r="J408" s="92"/>
      <c r="K408" s="92"/>
      <c r="L408" s="117"/>
      <c r="M408" s="56">
        <v>75</v>
      </c>
    </row>
    <row r="409" spans="1:13" s="51" customFormat="1" ht="25.2" hidden="1" customHeight="1">
      <c r="A409" s="68">
        <f t="shared" si="19"/>
        <v>0</v>
      </c>
      <c r="B409" s="86" t="s">
        <v>89</v>
      </c>
      <c r="C409" s="86"/>
      <c r="D409" s="96"/>
      <c r="E409" s="88" t="str">
        <f>VLOOKUP($B409,[1]DG!A:D,[1]DG!$B$2,)</f>
        <v>04.7001</v>
      </c>
      <c r="F409" s="89" t="str">
        <f>VLOOKUP($B409,[1]DG!A:D,[1]DG!$C$2,)</f>
        <v>Đóng cọc tiếp địa trong TBA</v>
      </c>
      <c r="G409" s="88" t="str">
        <f>VLOOKUP($B409,[1]DG!A:D,[1]DG!$D$2,)</f>
        <v>cọc</v>
      </c>
      <c r="H409" s="94">
        <f>H403</f>
        <v>0</v>
      </c>
      <c r="I409" s="91">
        <f t="shared" si="21"/>
        <v>0</v>
      </c>
      <c r="J409" s="92"/>
      <c r="K409" s="92"/>
      <c r="L409" s="117"/>
      <c r="M409" s="56">
        <v>75</v>
      </c>
    </row>
    <row r="410" spans="1:13" s="51" customFormat="1" ht="25.2" hidden="1" customHeight="1">
      <c r="A410" s="68">
        <f t="shared" si="19"/>
        <v>0</v>
      </c>
      <c r="B410" s="69" t="str">
        <f>"dtd"&amp;chitiet!G5</f>
        <v>dtd3</v>
      </c>
      <c r="C410" s="69"/>
      <c r="D410" s="96"/>
      <c r="E410" s="88" t="str">
        <f>VLOOKUP($B410,[1]DG!A:D,[1]DG!$B$2,)</f>
        <v>03.3123</v>
      </c>
      <c r="F410" s="89" t="str">
        <f>VLOOKUP($B410,[1]DG!A:D,[1]DG!$C$2,)</f>
        <v>Đào rãnh tiếp địa đất cấp 3</v>
      </c>
      <c r="G410" s="88" t="str">
        <f>VLOOKUP($B410,[1]DG!A:D,[1]DG!$D$2,)</f>
        <v>m3</v>
      </c>
      <c r="H410" s="94">
        <f>H400*2.64</f>
        <v>0</v>
      </c>
      <c r="I410" s="91">
        <f t="shared" si="21"/>
        <v>0</v>
      </c>
      <c r="J410" s="92"/>
      <c r="K410" s="92"/>
      <c r="L410" s="117"/>
      <c r="M410" s="56">
        <v>75</v>
      </c>
    </row>
    <row r="411" spans="1:13" s="51" customFormat="1" ht="25.2" hidden="1" customHeight="1">
      <c r="A411" s="68">
        <f t="shared" si="19"/>
        <v>0</v>
      </c>
      <c r="B411" s="86" t="str">
        <f>"datd"&amp;chitiet!G5</f>
        <v>datd3</v>
      </c>
      <c r="C411" s="86"/>
      <c r="D411" s="96"/>
      <c r="E411" s="88" t="str">
        <f>VLOOKUP($B411,[1]DG!A:D,[1]DG!$B$2,)</f>
        <v>03.4123</v>
      </c>
      <c r="F411" s="89" t="str">
        <f>VLOOKUP($B411,[1]DG!A:D,[1]DG!$C$2,)</f>
        <v>Đắp đất rãnh tiếp độ chặt k=0,85</v>
      </c>
      <c r="G411" s="88" t="str">
        <f>VLOOKUP($B411,[1]DG!A:D,[1]DG!$D$2,)</f>
        <v>m3</v>
      </c>
      <c r="H411" s="94">
        <f>H410</f>
        <v>0</v>
      </c>
      <c r="I411" s="91">
        <f t="shared" si="21"/>
        <v>0</v>
      </c>
      <c r="J411" s="92"/>
      <c r="K411" s="92"/>
      <c r="L411" s="117"/>
      <c r="M411" s="56">
        <v>75</v>
      </c>
    </row>
    <row r="412" spans="1:13" s="51" customFormat="1" ht="25.2" hidden="1" customHeight="1">
      <c r="A412" s="68">
        <f t="shared" si="19"/>
        <v>0</v>
      </c>
      <c r="B412" s="69"/>
      <c r="C412" s="69"/>
      <c r="D412" s="114">
        <f>IF(H412&gt;0,D400+1,D400)</f>
        <v>0</v>
      </c>
      <c r="E412" s="112"/>
      <c r="F412" s="113" t="s">
        <v>159</v>
      </c>
      <c r="G412" s="114" t="s">
        <v>67</v>
      </c>
      <c r="H412" s="110">
        <f>H394</f>
        <v>0</v>
      </c>
      <c r="I412" s="91">
        <f t="shared" si="21"/>
        <v>0</v>
      </c>
      <c r="J412" s="92"/>
      <c r="K412" s="92"/>
      <c r="L412" s="117"/>
      <c r="M412" s="56">
        <v>75</v>
      </c>
    </row>
    <row r="413" spans="1:13" s="51" customFormat="1" ht="25.2" hidden="1" customHeight="1">
      <c r="A413" s="68">
        <f>IF(A412&gt;0,1,0)</f>
        <v>0</v>
      </c>
      <c r="B413" s="69"/>
      <c r="C413" s="69"/>
      <c r="D413" s="114"/>
      <c r="E413" s="112"/>
      <c r="F413" s="137" t="s">
        <v>68</v>
      </c>
      <c r="G413" s="96"/>
      <c r="H413" s="94"/>
      <c r="I413" s="91">
        <f t="shared" si="21"/>
        <v>0</v>
      </c>
      <c r="J413" s="92"/>
      <c r="K413" s="92"/>
      <c r="L413" s="117"/>
      <c r="M413" s="56">
        <v>75</v>
      </c>
    </row>
    <row r="414" spans="1:13" s="51" customFormat="1" ht="25.2" hidden="1" customHeight="1">
      <c r="A414" s="68">
        <f t="shared" ref="A414:A477" si="23">IF(I414&gt;0,1,0)</f>
        <v>0</v>
      </c>
      <c r="B414" s="86" t="s">
        <v>94</v>
      </c>
      <c r="C414" s="86"/>
      <c r="D414" s="96"/>
      <c r="E414" s="88" t="str">
        <f>VLOOKUP($B414,[1]DG!A:D,[1]DG!$B$2,)</f>
        <v>05.1001</v>
      </c>
      <c r="F414" s="89" t="str">
        <f>VLOOKUP($B414,[1]DG!A:D,[1]DG!$C$2,)</f>
        <v>Tủ CB trạm 1 pha + khóa + boulon</v>
      </c>
      <c r="G414" s="88" t="str">
        <f>VLOOKUP($B414,[1]DG!A:D,[1]DG!$D$2,)</f>
        <v>cái</v>
      </c>
      <c r="H414" s="94">
        <f>H412</f>
        <v>0</v>
      </c>
      <c r="I414" s="91">
        <f t="shared" si="21"/>
        <v>0</v>
      </c>
      <c r="J414" s="92"/>
      <c r="K414" s="92"/>
      <c r="L414" s="117"/>
      <c r="M414" s="56">
        <v>75</v>
      </c>
    </row>
    <row r="415" spans="1:13" s="51" customFormat="1" ht="25.2" hidden="1" customHeight="1">
      <c r="A415" s="68">
        <f t="shared" si="23"/>
        <v>0</v>
      </c>
      <c r="B415" s="69" t="s">
        <v>95</v>
      </c>
      <c r="C415" s="69"/>
      <c r="D415" s="96"/>
      <c r="E415" s="88" t="str">
        <f>VLOOKUP($B415,[1]DG!A:D,[1]DG!$B$2,)</f>
        <v>06.3231</v>
      </c>
      <c r="F415" s="89" t="str">
        <f>VLOOKUP($B415,[1]DG!A:D,[1]DG!$C$2,)</f>
        <v>Cổ dê bắt tủ</v>
      </c>
      <c r="G415" s="88" t="str">
        <f>VLOOKUP($B415,[1]DG!A:D,[1]DG!$D$2,)</f>
        <v>bộ</v>
      </c>
      <c r="H415" s="94">
        <f>2*H412*7</f>
        <v>0</v>
      </c>
      <c r="I415" s="91">
        <f t="shared" si="21"/>
        <v>0</v>
      </c>
      <c r="J415" s="92"/>
      <c r="K415" s="92"/>
      <c r="L415" s="117"/>
      <c r="M415" s="56">
        <v>75</v>
      </c>
    </row>
    <row r="416" spans="1:13" s="51" customFormat="1" ht="25.2" hidden="1" customHeight="1">
      <c r="A416" s="68">
        <f t="shared" si="23"/>
        <v>0</v>
      </c>
      <c r="B416" s="69" t="s">
        <v>87</v>
      </c>
      <c r="C416" s="69"/>
      <c r="D416" s="96"/>
      <c r="E416" s="88" t="str">
        <f>VLOOKUP($B416,[1]DG!A:D,[1]DG!$B$2,)</f>
        <v>06.2110</v>
      </c>
      <c r="F416" s="89" t="str">
        <f>VLOOKUP($B416,[1]DG!A:D,[1]DG!$C$2,)</f>
        <v>Lắp cổ dề</v>
      </c>
      <c r="G416" s="88" t="str">
        <f>VLOOKUP($B416,[1]DG!A:D,[1]DG!$D$2,)</f>
        <v>bộ</v>
      </c>
      <c r="H416" s="94">
        <f>H412*2</f>
        <v>0</v>
      </c>
      <c r="I416" s="91">
        <f t="shared" si="21"/>
        <v>0</v>
      </c>
      <c r="J416" s="92"/>
      <c r="K416" s="92"/>
      <c r="L416" s="117"/>
      <c r="M416" s="56">
        <v>75</v>
      </c>
    </row>
    <row r="417" spans="1:13" s="51" customFormat="1" ht="25.2" hidden="1" customHeight="1">
      <c r="A417" s="68">
        <f t="shared" si="23"/>
        <v>0</v>
      </c>
      <c r="B417" s="69" t="s">
        <v>96</v>
      </c>
      <c r="C417" s="69"/>
      <c r="D417" s="96"/>
      <c r="E417" s="88">
        <f>VLOOKUP($B417,[1]DG!A:D,[1]DG!$B$2,)</f>
        <v>0</v>
      </c>
      <c r="F417" s="89" t="str">
        <f>VLOOKUP($B417,[1]DG!A:D,[1]DG!$C$2,)</f>
        <v xml:space="preserve">Bakelit 550x450 dầy 10mm </v>
      </c>
      <c r="G417" s="88" t="str">
        <f>VLOOKUP($B417,[1]DG!A:D,[1]DG!$D$2,)</f>
        <v>cái</v>
      </c>
      <c r="H417" s="94">
        <f>H412</f>
        <v>0</v>
      </c>
      <c r="I417" s="91">
        <f t="shared" si="21"/>
        <v>0</v>
      </c>
      <c r="J417" s="92"/>
      <c r="K417" s="92"/>
      <c r="L417" s="117"/>
      <c r="M417" s="56">
        <v>75</v>
      </c>
    </row>
    <row r="418" spans="1:13" s="51" customFormat="1" ht="25.2" hidden="1" customHeight="1">
      <c r="A418" s="68">
        <f t="shared" si="23"/>
        <v>0</v>
      </c>
      <c r="B418" s="69"/>
      <c r="C418" s="69"/>
      <c r="D418" s="114">
        <f>IF(H418&gt;0,D412+1,D412)</f>
        <v>0</v>
      </c>
      <c r="E418" s="112"/>
      <c r="F418" s="136" t="s">
        <v>206</v>
      </c>
      <c r="G418" s="114" t="s">
        <v>67</v>
      </c>
      <c r="H418" s="110">
        <f>H412</f>
        <v>0</v>
      </c>
      <c r="I418" s="91">
        <f t="shared" si="21"/>
        <v>0</v>
      </c>
      <c r="J418" s="92"/>
      <c r="K418" s="92"/>
      <c r="L418" s="117"/>
      <c r="M418" s="56">
        <v>75</v>
      </c>
    </row>
    <row r="419" spans="1:13" s="51" customFormat="1" ht="25.2" hidden="1" customHeight="1">
      <c r="A419" s="68">
        <f>IF(A418&gt;0,1,0)</f>
        <v>0</v>
      </c>
      <c r="B419" s="69"/>
      <c r="C419" s="69"/>
      <c r="D419" s="114"/>
      <c r="E419" s="112"/>
      <c r="F419" s="137" t="s">
        <v>68</v>
      </c>
      <c r="G419" s="96"/>
      <c r="H419" s="94"/>
      <c r="I419" s="91">
        <f t="shared" si="21"/>
        <v>0</v>
      </c>
      <c r="J419" s="92"/>
      <c r="K419" s="92"/>
      <c r="L419" s="117"/>
      <c r="M419" s="56">
        <v>75</v>
      </c>
    </row>
    <row r="420" spans="1:13" s="51" customFormat="1" ht="25.2" hidden="1" customHeight="1">
      <c r="A420" s="68">
        <f t="shared" si="23"/>
        <v>0</v>
      </c>
      <c r="B420" s="86" t="s">
        <v>98</v>
      </c>
      <c r="C420" s="86"/>
      <c r="D420" s="96"/>
      <c r="E420" s="88">
        <f>VLOOKUP($B420,[1]DG!A:D,[1]DG!$B$2,)</f>
        <v>0</v>
      </c>
      <c r="F420" s="89" t="str">
        <f>VLOOKUP($B420,[1]DG!A:D,[1]DG!$C$2,)</f>
        <v>Cáp 24KV CX-25mm2</v>
      </c>
      <c r="G420" s="88" t="str">
        <f>VLOOKUP($B420,[1]DG!A:D,[1]DG!$D$2,)</f>
        <v>mét</v>
      </c>
      <c r="H420" s="94">
        <f>3*H418</f>
        <v>0</v>
      </c>
      <c r="I420" s="91">
        <f t="shared" si="21"/>
        <v>0</v>
      </c>
      <c r="J420" s="92"/>
      <c r="K420" s="92"/>
      <c r="L420" s="117"/>
      <c r="M420" s="56">
        <v>75</v>
      </c>
    </row>
    <row r="421" spans="1:13" s="51" customFormat="1" ht="25.2" hidden="1" customHeight="1">
      <c r="A421" s="68">
        <f t="shared" si="23"/>
        <v>0</v>
      </c>
      <c r="B421" s="86" t="s">
        <v>207</v>
      </c>
      <c r="C421" s="86"/>
      <c r="D421" s="96"/>
      <c r="E421" s="88" t="str">
        <f>VLOOKUP($B421,[1]DG!A:D,[1]DG!$B$2,)</f>
        <v>04.3007</v>
      </c>
      <c r="F421" s="89" t="str">
        <f>VLOOKUP($B421,[1]DG!A:D,[1]DG!$C$2,)</f>
        <v>Kẹp quai 2/0 + chụp cách điện</v>
      </c>
      <c r="G421" s="88" t="str">
        <f>VLOOKUP($B421,[1]DG!A:D,[1]DG!$D$2,)</f>
        <v>bộ</v>
      </c>
      <c r="H421" s="94">
        <f>H418</f>
        <v>0</v>
      </c>
      <c r="I421" s="91">
        <f t="shared" si="21"/>
        <v>0</v>
      </c>
      <c r="J421" s="92"/>
      <c r="K421" s="92"/>
      <c r="L421" s="117"/>
      <c r="M421" s="56">
        <v>75</v>
      </c>
    </row>
    <row r="422" spans="1:13" s="51" customFormat="1" ht="25.2" hidden="1" customHeight="1">
      <c r="A422" s="68">
        <f t="shared" si="23"/>
        <v>0</v>
      </c>
      <c r="B422" s="86" t="s">
        <v>100</v>
      </c>
      <c r="C422" s="86"/>
      <c r="D422" s="96"/>
      <c r="E422" s="88" t="str">
        <f>VLOOKUP($B422,[1]DG!A:D,[1]DG!$B$2,)</f>
        <v>04.3007</v>
      </c>
      <c r="F422" s="89" t="str">
        <f>VLOOKUP($B422,[1]DG!A:D,[1]DG!$C$2,)</f>
        <v>Kẹp hotline 2/0</v>
      </c>
      <c r="G422" s="88" t="str">
        <f>VLOOKUP($B422,[1]DG!A:D,[1]DG!$D$2,)</f>
        <v>cái</v>
      </c>
      <c r="H422" s="94">
        <f>H417</f>
        <v>0</v>
      </c>
      <c r="I422" s="91">
        <f t="shared" si="21"/>
        <v>0</v>
      </c>
      <c r="J422" s="92"/>
      <c r="K422" s="92"/>
      <c r="L422" s="117"/>
      <c r="M422" s="56">
        <v>75</v>
      </c>
    </row>
    <row r="423" spans="1:13" s="51" customFormat="1" ht="25.2" hidden="1" customHeight="1">
      <c r="A423" s="68">
        <f t="shared" si="23"/>
        <v>0</v>
      </c>
      <c r="B423" s="86" t="s">
        <v>208</v>
      </c>
      <c r="C423" s="86"/>
      <c r="D423" s="96"/>
      <c r="E423" s="88">
        <f>VLOOKUP($B423,[1]DG!A:D,[1]DG!$B$2,)</f>
        <v>0</v>
      </c>
      <c r="F423" s="89" t="str">
        <f>VLOOKUP($B423,[1]DG!A:D,[1]DG!$C$2,)</f>
        <v>Chụp cách điện đầu cực FCO (trên + dưới)</v>
      </c>
      <c r="G423" s="88" t="str">
        <f>VLOOKUP($B423,[1]DG!A:D,[1]DG!$D$2,)</f>
        <v>bộ</v>
      </c>
      <c r="H423" s="94">
        <f>H372</f>
        <v>0</v>
      </c>
      <c r="I423" s="91">
        <f t="shared" si="21"/>
        <v>0</v>
      </c>
      <c r="J423" s="92"/>
      <c r="K423" s="92"/>
      <c r="L423" s="117"/>
      <c r="M423" s="56">
        <v>75</v>
      </c>
    </row>
    <row r="424" spans="1:13" s="51" customFormat="1" ht="25.2" hidden="1" customHeight="1">
      <c r="A424" s="68">
        <f t="shared" si="23"/>
        <v>0</v>
      </c>
      <c r="B424" s="86" t="s">
        <v>209</v>
      </c>
      <c r="C424" s="86"/>
      <c r="D424" s="96"/>
      <c r="E424" s="88">
        <f>VLOOKUP($B424,[1]DG!A:D,[1]DG!$B$2,)</f>
        <v>0</v>
      </c>
      <c r="F424" s="89" t="str">
        <f>VLOOKUP($B424,[1]DG!A:D,[1]DG!$C$2,)</f>
        <v>Chụp cách điện đầu cực LA</v>
      </c>
      <c r="G424" s="88" t="str">
        <f>VLOOKUP($B424,[1]DG!A:D,[1]DG!$D$2,)</f>
        <v>cái</v>
      </c>
      <c r="H424" s="94">
        <f>H374</f>
        <v>0</v>
      </c>
      <c r="I424" s="91">
        <f t="shared" si="21"/>
        <v>0</v>
      </c>
      <c r="J424" s="92"/>
      <c r="K424" s="92"/>
      <c r="L424" s="117"/>
      <c r="M424" s="56">
        <v>75</v>
      </c>
    </row>
    <row r="425" spans="1:13" s="51" customFormat="1" ht="25.2" hidden="1" customHeight="1">
      <c r="A425" s="68">
        <f t="shared" si="23"/>
        <v>0</v>
      </c>
      <c r="B425" s="86" t="s">
        <v>210</v>
      </c>
      <c r="C425" s="86"/>
      <c r="D425" s="96"/>
      <c r="E425" s="88">
        <f>VLOOKUP($B425,[1]DG!A:D,[1]DG!$B$2,)</f>
        <v>0</v>
      </c>
      <c r="F425" s="89" t="str">
        <f>VLOOKUP($B425,[1]DG!A:D,[1]DG!$C$2,)</f>
        <v>Chụp cách điện đầu cực MBA</v>
      </c>
      <c r="G425" s="88" t="str">
        <f>VLOOKUP($B425,[1]DG!A:D,[1]DG!$D$2,)</f>
        <v>cái</v>
      </c>
      <c r="H425" s="94">
        <f>H371</f>
        <v>0</v>
      </c>
      <c r="I425" s="91">
        <f t="shared" si="21"/>
        <v>0</v>
      </c>
      <c r="J425" s="92"/>
      <c r="K425" s="92"/>
      <c r="L425" s="117"/>
      <c r="M425" s="56">
        <v>75</v>
      </c>
    </row>
    <row r="426" spans="1:13" s="51" customFormat="1" ht="25.2" hidden="1" customHeight="1">
      <c r="A426" s="68">
        <f t="shared" si="23"/>
        <v>0</v>
      </c>
      <c r="B426" s="86" t="s">
        <v>101</v>
      </c>
      <c r="C426" s="86"/>
      <c r="D426" s="96"/>
      <c r="E426" s="88" t="str">
        <f>VLOOKUP($B426,[1]DG!A:D,[1]DG!$B$2,)</f>
        <v>04.4201</v>
      </c>
      <c r="F426" s="89" t="str">
        <f>VLOOKUP($B426,[1]DG!A:D,[1]DG!$C$2,)</f>
        <v>Lắp cáp đồng xuống thiết bị D ≤ 95mm2</v>
      </c>
      <c r="G426" s="88" t="str">
        <f>VLOOKUP($B426,[1]DG!A:D,[1]DG!$D$2,)</f>
        <v>m</v>
      </c>
      <c r="H426" s="94">
        <f>H420</f>
        <v>0</v>
      </c>
      <c r="I426" s="91">
        <f t="shared" si="21"/>
        <v>0</v>
      </c>
      <c r="J426" s="92"/>
      <c r="K426" s="92"/>
      <c r="L426" s="117"/>
      <c r="M426" s="56">
        <v>75</v>
      </c>
    </row>
    <row r="427" spans="1:13" s="51" customFormat="1" ht="25.2" hidden="1" customHeight="1">
      <c r="A427" s="68">
        <f t="shared" si="23"/>
        <v>0</v>
      </c>
      <c r="B427" s="69"/>
      <c r="C427" s="69"/>
      <c r="D427" s="114">
        <f>IF(H427&gt;0,D418+1,D418)</f>
        <v>0</v>
      </c>
      <c r="E427" s="112"/>
      <c r="F427" s="113" t="s">
        <v>211</v>
      </c>
      <c r="G427" s="114" t="s">
        <v>67</v>
      </c>
      <c r="H427" s="110">
        <f>H371</f>
        <v>0</v>
      </c>
      <c r="I427" s="91">
        <f t="shared" si="21"/>
        <v>0</v>
      </c>
      <c r="J427" s="92"/>
      <c r="K427" s="92"/>
      <c r="L427" s="117"/>
      <c r="M427" s="56">
        <v>75</v>
      </c>
    </row>
    <row r="428" spans="1:13" s="51" customFormat="1" ht="25.2" hidden="1" customHeight="1">
      <c r="A428" s="68">
        <f>IF(A427&gt;0,1,0)</f>
        <v>0</v>
      </c>
      <c r="B428" s="69"/>
      <c r="C428" s="69"/>
      <c r="D428" s="114"/>
      <c r="E428" s="112"/>
      <c r="F428" s="115" t="s">
        <v>68</v>
      </c>
      <c r="G428" s="114"/>
      <c r="H428" s="110"/>
      <c r="I428" s="91">
        <f t="shared" si="21"/>
        <v>0</v>
      </c>
      <c r="J428" s="92"/>
      <c r="K428" s="92"/>
      <c r="L428" s="117"/>
      <c r="M428" s="56">
        <v>75</v>
      </c>
    </row>
    <row r="429" spans="1:13" s="51" customFormat="1" ht="25.2" hidden="1" customHeight="1">
      <c r="A429" s="68">
        <f t="shared" si="23"/>
        <v>0</v>
      </c>
      <c r="B429" s="69" t="s">
        <v>212</v>
      </c>
      <c r="C429" s="69"/>
      <c r="D429" s="114"/>
      <c r="E429" s="88">
        <f>VLOOKUP($B429,[1]DG!A:D,[1]DG!$B$2,)</f>
        <v>0</v>
      </c>
      <c r="F429" s="89" t="str">
        <f>VLOOKUP($B429,[1]DG!A:D,[1]DG!$C$2,)</f>
        <v>Cáp đồng bọc CV185</v>
      </c>
      <c r="G429" s="88" t="str">
        <f>VLOOKUP($B429,[1]DG!A:D,[1]DG!$D$2,)</f>
        <v>mét</v>
      </c>
      <c r="H429" s="94">
        <f>H427*10*2</f>
        <v>0</v>
      </c>
      <c r="I429" s="91">
        <f t="shared" si="21"/>
        <v>0</v>
      </c>
      <c r="J429" s="92"/>
      <c r="K429" s="92"/>
      <c r="L429" s="117"/>
      <c r="M429" s="56">
        <v>75</v>
      </c>
    </row>
    <row r="430" spans="1:13" s="51" customFormat="1" ht="25.2" hidden="1" customHeight="1">
      <c r="A430" s="68">
        <f t="shared" si="23"/>
        <v>0</v>
      </c>
      <c r="B430" s="69" t="s">
        <v>142</v>
      </c>
      <c r="C430" s="69"/>
      <c r="D430" s="114"/>
      <c r="E430" s="88">
        <f>VLOOKUP($B430,[1]DG!A:D,[1]DG!$B$2,)</f>
        <v>0</v>
      </c>
      <c r="F430" s="89" t="str">
        <f>VLOOKUP($B430,[1]DG!A:D,[1]DG!$C$2,)</f>
        <v>Cáp đồng bọc CV70</v>
      </c>
      <c r="G430" s="88" t="str">
        <f>VLOOKUP($B430,[1]DG!A:D,[1]DG!$D$2,)</f>
        <v>mét</v>
      </c>
      <c r="H430" s="94">
        <f>H427*9*0</f>
        <v>0</v>
      </c>
      <c r="I430" s="91">
        <f t="shared" si="21"/>
        <v>0</v>
      </c>
      <c r="J430" s="92"/>
      <c r="K430" s="92"/>
      <c r="L430" s="117"/>
      <c r="M430" s="56">
        <v>75</v>
      </c>
    </row>
    <row r="431" spans="1:13" s="51" customFormat="1" ht="25.2" hidden="1" customHeight="1">
      <c r="A431" s="68">
        <f t="shared" si="23"/>
        <v>0</v>
      </c>
      <c r="B431" s="69" t="s">
        <v>143</v>
      </c>
      <c r="C431" s="69"/>
      <c r="D431" s="96"/>
      <c r="E431" s="88" t="str">
        <f>VLOOKUP($B431,[1]DG!A:D,[1]DG!$B$2,)</f>
        <v>03.1401</v>
      </c>
      <c r="F431" s="89" t="str">
        <f>VLOOKUP($B431,[1]DG!A:D,[1]DG!$C$2,)</f>
        <v xml:space="preserve">Cáp CVV 4x4mm2  </v>
      </c>
      <c r="G431" s="88" t="str">
        <f>VLOOKUP($B431,[1]DG!A:D,[1]DG!$D$2,)</f>
        <v>mét</v>
      </c>
      <c r="H431" s="94">
        <f>2*H427</f>
        <v>0</v>
      </c>
      <c r="I431" s="91">
        <f t="shared" ref="I431:I499" si="24">IF(M431=$M$23,H431+J431-K431,0)</f>
        <v>0</v>
      </c>
      <c r="J431" s="92"/>
      <c r="K431" s="92"/>
      <c r="L431" s="117"/>
      <c r="M431" s="56">
        <v>75</v>
      </c>
    </row>
    <row r="432" spans="1:13" s="51" customFormat="1" ht="25.2" hidden="1" customHeight="1">
      <c r="A432" s="68">
        <f t="shared" si="23"/>
        <v>0</v>
      </c>
      <c r="B432" s="69" t="s">
        <v>213</v>
      </c>
      <c r="C432" s="69"/>
      <c r="D432" s="96"/>
      <c r="E432" s="88" t="str">
        <f>VLOOKUP($B432,[1]DG!A:D,[1]DG!$B$2,)</f>
        <v>03.4007</v>
      </c>
      <c r="F432" s="89" t="str">
        <f>VLOOKUP($B432,[1]DG!A:D,[1]DG!$C$2,)</f>
        <v>Đầu cosse ép Cu 185mm2</v>
      </c>
      <c r="G432" s="88" t="str">
        <f>VLOOKUP($B432,[1]DG!A:D,[1]DG!$D$2,)</f>
        <v>cái</v>
      </c>
      <c r="H432" s="94">
        <f>H427*H376*2</f>
        <v>0</v>
      </c>
      <c r="I432" s="91">
        <f t="shared" si="24"/>
        <v>0</v>
      </c>
      <c r="J432" s="92"/>
      <c r="K432" s="92"/>
      <c r="L432" s="117"/>
      <c r="M432" s="56">
        <v>75</v>
      </c>
    </row>
    <row r="433" spans="1:13" s="51" customFormat="1" ht="25.2" hidden="1" customHeight="1">
      <c r="A433" s="68">
        <f t="shared" si="23"/>
        <v>0</v>
      </c>
      <c r="B433" s="69" t="s">
        <v>214</v>
      </c>
      <c r="C433" s="69"/>
      <c r="D433" s="96"/>
      <c r="E433" s="88" t="str">
        <f>VLOOKUP($B433,[1]DG!A:D,[1]DG!$B$2,)</f>
        <v>03.4003</v>
      </c>
      <c r="F433" s="89" t="str">
        <f>VLOOKUP($B433,[1]DG!A:D,[1]DG!$C$2,)</f>
        <v>Đầu cosse ép Cu 70mm2</v>
      </c>
      <c r="G433" s="88" t="str">
        <f>VLOOKUP($B433,[1]DG!A:D,[1]DG!$D$2,)</f>
        <v>cái</v>
      </c>
      <c r="H433" s="94">
        <f>H427*0</f>
        <v>0</v>
      </c>
      <c r="I433" s="91">
        <f t="shared" si="24"/>
        <v>0</v>
      </c>
      <c r="J433" s="92"/>
      <c r="K433" s="92"/>
      <c r="L433" s="117"/>
      <c r="M433" s="56">
        <v>75</v>
      </c>
    </row>
    <row r="434" spans="1:13" s="51" customFormat="1" ht="25.2" hidden="1" customHeight="1">
      <c r="A434" s="68">
        <f t="shared" si="23"/>
        <v>0</v>
      </c>
      <c r="B434" s="69" t="s">
        <v>215</v>
      </c>
      <c r="C434" s="69"/>
      <c r="D434" s="96"/>
      <c r="E434" s="88">
        <f>VLOOKUP($B434,[1]DG!A:D,[1]DG!$B$2,)</f>
        <v>0</v>
      </c>
      <c r="F434" s="89" t="str">
        <f>VLOOKUP($B434,[1]DG!A:D,[1]DG!$C$2,)</f>
        <v>Chụp đầu cosse  120mm2</v>
      </c>
      <c r="G434" s="88" t="str">
        <f>VLOOKUP($B434,[1]DG!A:D,[1]DG!$D$2,)</f>
        <v>cái</v>
      </c>
      <c r="H434" s="94">
        <f>H432</f>
        <v>0</v>
      </c>
      <c r="I434" s="91">
        <f t="shared" si="24"/>
        <v>0</v>
      </c>
      <c r="J434" s="92"/>
      <c r="K434" s="92"/>
      <c r="L434" s="117"/>
      <c r="M434" s="56">
        <v>75</v>
      </c>
    </row>
    <row r="435" spans="1:13" s="51" customFormat="1" ht="25.2" hidden="1" customHeight="1">
      <c r="A435" s="68">
        <f t="shared" si="23"/>
        <v>0</v>
      </c>
      <c r="B435" s="69" t="s">
        <v>216</v>
      </c>
      <c r="C435" s="69"/>
      <c r="D435" s="96"/>
      <c r="E435" s="88">
        <f>VLOOKUP($B435,[1]DG!A:D,[1]DG!$B$2,)</f>
        <v>0</v>
      </c>
      <c r="F435" s="89" t="str">
        <f>VLOOKUP($B435,[1]DG!A:D,[1]DG!$C$2,)</f>
        <v>Chụp đầu cosse  70mm2</v>
      </c>
      <c r="G435" s="88" t="str">
        <f>VLOOKUP($B435,[1]DG!A:D,[1]DG!$D$2,)</f>
        <v>cái</v>
      </c>
      <c r="H435" s="94">
        <f>H433*0</f>
        <v>0</v>
      </c>
      <c r="I435" s="91">
        <f t="shared" si="24"/>
        <v>0</v>
      </c>
      <c r="J435" s="92"/>
      <c r="K435" s="92"/>
      <c r="L435" s="117"/>
      <c r="M435" s="56">
        <v>75</v>
      </c>
    </row>
    <row r="436" spans="1:13" s="51" customFormat="1" ht="25.2" hidden="1" customHeight="1">
      <c r="A436" s="68">
        <f t="shared" si="23"/>
        <v>0</v>
      </c>
      <c r="B436" s="69" t="s">
        <v>144</v>
      </c>
      <c r="C436" s="69"/>
      <c r="D436" s="96"/>
      <c r="E436" s="88">
        <f>VLOOKUP($B436,[1]DG!A:D,[1]DG!$B$2,)</f>
        <v>0</v>
      </c>
      <c r="F436" s="89" t="str">
        <f>VLOOKUP($B436,[1]DG!A:D,[1]DG!$C$2,)</f>
        <v xml:space="preserve">Ống PVC D114x4,9mm </v>
      </c>
      <c r="G436" s="88" t="str">
        <f>VLOOKUP($B436,[1]DG!A:D,[1]DG!$D$2,)</f>
        <v>m</v>
      </c>
      <c r="H436" s="94">
        <f>6*H427</f>
        <v>0</v>
      </c>
      <c r="I436" s="91">
        <f t="shared" si="24"/>
        <v>0</v>
      </c>
      <c r="J436" s="92"/>
      <c r="K436" s="92"/>
      <c r="L436" s="117"/>
      <c r="M436" s="56">
        <v>75</v>
      </c>
    </row>
    <row r="437" spans="1:13" s="51" customFormat="1" ht="25.2" hidden="1" customHeight="1">
      <c r="A437" s="68">
        <f t="shared" si="23"/>
        <v>0</v>
      </c>
      <c r="B437" s="86" t="s">
        <v>145</v>
      </c>
      <c r="C437" s="86"/>
      <c r="D437" s="96"/>
      <c r="E437" s="88" t="str">
        <f>VLOOKUP($B437,[1]DG!A:D,[1]DG!$B$2,)</f>
        <v>06.3231</v>
      </c>
      <c r="F437" s="89" t="str">
        <f>VLOOKUP($B437,[1]DG!A:D,[1]DG!$C$2,)</f>
        <v>Cổ dê kẹp ống PVC Ø 114</v>
      </c>
      <c r="G437" s="88" t="str">
        <f>VLOOKUP($B437,[1]DG!A:D,[1]DG!$D$2,)</f>
        <v>bộ</v>
      </c>
      <c r="H437" s="94">
        <f>3*H427</f>
        <v>0</v>
      </c>
      <c r="I437" s="91">
        <f t="shared" si="24"/>
        <v>0</v>
      </c>
      <c r="J437" s="92"/>
      <c r="K437" s="92"/>
      <c r="L437" s="117"/>
      <c r="M437" s="56">
        <v>75</v>
      </c>
    </row>
    <row r="438" spans="1:13" s="51" customFormat="1" ht="25.2" hidden="1" customHeight="1">
      <c r="A438" s="68">
        <f t="shared" si="23"/>
        <v>0</v>
      </c>
      <c r="B438" s="86" t="s">
        <v>88</v>
      </c>
      <c r="C438" s="86"/>
      <c r="D438" s="96"/>
      <c r="E438" s="88">
        <f>VLOOKUP($B438,[1]DG!A:D,[1]DG!$B$2,)</f>
        <v>0</v>
      </c>
      <c r="F438" s="89" t="str">
        <f>VLOOKUP($B438,[1]DG!A:D,[1]DG!$C$2,)</f>
        <v>Boulon 12x40+ 2 long đền vuông D14-50x50x3/Zn</v>
      </c>
      <c r="G438" s="88" t="str">
        <f>VLOOKUP($B438,[1]DG!A:D,[1]DG!$D$2,)</f>
        <v>bộ</v>
      </c>
      <c r="H438" s="94">
        <f>H439*4*0</f>
        <v>0</v>
      </c>
      <c r="I438" s="91">
        <f t="shared" si="24"/>
        <v>0</v>
      </c>
      <c r="J438" s="92"/>
      <c r="K438" s="92"/>
      <c r="L438" s="117"/>
      <c r="M438" s="56">
        <v>75</v>
      </c>
    </row>
    <row r="439" spans="1:13" s="51" customFormat="1" ht="25.2" hidden="1" customHeight="1">
      <c r="A439" s="68">
        <f t="shared" si="23"/>
        <v>0</v>
      </c>
      <c r="B439" s="86" t="s">
        <v>87</v>
      </c>
      <c r="C439" s="86"/>
      <c r="D439" s="96"/>
      <c r="E439" s="88" t="str">
        <f>VLOOKUP($B439,[1]DG!A:D,[1]DG!$B$2,)</f>
        <v>06.2110</v>
      </c>
      <c r="F439" s="89" t="str">
        <f>VLOOKUP($B439,[1]DG!A:D,[1]DG!$C$2,)</f>
        <v>Lắp cổ dề</v>
      </c>
      <c r="G439" s="88" t="str">
        <f>VLOOKUP($B439,[1]DG!A:D,[1]DG!$D$2,)</f>
        <v>bộ</v>
      </c>
      <c r="H439" s="94">
        <f>H427*3</f>
        <v>0</v>
      </c>
      <c r="I439" s="91">
        <f t="shared" si="24"/>
        <v>0</v>
      </c>
      <c r="J439" s="92"/>
      <c r="K439" s="92"/>
      <c r="L439" s="117"/>
      <c r="M439" s="56">
        <v>75</v>
      </c>
    </row>
    <row r="440" spans="1:13" s="51" customFormat="1" ht="25.2" hidden="1" customHeight="1">
      <c r="A440" s="68">
        <f t="shared" si="23"/>
        <v>0</v>
      </c>
      <c r="B440" s="69" t="s">
        <v>146</v>
      </c>
      <c r="C440" s="69"/>
      <c r="D440" s="96"/>
      <c r="E440" s="88">
        <f>VLOOKUP($B440,[1]DG!A:D,[1]DG!$B$2,)</f>
        <v>0</v>
      </c>
      <c r="F440" s="89" t="str">
        <f>VLOOKUP($B440,[1]DG!A:D,[1]DG!$C$2,)</f>
        <v>Co  90 độ PVC 114</v>
      </c>
      <c r="G440" s="88" t="str">
        <f>VLOOKUP($B440,[1]DG!A:D,[1]DG!$D$2,)</f>
        <v>cái</v>
      </c>
      <c r="H440" s="94">
        <f>2*H427</f>
        <v>0</v>
      </c>
      <c r="I440" s="91">
        <f t="shared" si="24"/>
        <v>0</v>
      </c>
      <c r="J440" s="92"/>
      <c r="K440" s="92"/>
      <c r="L440" s="117"/>
      <c r="M440" s="56">
        <v>75</v>
      </c>
    </row>
    <row r="441" spans="1:13" s="51" customFormat="1" ht="25.2" hidden="1" customHeight="1">
      <c r="A441" s="68">
        <f t="shared" si="23"/>
        <v>0</v>
      </c>
      <c r="B441" s="69" t="s">
        <v>147</v>
      </c>
      <c r="C441" s="69"/>
      <c r="D441" s="96"/>
      <c r="E441" s="88">
        <f>VLOOKUP($B441,[1]DG!A:D,[1]DG!$B$2,)</f>
        <v>0</v>
      </c>
      <c r="F441" s="89" t="str">
        <f>VLOOKUP($B441,[1]DG!A:D,[1]DG!$C$2,)</f>
        <v>Nối ống PVC 114</v>
      </c>
      <c r="G441" s="88" t="str">
        <f>VLOOKUP($B441,[1]DG!A:D,[1]DG!$D$2,)</f>
        <v>cái</v>
      </c>
      <c r="H441" s="94">
        <f>H427</f>
        <v>0</v>
      </c>
      <c r="I441" s="91">
        <f t="shared" si="24"/>
        <v>0</v>
      </c>
      <c r="J441" s="92"/>
      <c r="K441" s="92"/>
      <c r="L441" s="117"/>
      <c r="M441" s="56">
        <v>75</v>
      </c>
    </row>
    <row r="442" spans="1:13" s="51" customFormat="1" ht="25.2" hidden="1" customHeight="1">
      <c r="A442" s="68">
        <f t="shared" si="23"/>
        <v>0</v>
      </c>
      <c r="B442" s="69" t="s">
        <v>217</v>
      </c>
      <c r="C442" s="69"/>
      <c r="D442" s="96"/>
      <c r="E442" s="88">
        <f>VLOOKUP($B442,[1]DG!A:D,[1]DG!$B$2,)</f>
        <v>0</v>
      </c>
      <c r="F442" s="89" t="str">
        <f>VLOOKUP($B442,[1]DG!A:D,[1]DG!$C$2,)</f>
        <v>Khâu ven răng trong D114</v>
      </c>
      <c r="G442" s="88" t="str">
        <f>VLOOKUP($B442,[1]DG!A:D,[1]DG!$D$2,)</f>
        <v>cái</v>
      </c>
      <c r="H442" s="94">
        <f>H441*0</f>
        <v>0</v>
      </c>
      <c r="I442" s="91">
        <f t="shared" si="24"/>
        <v>0</v>
      </c>
      <c r="J442" s="92"/>
      <c r="K442" s="92"/>
      <c r="L442" s="117"/>
      <c r="M442" s="56">
        <v>75</v>
      </c>
    </row>
    <row r="443" spans="1:13" s="51" customFormat="1" ht="25.2" hidden="1" customHeight="1">
      <c r="A443" s="68">
        <f t="shared" si="23"/>
        <v>0</v>
      </c>
      <c r="B443" s="69" t="s">
        <v>218</v>
      </c>
      <c r="C443" s="69"/>
      <c r="D443" s="96"/>
      <c r="E443" s="88">
        <f>VLOOKUP($B443,[1]DG!A:D,[1]DG!$B$2,)</f>
        <v>0</v>
      </c>
      <c r="F443" s="89" t="str">
        <f>VLOOKUP($B443,[1]DG!A:D,[1]DG!$C$2,)</f>
        <v>Khâu ven răng ngoài D114</v>
      </c>
      <c r="G443" s="88" t="str">
        <f>VLOOKUP($B443,[1]DG!A:D,[1]DG!$D$2,)</f>
        <v>cái</v>
      </c>
      <c r="H443" s="94">
        <f>H442*0</f>
        <v>0</v>
      </c>
      <c r="I443" s="91">
        <f t="shared" si="24"/>
        <v>0</v>
      </c>
      <c r="J443" s="92"/>
      <c r="K443" s="92"/>
      <c r="L443" s="117"/>
      <c r="M443" s="56">
        <v>75</v>
      </c>
    </row>
    <row r="444" spans="1:13" s="51" customFormat="1" ht="25.2" hidden="1" customHeight="1">
      <c r="A444" s="68">
        <f t="shared" si="23"/>
        <v>0</v>
      </c>
      <c r="B444" s="69" t="s">
        <v>114</v>
      </c>
      <c r="C444" s="69"/>
      <c r="D444" s="96"/>
      <c r="E444" s="88">
        <f>VLOOKUP($B444,[1]DG!A:D,[1]DG!$B$2,)</f>
        <v>0</v>
      </c>
      <c r="F444" s="89" t="str">
        <f>VLOOKUP($B444,[1]DG!A:D,[1]DG!$C$2,)</f>
        <v>Keo dán ống PVC (100gr)</v>
      </c>
      <c r="G444" s="88" t="str">
        <f>VLOOKUP($B444,[1]DG!A:D,[1]DG!$D$2,)</f>
        <v>tuýp</v>
      </c>
      <c r="H444" s="94">
        <f>H427</f>
        <v>0</v>
      </c>
      <c r="I444" s="91">
        <f t="shared" si="24"/>
        <v>0</v>
      </c>
      <c r="J444" s="92"/>
      <c r="K444" s="92"/>
      <c r="L444" s="117"/>
      <c r="M444" s="56">
        <v>75</v>
      </c>
    </row>
    <row r="445" spans="1:13" s="51" customFormat="1" ht="25.2" hidden="1" customHeight="1">
      <c r="A445" s="68">
        <f t="shared" si="23"/>
        <v>0</v>
      </c>
      <c r="B445" s="69" t="s">
        <v>115</v>
      </c>
      <c r="C445" s="69"/>
      <c r="D445" s="96"/>
      <c r="E445" s="88">
        <f>VLOOKUP($B445,[1]DG!A:D,[1]DG!$B$2,)</f>
        <v>0</v>
      </c>
      <c r="F445" s="89" t="str">
        <f>VLOOKUP($B445,[1]DG!A:D,[1]DG!$C$2,)</f>
        <v>Keo silicon bít miệng ống</v>
      </c>
      <c r="G445" s="88" t="str">
        <f>VLOOKUP($B445,[1]DG!A:D,[1]DG!$D$2,)</f>
        <v>ống</v>
      </c>
      <c r="H445" s="94">
        <f>H427</f>
        <v>0</v>
      </c>
      <c r="I445" s="91">
        <f t="shared" si="24"/>
        <v>0</v>
      </c>
      <c r="J445" s="92"/>
      <c r="K445" s="92"/>
      <c r="L445" s="117"/>
      <c r="M445" s="56">
        <v>75</v>
      </c>
    </row>
    <row r="446" spans="1:13" s="51" customFormat="1" ht="25.2" hidden="1" customHeight="1">
      <c r="A446" s="68">
        <f t="shared" si="23"/>
        <v>0</v>
      </c>
      <c r="B446" s="86" t="s">
        <v>148</v>
      </c>
      <c r="C446" s="86"/>
      <c r="D446" s="96"/>
      <c r="E446" s="116"/>
      <c r="F446" s="89" t="str">
        <f>VLOOKUP($B446,[1]DG!A:D,[1]DG!$C$2,)</f>
        <v>Băng keo cách điện</v>
      </c>
      <c r="G446" s="88" t="str">
        <f>VLOOKUP($B446,[1]DG!A:D,[1]DG!$D$2,)</f>
        <v>cuộn</v>
      </c>
      <c r="H446" s="94">
        <f>H427</f>
        <v>0</v>
      </c>
      <c r="I446" s="91">
        <f t="shared" si="24"/>
        <v>0</v>
      </c>
      <c r="J446" s="92"/>
      <c r="K446" s="92"/>
      <c r="L446" s="117"/>
      <c r="M446" s="56">
        <v>75</v>
      </c>
    </row>
    <row r="447" spans="1:13" s="51" customFormat="1" ht="25.2" hidden="1" customHeight="1">
      <c r="A447" s="68">
        <f t="shared" si="23"/>
        <v>0</v>
      </c>
      <c r="B447" s="69" t="s">
        <v>200</v>
      </c>
      <c r="C447" s="69"/>
      <c r="D447" s="96"/>
      <c r="E447" s="88" t="str">
        <f>VLOOKUP($B447,[1]DG!A:D,[1]DG!$B$2,)</f>
        <v>07,2407</v>
      </c>
      <c r="F447" s="89" t="str">
        <f>VLOOKUP($B447,[1]DG!A:D,[1]DG!$C$2,)</f>
        <v>Lắp ống nhựa PVC D114</v>
      </c>
      <c r="G447" s="88" t="str">
        <f>VLOOKUP($B447,[1]DG!A:D,[1]DG!$D$2,)</f>
        <v>mét</v>
      </c>
      <c r="H447" s="94">
        <f>H436</f>
        <v>0</v>
      </c>
      <c r="I447" s="91">
        <f t="shared" si="24"/>
        <v>0</v>
      </c>
      <c r="J447" s="92"/>
      <c r="K447" s="92"/>
      <c r="L447" s="117"/>
      <c r="M447" s="56">
        <v>75</v>
      </c>
    </row>
    <row r="448" spans="1:13" s="51" customFormat="1" ht="25.2" hidden="1" customHeight="1">
      <c r="A448" s="68">
        <f t="shared" si="23"/>
        <v>0</v>
      </c>
      <c r="B448" s="86" t="s">
        <v>101</v>
      </c>
      <c r="C448" s="86"/>
      <c r="D448" s="96"/>
      <c r="E448" s="88" t="str">
        <f>VLOOKUP($B448,[1]DG!A:D,[1]DG!$B$2,)</f>
        <v>04.4201</v>
      </c>
      <c r="F448" s="89" t="str">
        <f>VLOOKUP($B448,[1]DG!A:D,[1]DG!$C$2,)</f>
        <v>Lắp cáp đồng xuống thiết bị D ≤ 95mm2</v>
      </c>
      <c r="G448" s="88" t="str">
        <f>VLOOKUP($B448,[1]DG!A:D,[1]DG!$D$2,)</f>
        <v>m</v>
      </c>
      <c r="H448" s="94">
        <f>H429+H430</f>
        <v>0</v>
      </c>
      <c r="I448" s="91">
        <f t="shared" si="24"/>
        <v>0</v>
      </c>
      <c r="J448" s="92"/>
      <c r="K448" s="92"/>
      <c r="L448" s="117"/>
      <c r="M448" s="56">
        <v>75</v>
      </c>
    </row>
    <row r="449" spans="1:14" s="51" customFormat="1" ht="25.2" hidden="1" customHeight="1">
      <c r="A449" s="68">
        <f t="shared" si="23"/>
        <v>0</v>
      </c>
      <c r="B449" s="69" t="s">
        <v>117</v>
      </c>
      <c r="C449" s="69"/>
      <c r="D449" s="118">
        <f>IF(H449&gt;0,D427+1,D427)</f>
        <v>0</v>
      </c>
      <c r="E449" s="119"/>
      <c r="F449" s="89" t="str">
        <f>VLOOKUP($B449,[1]DG!A:D,[1]DG!$C$2,)</f>
        <v>Bảng tên trạm, bảng báo nguy hiểm + đinh vít</v>
      </c>
      <c r="G449" s="88" t="str">
        <f>VLOOKUP($B449,[1]DG!A:D,[1]DG!$D$2,)</f>
        <v>bộ</v>
      </c>
      <c r="H449" s="120">
        <f>H394</f>
        <v>0</v>
      </c>
      <c r="I449" s="91">
        <f t="shared" si="24"/>
        <v>0</v>
      </c>
      <c r="J449" s="92"/>
      <c r="K449" s="92"/>
      <c r="L449" s="141"/>
      <c r="M449" s="56">
        <v>75</v>
      </c>
    </row>
    <row r="450" spans="1:14" s="51" customFormat="1" ht="25.2" hidden="1" customHeight="1">
      <c r="A450" s="68">
        <f t="shared" si="23"/>
        <v>0</v>
      </c>
      <c r="B450" s="69"/>
      <c r="C450" s="69"/>
      <c r="D450" s="122"/>
      <c r="E450" s="123"/>
      <c r="F450" s="107"/>
      <c r="G450" s="124"/>
      <c r="H450" s="125"/>
      <c r="I450" s="91">
        <f t="shared" si="24"/>
        <v>0</v>
      </c>
      <c r="J450" s="126"/>
      <c r="K450" s="127"/>
      <c r="L450" s="133"/>
      <c r="M450" s="56"/>
    </row>
    <row r="451" spans="1:14" s="51" customFormat="1" ht="25.2" hidden="1" customHeight="1">
      <c r="A451" s="68">
        <f t="shared" si="23"/>
        <v>0</v>
      </c>
      <c r="B451" s="69"/>
      <c r="C451" s="69"/>
      <c r="D451" s="128"/>
      <c r="E451" s="169"/>
      <c r="F451" s="170"/>
      <c r="H451" s="66"/>
      <c r="I451" s="91">
        <f t="shared" si="24"/>
        <v>0</v>
      </c>
      <c r="M451" s="56"/>
    </row>
    <row r="452" spans="1:14" s="51" customFormat="1" ht="25.2" hidden="1" customHeight="1">
      <c r="A452" s="68">
        <f t="shared" si="23"/>
        <v>0</v>
      </c>
      <c r="B452" s="52"/>
      <c r="C452" s="52"/>
      <c r="D452" s="147" t="str">
        <f>"BAÛNG TOÅNG HÔÏP VAÄT LIEÄU, NHAÂN COÂNG, MAÙY THI COÂNG : "&amp;I11&amp;   "TRAÏM_1P100KVA  CAÙP XUAÁT 1P 2W"</f>
        <v>BAÛNG TOÅNG HÔÏP VAÄT LIEÄU, NHAÂN COÂNG, MAÙY THI COÂNG : TRAÏM_1P100KVA  CAÙP XUAÁT 1P 2W</v>
      </c>
      <c r="E452" s="130"/>
      <c r="F452" s="131"/>
      <c r="G452" s="131"/>
      <c r="H452" s="132"/>
      <c r="I452" s="91">
        <f t="shared" si="24"/>
        <v>0</v>
      </c>
      <c r="J452" s="131"/>
      <c r="K452" s="131"/>
      <c r="L452" s="56"/>
      <c r="M452" s="56"/>
    </row>
    <row r="453" spans="1:14" s="51" customFormat="1" ht="25.2" hidden="1" customHeight="1">
      <c r="A453" s="68">
        <f t="shared" si="23"/>
        <v>0</v>
      </c>
      <c r="B453" s="69"/>
      <c r="C453" s="69"/>
      <c r="D453" s="79"/>
      <c r="E453" s="80"/>
      <c r="F453" s="107" t="s">
        <v>53</v>
      </c>
      <c r="G453" s="82"/>
      <c r="H453" s="83"/>
      <c r="I453" s="91">
        <f t="shared" si="24"/>
        <v>0</v>
      </c>
      <c r="J453" s="82"/>
      <c r="K453" s="82"/>
      <c r="L453" s="133"/>
      <c r="M453" s="56">
        <v>100</v>
      </c>
    </row>
    <row r="454" spans="1:14" s="51" customFormat="1" ht="25.2" hidden="1" customHeight="1">
      <c r="A454" s="68">
        <f t="shared" si="23"/>
        <v>0</v>
      </c>
      <c r="B454" s="86" t="s">
        <v>219</v>
      </c>
      <c r="C454" s="86"/>
      <c r="D454" s="87">
        <f>IF(H454&gt;0,1,0)</f>
        <v>0</v>
      </c>
      <c r="E454" s="88" t="str">
        <f>VLOOKUP($B454,[1]DG!A:D,[1]DG!$B$2,)</f>
        <v>01.1164</v>
      </c>
      <c r="F454" s="89" t="str">
        <f>VLOOKUP($B454,[1]DG!A:D,[1]DG!$C$2,)</f>
        <v>Máy biến áp 12,7/0,22-0,44kV  100kVA</v>
      </c>
      <c r="G454" s="88" t="str">
        <f>VLOOKUP($B454,[1]DG!A:D,[1]DG!$D$2,)</f>
        <v>máy</v>
      </c>
      <c r="H454" s="134">
        <f>I11</f>
        <v>0</v>
      </c>
      <c r="I454" s="91">
        <f t="shared" si="24"/>
        <v>0</v>
      </c>
      <c r="J454" s="92"/>
      <c r="K454" s="92"/>
      <c r="L454" s="117"/>
      <c r="M454" s="56">
        <v>100</v>
      </c>
    </row>
    <row r="455" spans="1:14" s="51" customFormat="1" ht="25.2" hidden="1" customHeight="1">
      <c r="A455" s="68">
        <f t="shared" si="23"/>
        <v>0</v>
      </c>
      <c r="B455" s="86" t="s">
        <v>56</v>
      </c>
      <c r="C455" s="86"/>
      <c r="D455" s="87">
        <f t="shared" ref="D455:D462" si="25">IF(H455&gt;0,D454+1,D454)</f>
        <v>0</v>
      </c>
      <c r="E455" s="88" t="str">
        <f>VLOOKUP($B455,[1]DG!A:D,[1]DG!$B$2,)</f>
        <v>02.3155</v>
      </c>
      <c r="F455" s="89" t="str">
        <f>VLOOKUP($B455,[1]DG!A:D,[1]DG!$C$2,)</f>
        <v>FCO 27kV - 100A</v>
      </c>
      <c r="G455" s="88" t="str">
        <f>VLOOKUP($B455,[1]DG!A:D,[1]DG!$D$2,)</f>
        <v>cái</v>
      </c>
      <c r="H455" s="94">
        <f>H454</f>
        <v>0</v>
      </c>
      <c r="I455" s="91">
        <f t="shared" si="24"/>
        <v>0</v>
      </c>
      <c r="J455" s="92"/>
      <c r="K455" s="92"/>
      <c r="L455" s="117"/>
      <c r="M455" s="56">
        <v>100</v>
      </c>
    </row>
    <row r="456" spans="1:14" s="51" customFormat="1" ht="25.2" hidden="1" customHeight="1">
      <c r="A456" s="68">
        <f t="shared" si="23"/>
        <v>0</v>
      </c>
      <c r="B456" s="86" t="s">
        <v>177</v>
      </c>
      <c r="C456" s="86"/>
      <c r="D456" s="87">
        <f t="shared" si="25"/>
        <v>0</v>
      </c>
      <c r="E456" s="88">
        <f>VLOOKUP($B456,[1]DG!A:D,[1]DG!$B$2,)</f>
        <v>0</v>
      </c>
      <c r="F456" s="89" t="str">
        <f>VLOOKUP($B456,[1]DG!A:D,[1]DG!$C$2,)</f>
        <v>Dây chảy 10K</v>
      </c>
      <c r="G456" s="88" t="str">
        <f>VLOOKUP($B456,[1]DG!A:D,[1]DG!$D$2,)</f>
        <v>Sợi</v>
      </c>
      <c r="H456" s="94">
        <f>H455</f>
        <v>0</v>
      </c>
      <c r="I456" s="91">
        <f t="shared" si="24"/>
        <v>0</v>
      </c>
      <c r="J456" s="92"/>
      <c r="K456" s="92"/>
      <c r="L456" s="117"/>
      <c r="M456" s="56">
        <v>100</v>
      </c>
    </row>
    <row r="457" spans="1:14" s="51" customFormat="1" ht="25.2" hidden="1" customHeight="1">
      <c r="A457" s="68">
        <f t="shared" si="23"/>
        <v>0</v>
      </c>
      <c r="B457" s="52" t="s">
        <v>58</v>
      </c>
      <c r="C457" s="52"/>
      <c r="D457" s="87">
        <f t="shared" si="25"/>
        <v>0</v>
      </c>
      <c r="E457" s="88" t="str">
        <f>VLOOKUP($B457,[1]DG!A:D,[1]DG!$B$2,)</f>
        <v>02.5114</v>
      </c>
      <c r="F457" s="89" t="str">
        <f>VLOOKUP($B457,[1]DG!A:D,[1]DG!$C$2,)</f>
        <v>Chống sét van LA-18KV-10KA</v>
      </c>
      <c r="G457" s="88" t="str">
        <f>VLOOKUP($B457,[1]DG!A:D,[1]DG!$D$2,)</f>
        <v>cái</v>
      </c>
      <c r="H457" s="94">
        <f>H456</f>
        <v>0</v>
      </c>
      <c r="I457" s="91">
        <f t="shared" si="24"/>
        <v>0</v>
      </c>
      <c r="J457" s="92"/>
      <c r="K457" s="92"/>
      <c r="L457" s="117"/>
      <c r="M457" s="56">
        <v>100</v>
      </c>
    </row>
    <row r="458" spans="1:14" s="51" customFormat="1" ht="25.2" hidden="1" customHeight="1">
      <c r="A458" s="68">
        <f t="shared" si="23"/>
        <v>0</v>
      </c>
      <c r="B458" s="98" t="s">
        <v>169</v>
      </c>
      <c r="C458" s="98"/>
      <c r="D458" s="87">
        <f t="shared" si="25"/>
        <v>0</v>
      </c>
      <c r="E458" s="88">
        <f>VLOOKUP($B458,[1]DG!A:D,[1]DG!$B$2,)</f>
        <v>0</v>
      </c>
      <c r="F458" s="89" t="str">
        <f>VLOOKUP($B458,[1]DG!A:D,[1]DG!$C$2,)</f>
        <v xml:space="preserve">Biến dòng 600V - 200/5A </v>
      </c>
      <c r="G458" s="88" t="str">
        <f>VLOOKUP($B458,[1]DG!A:D,[1]DG!$D$2,)</f>
        <v>cái</v>
      </c>
      <c r="H458" s="94"/>
      <c r="I458" s="91">
        <f t="shared" si="24"/>
        <v>0</v>
      </c>
      <c r="J458" s="92"/>
      <c r="K458" s="92"/>
      <c r="L458" s="117"/>
      <c r="M458" s="56">
        <v>100</v>
      </c>
    </row>
    <row r="459" spans="1:14" s="51" customFormat="1" ht="25.2" hidden="1" customHeight="1">
      <c r="A459" s="68">
        <f t="shared" si="23"/>
        <v>0</v>
      </c>
      <c r="B459" s="98" t="s">
        <v>220</v>
      </c>
      <c r="C459" s="98"/>
      <c r="D459" s="87">
        <f t="shared" si="25"/>
        <v>0</v>
      </c>
      <c r="E459" s="88" t="str">
        <f>VLOOKUP($B459,[1]DG!A:D,[1]DG!$B$2,)</f>
        <v>02.8403</v>
      </c>
      <c r="F459" s="89" t="str">
        <f>VLOOKUP($B459,[1]DG!A:D,[1]DG!$C$2,)</f>
        <v>MCCB 3 cực 400V -500A - 50KA</v>
      </c>
      <c r="G459" s="88" t="str">
        <f>VLOOKUP($B459,[1]DG!A:D,[1]DG!$D$2,)</f>
        <v>cái</v>
      </c>
      <c r="H459" s="94">
        <f>H454</f>
        <v>0</v>
      </c>
      <c r="I459" s="91">
        <f t="shared" si="24"/>
        <v>0</v>
      </c>
      <c r="J459" s="92"/>
      <c r="K459" s="92"/>
      <c r="L459" s="96"/>
      <c r="M459" s="56">
        <v>100</v>
      </c>
    </row>
    <row r="460" spans="1:14" s="51" customFormat="1" ht="25.2" hidden="1" customHeight="1">
      <c r="A460" s="68">
        <f t="shared" si="23"/>
        <v>0</v>
      </c>
      <c r="B460" s="86" t="s">
        <v>152</v>
      </c>
      <c r="C460" s="86"/>
      <c r="D460" s="87">
        <f t="shared" si="25"/>
        <v>1</v>
      </c>
      <c r="E460" s="88">
        <f>VLOOKUP($B460,[1]DG!A:D,[1]DG!$B$2,)</f>
        <v>0</v>
      </c>
      <c r="F460" s="89" t="str">
        <f>VLOOKUP($B460,[1]DG!A:D,[1]DG!$C$2,)</f>
        <v>Điện kế 1 pha 2 dây 220V-5A</v>
      </c>
      <c r="G460" s="88" t="str">
        <f>VLOOKUP($B460,[1]DG!A:D,[1]DG!$D$2,)</f>
        <v>cái</v>
      </c>
      <c r="H460" s="94">
        <v>1</v>
      </c>
      <c r="I460" s="91">
        <f t="shared" si="24"/>
        <v>0</v>
      </c>
      <c r="J460" s="92"/>
      <c r="K460" s="92"/>
      <c r="L460" s="96" t="s">
        <v>61</v>
      </c>
      <c r="M460" s="56">
        <v>100</v>
      </c>
      <c r="N460" s="51">
        <f>100/0.2</f>
        <v>500</v>
      </c>
    </row>
    <row r="461" spans="1:14" s="51" customFormat="1" ht="25.2" hidden="1" customHeight="1">
      <c r="A461" s="68">
        <f t="shared" si="23"/>
        <v>0</v>
      </c>
      <c r="B461" s="69" t="s">
        <v>62</v>
      </c>
      <c r="C461" s="69"/>
      <c r="D461" s="87">
        <f t="shared" si="25"/>
        <v>1</v>
      </c>
      <c r="E461" s="88">
        <f>VLOOKUP($B461,[1]DG!A:D,[1]DG!$B$2,)</f>
        <v>0</v>
      </c>
      <c r="F461" s="89" t="str">
        <f>VLOOKUP($B461,[1]DG!A:D,[1]DG!$C$2,)</f>
        <v xml:space="preserve">Ampe kế 100/5A-600v +AS </v>
      </c>
      <c r="G461" s="88" t="str">
        <f>VLOOKUP($B461,[1]DG!A:D,[1]DG!$D$2,)</f>
        <v>Bộ</v>
      </c>
      <c r="H461" s="94">
        <f>H460*0</f>
        <v>0</v>
      </c>
      <c r="I461" s="91">
        <f t="shared" si="24"/>
        <v>0</v>
      </c>
      <c r="J461" s="92"/>
      <c r="K461" s="92"/>
      <c r="L461" s="117"/>
      <c r="M461" s="56">
        <v>100</v>
      </c>
    </row>
    <row r="462" spans="1:14" s="51" customFormat="1" ht="25.2" hidden="1" customHeight="1">
      <c r="A462" s="68">
        <f t="shared" si="23"/>
        <v>0</v>
      </c>
      <c r="B462" s="69" t="s">
        <v>63</v>
      </c>
      <c r="C462" s="69"/>
      <c r="D462" s="87">
        <f t="shared" si="25"/>
        <v>1</v>
      </c>
      <c r="E462" s="88">
        <f>VLOOKUP($B462,[1]DG!A:D,[1]DG!$B$2,)</f>
        <v>0</v>
      </c>
      <c r="F462" s="89" t="str">
        <f>VLOOKUP($B462,[1]DG!A:D,[1]DG!$C$2,)</f>
        <v>Volt kế 500V + VS + 2xChì ống 1A-230V</v>
      </c>
      <c r="G462" s="88" t="str">
        <f>VLOOKUP($B462,[1]DG!A:D,[1]DG!$D$2,)</f>
        <v>Bộ</v>
      </c>
      <c r="H462" s="94">
        <f>H461*0</f>
        <v>0</v>
      </c>
      <c r="I462" s="91">
        <f t="shared" si="24"/>
        <v>0</v>
      </c>
      <c r="J462" s="92"/>
      <c r="K462" s="92"/>
      <c r="L462" s="141"/>
      <c r="M462" s="56">
        <v>100</v>
      </c>
    </row>
    <row r="463" spans="1:14" s="51" customFormat="1" ht="25.2" hidden="1" customHeight="1">
      <c r="A463" s="68">
        <f>IF(M463=$M$23,1,0)</f>
        <v>0</v>
      </c>
      <c r="B463" s="69"/>
      <c r="C463" s="69"/>
      <c r="D463" s="100"/>
      <c r="E463" s="101"/>
      <c r="F463" s="84"/>
      <c r="G463" s="100"/>
      <c r="H463" s="103"/>
      <c r="I463" s="91">
        <f t="shared" si="24"/>
        <v>0</v>
      </c>
      <c r="J463" s="84"/>
      <c r="K463" s="100"/>
      <c r="L463" s="133"/>
      <c r="M463" s="56">
        <v>100</v>
      </c>
    </row>
    <row r="464" spans="1:14" s="51" customFormat="1" ht="25.2" hidden="1" customHeight="1">
      <c r="A464" s="68">
        <f>IF(M464=$M$23,1,0)</f>
        <v>0</v>
      </c>
      <c r="B464" s="69"/>
      <c r="C464" s="69"/>
      <c r="D464" s="104"/>
      <c r="E464" s="105"/>
      <c r="F464" s="107" t="s">
        <v>64</v>
      </c>
      <c r="G464" s="107"/>
      <c r="H464" s="83"/>
      <c r="I464" s="91">
        <f t="shared" si="24"/>
        <v>0</v>
      </c>
      <c r="J464" s="107"/>
      <c r="K464" s="107"/>
      <c r="L464" s="133"/>
      <c r="M464" s="56">
        <v>100</v>
      </c>
    </row>
    <row r="465" spans="1:14" s="51" customFormat="1" ht="25.2" hidden="1" customHeight="1">
      <c r="A465" s="68">
        <f t="shared" si="23"/>
        <v>0</v>
      </c>
      <c r="B465" s="69" t="s">
        <v>65</v>
      </c>
      <c r="C465" s="69"/>
      <c r="D465" s="108">
        <f>IF(H477&gt;0,1,0)</f>
        <v>0</v>
      </c>
      <c r="E465" s="112"/>
      <c r="F465" s="89" t="str">
        <f>VLOOKUP($B465,[1]DG!A:D,[1]DG!$C$2,)</f>
        <v>Boulon 16x300+ 2 long đền vuông D18-50x50x3/Zn</v>
      </c>
      <c r="G465" s="88" t="str">
        <f>VLOOKUP($B465,[1]DG!A:D,[1]DG!$D$2,)</f>
        <v>bộ</v>
      </c>
      <c r="H465" s="110">
        <f>2*SUM(H454:H454)</f>
        <v>0</v>
      </c>
      <c r="I465" s="91">
        <f t="shared" si="24"/>
        <v>0</v>
      </c>
      <c r="J465" s="92"/>
      <c r="K465" s="92"/>
      <c r="L465" s="135"/>
      <c r="M465" s="56">
        <v>100</v>
      </c>
    </row>
    <row r="466" spans="1:14" s="51" customFormat="1" ht="25.2" hidden="1" customHeight="1">
      <c r="A466" s="68">
        <f t="shared" si="23"/>
        <v>0</v>
      </c>
      <c r="B466" s="69"/>
      <c r="C466" s="69"/>
      <c r="D466" s="111">
        <f>IF(H466&gt;0,D465+1,D465)</f>
        <v>0</v>
      </c>
      <c r="E466" s="112"/>
      <c r="F466" s="113" t="s">
        <v>66</v>
      </c>
      <c r="G466" s="114" t="s">
        <v>67</v>
      </c>
      <c r="H466" s="110">
        <f>H454*0</f>
        <v>0</v>
      </c>
      <c r="I466" s="91">
        <f t="shared" si="24"/>
        <v>0</v>
      </c>
      <c r="J466" s="95"/>
      <c r="K466" s="95"/>
      <c r="L466" s="96"/>
      <c r="M466" s="56">
        <v>100</v>
      </c>
    </row>
    <row r="467" spans="1:14" s="51" customFormat="1" ht="25.2" hidden="1" customHeight="1">
      <c r="A467" s="68">
        <f>IF(A466&gt;0,1,0)</f>
        <v>0</v>
      </c>
      <c r="B467" s="69"/>
      <c r="C467" s="69"/>
      <c r="D467" s="114"/>
      <c r="E467" s="112"/>
      <c r="F467" s="115" t="s">
        <v>68</v>
      </c>
      <c r="G467" s="96"/>
      <c r="H467" s="94"/>
      <c r="I467" s="91">
        <f t="shared" si="24"/>
        <v>0</v>
      </c>
      <c r="J467" s="95"/>
      <c r="K467" s="95"/>
      <c r="L467" s="96"/>
      <c r="M467" s="56">
        <v>100</v>
      </c>
      <c r="N467" s="56"/>
    </row>
    <row r="468" spans="1:14" s="51" customFormat="1" ht="25.2" hidden="1" customHeight="1">
      <c r="A468" s="68">
        <f t="shared" si="23"/>
        <v>0</v>
      </c>
      <c r="B468" s="86" t="s">
        <v>69</v>
      </c>
      <c r="C468" s="86"/>
      <c r="D468" s="96"/>
      <c r="E468" s="88">
        <f>VLOOKUP($B468,[1]DG!A:D,[1]DG!$B$2,)</f>
        <v>0</v>
      </c>
      <c r="F468" s="89" t="str">
        <f>VLOOKUP($B468,[1]DG!A:D,[1]DG!$C$2,)</f>
        <v>Trụ BTLT 12m F350 dự ứng lực</v>
      </c>
      <c r="G468" s="88" t="str">
        <f>VLOOKUP($B468,[1]DG!A:D,[1]DG!$D$2,)</f>
        <v>trụ</v>
      </c>
      <c r="H468" s="94">
        <f>1*H466</f>
        <v>0</v>
      </c>
      <c r="I468" s="91">
        <f t="shared" si="24"/>
        <v>0</v>
      </c>
      <c r="J468" s="92"/>
      <c r="K468" s="92"/>
      <c r="L468" s="96"/>
      <c r="M468" s="56">
        <v>100</v>
      </c>
      <c r="N468" s="56"/>
    </row>
    <row r="469" spans="1:14" s="51" customFormat="1" ht="25.2" hidden="1" customHeight="1">
      <c r="A469" s="68">
        <f t="shared" si="23"/>
        <v>0</v>
      </c>
      <c r="B469" s="86" t="s">
        <v>70</v>
      </c>
      <c r="C469" s="86"/>
      <c r="D469" s="96"/>
      <c r="E469" s="116"/>
      <c r="F469" s="89" t="str">
        <f>VLOOKUP($B469,[1]DG!A:D,[1]DG!$C$2,)</f>
        <v>Vật liệu dựng trụ</v>
      </c>
      <c r="G469" s="88" t="str">
        <f>VLOOKUP($B469,[1]DG!A:D,[1]DG!$D$2,)</f>
        <v>trụ</v>
      </c>
      <c r="H469" s="94">
        <f>H468</f>
        <v>0</v>
      </c>
      <c r="I469" s="91">
        <f t="shared" si="24"/>
        <v>0</v>
      </c>
      <c r="J469" s="92"/>
      <c r="K469" s="92"/>
      <c r="L469" s="96"/>
      <c r="M469" s="56">
        <v>100</v>
      </c>
      <c r="N469" s="56"/>
    </row>
    <row r="470" spans="1:14" s="51" customFormat="1" ht="25.2" hidden="1" customHeight="1">
      <c r="A470" s="68">
        <f t="shared" si="23"/>
        <v>0</v>
      </c>
      <c r="B470" s="86" t="s">
        <v>71</v>
      </c>
      <c r="C470" s="86"/>
      <c r="D470" s="96"/>
      <c r="E470" s="116"/>
      <c r="F470" s="89" t="str">
        <f>VLOOKUP($B470,[1]DG!A:D,[1]DG!$C$2,)</f>
        <v>Dựng trụ BTLT 12m trong TBA bằng thủ công + cơ giới</v>
      </c>
      <c r="G470" s="88" t="str">
        <f>VLOOKUP($B470,[1]DG!A:D,[1]DG!$D$2,)</f>
        <v>trụ</v>
      </c>
      <c r="H470" s="94">
        <f>H468</f>
        <v>0</v>
      </c>
      <c r="I470" s="91">
        <f t="shared" si="24"/>
        <v>0</v>
      </c>
      <c r="J470" s="92"/>
      <c r="K470" s="92"/>
      <c r="L470" s="96"/>
      <c r="M470" s="56">
        <v>100</v>
      </c>
      <c r="N470" s="56"/>
    </row>
    <row r="471" spans="1:14" s="51" customFormat="1" ht="25.2" hidden="1" customHeight="1">
      <c r="A471" s="68">
        <f t="shared" si="23"/>
        <v>0</v>
      </c>
      <c r="B471" s="69"/>
      <c r="C471" s="69"/>
      <c r="D471" s="111">
        <f>IF(H471&gt;0,D466+1,D466)</f>
        <v>0</v>
      </c>
      <c r="E471" s="112"/>
      <c r="F471" s="113" t="s">
        <v>72</v>
      </c>
      <c r="G471" s="114" t="s">
        <v>67</v>
      </c>
      <c r="H471" s="110">
        <f>H466</f>
        <v>0</v>
      </c>
      <c r="I471" s="91">
        <f t="shared" si="24"/>
        <v>0</v>
      </c>
      <c r="J471" s="95"/>
      <c r="K471" s="95"/>
      <c r="L471" s="96"/>
      <c r="M471" s="56">
        <v>100</v>
      </c>
    </row>
    <row r="472" spans="1:14" s="51" customFormat="1" ht="25.2" hidden="1" customHeight="1">
      <c r="A472" s="68">
        <f>IF(A471&gt;0,1,0)</f>
        <v>0</v>
      </c>
      <c r="B472" s="69"/>
      <c r="C472" s="69"/>
      <c r="D472" s="114"/>
      <c r="E472" s="112"/>
      <c r="F472" s="115" t="s">
        <v>68</v>
      </c>
      <c r="G472" s="96"/>
      <c r="H472" s="94"/>
      <c r="I472" s="91">
        <f t="shared" si="24"/>
        <v>0</v>
      </c>
      <c r="J472" s="95"/>
      <c r="K472" s="95"/>
      <c r="L472" s="96"/>
      <c r="M472" s="56">
        <v>100</v>
      </c>
      <c r="N472" s="56"/>
    </row>
    <row r="473" spans="1:14" s="51" customFormat="1" ht="25.2" hidden="1" customHeight="1">
      <c r="A473" s="68">
        <f t="shared" si="23"/>
        <v>0</v>
      </c>
      <c r="B473" s="86" t="s">
        <v>73</v>
      </c>
      <c r="C473" s="86"/>
      <c r="D473" s="96"/>
      <c r="E473" s="88" t="str">
        <f>VLOOKUP($B473,[1]DG!A:D,[1]DG!$B$2,)</f>
        <v>04.4001</v>
      </c>
      <c r="F473" s="89" t="str">
        <f>VLOOKUP($B473,[1]DG!A:D,[1]DG!$C$2,)</f>
        <v>Đà cản BTCT 1,2m</v>
      </c>
      <c r="G473" s="88" t="str">
        <f>VLOOKUP($B473,[1]DG!A:D,[1]DG!$D$2,)</f>
        <v>cái</v>
      </c>
      <c r="H473" s="94">
        <f>1*H471</f>
        <v>0</v>
      </c>
      <c r="I473" s="91">
        <f t="shared" si="24"/>
        <v>0</v>
      </c>
      <c r="J473" s="92"/>
      <c r="K473" s="92"/>
      <c r="L473" s="96"/>
      <c r="M473" s="56">
        <v>100</v>
      </c>
      <c r="N473" s="56"/>
    </row>
    <row r="474" spans="1:14" s="51" customFormat="1" ht="25.2" hidden="1" customHeight="1">
      <c r="A474" s="68">
        <f t="shared" si="23"/>
        <v>0</v>
      </c>
      <c r="B474" s="86" t="s">
        <v>74</v>
      </c>
      <c r="C474" s="86"/>
      <c r="D474" s="96"/>
      <c r="E474" s="88">
        <f>VLOOKUP($B474,[1]DG!A:D,[1]DG!$B$2,)</f>
        <v>0</v>
      </c>
      <c r="F474" s="89" t="str">
        <f>VLOOKUP($B474,[1]DG!A:D,[1]DG!$C$2,)</f>
        <v>Boulon 22x650+ 2 long đền vuông D24-50x50x3/Zn</v>
      </c>
      <c r="G474" s="88" t="str">
        <f>VLOOKUP($B474,[1]DG!A:D,[1]DG!$D$2,)</f>
        <v>bộ</v>
      </c>
      <c r="H474" s="94">
        <f>H471</f>
        <v>0</v>
      </c>
      <c r="I474" s="91">
        <f t="shared" si="24"/>
        <v>0</v>
      </c>
      <c r="J474" s="92"/>
      <c r="K474" s="92"/>
      <c r="L474" s="96"/>
      <c r="M474" s="56">
        <v>100</v>
      </c>
      <c r="N474" s="56"/>
    </row>
    <row r="475" spans="1:14" s="51" customFormat="1" ht="25.2" hidden="1" customHeight="1">
      <c r="A475" s="68">
        <f t="shared" si="23"/>
        <v>0</v>
      </c>
      <c r="B475" s="86" t="str">
        <f>IF(chitiet!G5=1,"MDD1",IF(chitiet!G5=2,"MDD2",IF(chitiet!G5=3,"MDD3",IF(chitiet!G5=4,"MDD4"))))</f>
        <v>MDD3</v>
      </c>
      <c r="C475" s="86"/>
      <c r="D475" s="96"/>
      <c r="E475" s="88" t="str">
        <f>VLOOKUP($B475,[1]DG!A:D,[1]DG!$B$2,)</f>
        <v>03.1013</v>
      </c>
      <c r="F475" s="89" t="str">
        <f>VLOOKUP($B475,[1]DG!A:D,[1]DG!$C$2,)</f>
        <v>Đào hố móng đất cấp 3 sâu &gt;1m</v>
      </c>
      <c r="G475" s="88" t="str">
        <f>VLOOKUP($B475,[1]DG!A:D,[1]DG!$D$2,)</f>
        <v>m3</v>
      </c>
      <c r="H475" s="94">
        <f>H471*1.45</f>
        <v>0</v>
      </c>
      <c r="I475" s="91">
        <f t="shared" si="24"/>
        <v>0</v>
      </c>
      <c r="J475" s="92"/>
      <c r="K475" s="92"/>
      <c r="L475" s="96"/>
      <c r="M475" s="56">
        <v>100</v>
      </c>
      <c r="N475" s="56"/>
    </row>
    <row r="476" spans="1:14" s="51" customFormat="1" ht="25.2" hidden="1" customHeight="1">
      <c r="A476" s="68">
        <f t="shared" si="23"/>
        <v>0</v>
      </c>
      <c r="B476" s="86" t="str">
        <f>IF(chitiet!G5=1,"MDAP1",IF(chitiet!G5=2,"MDAP2",IF(chitiet!G5=3,"MDAP3",IF(chitiet!G5=4,"MDAP4"))))</f>
        <v>MDAP3</v>
      </c>
      <c r="C476" s="86"/>
      <c r="D476" s="96"/>
      <c r="E476" s="88" t="str">
        <f>VLOOKUP($B476,[1]DG!A:D,[1]DG!$B$2,)</f>
        <v>03.4113</v>
      </c>
      <c r="F476" s="89" t="str">
        <f>VLOOKUP($B476,[1]DG!A:D,[1]DG!$C$2,)</f>
        <v>Đắp đất hố móng, độ chặt k=0,95</v>
      </c>
      <c r="G476" s="88" t="str">
        <f>VLOOKUP($B476,[1]DG!A:D,[1]DG!$D$2,)</f>
        <v>m3</v>
      </c>
      <c r="H476" s="94">
        <f>H471*1.37</f>
        <v>0</v>
      </c>
      <c r="I476" s="91">
        <f t="shared" si="24"/>
        <v>0</v>
      </c>
      <c r="J476" s="92"/>
      <c r="K476" s="92"/>
      <c r="L476" s="96"/>
      <c r="M476" s="56">
        <v>100</v>
      </c>
      <c r="N476" s="56"/>
    </row>
    <row r="477" spans="1:14" s="51" customFormat="1" ht="25.2" hidden="1" customHeight="1">
      <c r="A477" s="68">
        <f t="shared" si="23"/>
        <v>0</v>
      </c>
      <c r="B477" s="69"/>
      <c r="C477" s="69"/>
      <c r="D477" s="111">
        <f>IF(H477&gt;0,D471+1,D471)</f>
        <v>0</v>
      </c>
      <c r="E477" s="112"/>
      <c r="F477" s="136" t="s">
        <v>77</v>
      </c>
      <c r="G477" s="114" t="s">
        <v>67</v>
      </c>
      <c r="H477" s="110">
        <f>SUM(H454:H454)</f>
        <v>0</v>
      </c>
      <c r="I477" s="91">
        <f t="shared" si="24"/>
        <v>0</v>
      </c>
      <c r="J477" s="92"/>
      <c r="K477" s="92"/>
      <c r="L477" s="117"/>
      <c r="M477" s="56">
        <v>100</v>
      </c>
    </row>
    <row r="478" spans="1:14" s="51" customFormat="1" ht="25.2" hidden="1" customHeight="1">
      <c r="A478" s="68">
        <f>IF(A477&gt;0,1,0)</f>
        <v>0</v>
      </c>
      <c r="B478" s="69"/>
      <c r="C478" s="69"/>
      <c r="D478" s="114"/>
      <c r="E478" s="112"/>
      <c r="F478" s="137" t="s">
        <v>68</v>
      </c>
      <c r="G478" s="96"/>
      <c r="H478" s="94"/>
      <c r="I478" s="91">
        <f t="shared" si="24"/>
        <v>0</v>
      </c>
      <c r="J478" s="92"/>
      <c r="K478" s="92"/>
      <c r="L478" s="117"/>
      <c r="M478" s="56">
        <v>100</v>
      </c>
    </row>
    <row r="479" spans="1:14" s="51" customFormat="1" ht="25.2" hidden="1" customHeight="1">
      <c r="A479" s="68">
        <f t="shared" ref="A479:A541" si="26">IF(I479&gt;0,1,0)</f>
        <v>0</v>
      </c>
      <c r="B479" s="69" t="s">
        <v>221</v>
      </c>
      <c r="C479" s="69"/>
      <c r="D479" s="96"/>
      <c r="E479" s="88">
        <f>VLOOKUP($B479,[1]DG!A:D,[1]DG!$B$2,)</f>
        <v>0</v>
      </c>
      <c r="F479" s="89" t="str">
        <f>VLOOKUP($B479,[1]DG!A:D,[1]DG!$C$2,)</f>
        <v>Xà composite 110x800x5</v>
      </c>
      <c r="G479" s="88" t="str">
        <f>VLOOKUP($B479,[1]DG!A:D,[1]DG!$D$2,)</f>
        <v>cái</v>
      </c>
      <c r="H479" s="94">
        <v>1</v>
      </c>
      <c r="I479" s="91">
        <f t="shared" si="24"/>
        <v>0</v>
      </c>
      <c r="J479" s="92"/>
      <c r="K479" s="92"/>
      <c r="L479" s="117"/>
      <c r="M479" s="56">
        <v>100</v>
      </c>
    </row>
    <row r="480" spans="1:14" s="51" customFormat="1" ht="25.2" hidden="1" customHeight="1">
      <c r="A480" s="68">
        <f t="shared" si="26"/>
        <v>0</v>
      </c>
      <c r="B480" s="69" t="s">
        <v>122</v>
      </c>
      <c r="C480" s="69"/>
      <c r="D480" s="96"/>
      <c r="E480" s="88">
        <f>VLOOKUP($B480,[1]DG!A:D,[1]DG!$B$2,)</f>
        <v>0</v>
      </c>
      <c r="F480" s="89" t="str">
        <f>VLOOKUP($B480,[1]DG!A:D,[1]DG!$C$2,)</f>
        <v>Thanh chống Composite 10x40x720</v>
      </c>
      <c r="G480" s="88" t="str">
        <f>VLOOKUP($B480,[1]DG!A:D,[1]DG!$D$2,)</f>
        <v>cái</v>
      </c>
      <c r="H480" s="94">
        <v>1</v>
      </c>
      <c r="I480" s="91">
        <f t="shared" si="24"/>
        <v>0</v>
      </c>
      <c r="J480" s="92"/>
      <c r="K480" s="92"/>
      <c r="L480" s="117"/>
      <c r="M480" s="56">
        <v>100</v>
      </c>
    </row>
    <row r="481" spans="1:13" s="51" customFormat="1" ht="25.2" hidden="1" customHeight="1">
      <c r="A481" s="68">
        <f t="shared" si="26"/>
        <v>0</v>
      </c>
      <c r="B481" s="69" t="s">
        <v>125</v>
      </c>
      <c r="C481" s="69"/>
      <c r="D481" s="96"/>
      <c r="E481" s="88">
        <f>VLOOKUP($B481,[1]DG!A:D,[1]DG!$B$2,)</f>
        <v>0</v>
      </c>
      <c r="F481" s="89" t="str">
        <f>VLOOKUP($B481,[1]DG!A:D,[1]DG!$C$2,)</f>
        <v>Bass LL bắt FCO, LA</v>
      </c>
      <c r="G481" s="88" t="str">
        <f>VLOOKUP($B481,[1]DG!A:D,[1]DG!$D$2,)</f>
        <v>bộ</v>
      </c>
      <c r="H481" s="94">
        <v>1</v>
      </c>
      <c r="I481" s="91">
        <f t="shared" si="24"/>
        <v>0</v>
      </c>
      <c r="J481" s="92"/>
      <c r="K481" s="92"/>
      <c r="L481" s="117"/>
      <c r="M481" s="56">
        <v>100</v>
      </c>
    </row>
    <row r="482" spans="1:13" s="51" customFormat="1" ht="25.2" hidden="1" customHeight="1">
      <c r="A482" s="68">
        <f t="shared" si="26"/>
        <v>0</v>
      </c>
      <c r="B482" s="69" t="s">
        <v>65</v>
      </c>
      <c r="C482" s="69"/>
      <c r="D482" s="96"/>
      <c r="E482" s="116"/>
      <c r="F482" s="89" t="str">
        <f>VLOOKUP($B482,[1]DG!A:D,[1]DG!$C$2,)</f>
        <v>Boulon 16x300+ 2 long đền vuông D18-50x50x3/Zn</v>
      </c>
      <c r="G482" s="88" t="str">
        <f>VLOOKUP($B482,[1]DG!A:D,[1]DG!$D$2,)</f>
        <v>bộ</v>
      </c>
      <c r="H482" s="94">
        <f>H477*2</f>
        <v>0</v>
      </c>
      <c r="I482" s="91">
        <f t="shared" si="24"/>
        <v>0</v>
      </c>
      <c r="J482" s="92"/>
      <c r="K482" s="92"/>
      <c r="L482" s="117"/>
      <c r="M482" s="56">
        <v>100</v>
      </c>
    </row>
    <row r="483" spans="1:13" s="51" customFormat="1" ht="25.2" hidden="1" customHeight="1">
      <c r="A483" s="68">
        <f t="shared" si="26"/>
        <v>0</v>
      </c>
      <c r="B483" s="69" t="s">
        <v>222</v>
      </c>
      <c r="C483" s="69"/>
      <c r="D483" s="96"/>
      <c r="E483" s="116"/>
      <c r="F483" s="89" t="str">
        <f>VLOOKUP($B483,[1]DG!A:D,[1]DG!$C$2,)</f>
        <v>Boulon 16x40+ 2 long đền vuông D18-50x50x3/Zn</v>
      </c>
      <c r="G483" s="88" t="str">
        <f>VLOOKUP($B483,[1]DG!A:D,[1]DG!$D$2,)</f>
        <v>bộ</v>
      </c>
      <c r="H483" s="94">
        <v>1</v>
      </c>
      <c r="I483" s="91">
        <f t="shared" si="24"/>
        <v>0</v>
      </c>
      <c r="J483" s="92"/>
      <c r="K483" s="92"/>
      <c r="L483" s="117"/>
      <c r="M483" s="56">
        <v>100</v>
      </c>
    </row>
    <row r="484" spans="1:13" s="51" customFormat="1" ht="25.2" hidden="1" customHeight="1">
      <c r="A484" s="68">
        <f t="shared" si="26"/>
        <v>0</v>
      </c>
      <c r="B484" s="69"/>
      <c r="C484" s="69"/>
      <c r="D484" s="114">
        <f>IF(H484&gt;0,D477+1,D477)</f>
        <v>0</v>
      </c>
      <c r="E484" s="112"/>
      <c r="F484" s="136" t="s">
        <v>80</v>
      </c>
      <c r="G484" s="114" t="s">
        <v>67</v>
      </c>
      <c r="H484" s="110">
        <f>H477</f>
        <v>0</v>
      </c>
      <c r="I484" s="91">
        <f t="shared" si="24"/>
        <v>0</v>
      </c>
      <c r="J484" s="92"/>
      <c r="K484" s="92"/>
      <c r="L484" s="117"/>
      <c r="M484" s="56">
        <v>100</v>
      </c>
    </row>
    <row r="485" spans="1:13" s="51" customFormat="1" ht="25.2" hidden="1" customHeight="1">
      <c r="A485" s="68">
        <f>IF(A484&gt;0,1,0)</f>
        <v>0</v>
      </c>
      <c r="B485" s="69"/>
      <c r="C485" s="69"/>
      <c r="D485" s="96"/>
      <c r="E485" s="116"/>
      <c r="F485" s="137" t="s">
        <v>68</v>
      </c>
      <c r="G485" s="96"/>
      <c r="H485" s="94"/>
      <c r="I485" s="91">
        <f t="shared" si="24"/>
        <v>0</v>
      </c>
      <c r="J485" s="92"/>
      <c r="K485" s="92"/>
      <c r="L485" s="117"/>
      <c r="M485" s="56">
        <v>100</v>
      </c>
    </row>
    <row r="486" spans="1:13" s="51" customFormat="1" ht="25.2" hidden="1" customHeight="1">
      <c r="A486" s="68">
        <f t="shared" si="26"/>
        <v>0</v>
      </c>
      <c r="B486" s="69" t="s">
        <v>81</v>
      </c>
      <c r="C486" s="69"/>
      <c r="D486" s="96"/>
      <c r="E486" s="88">
        <f>VLOOKUP($B486,[1]DG!A:D,[1]DG!$B$2,)</f>
        <v>0</v>
      </c>
      <c r="F486" s="171" t="str">
        <f>VLOOKUP($B486,[1]DG!A:D,[1]DG!$C$2,)&amp;": "&amp;I3&amp;J3</f>
        <v>Cáp đồng trần M25mm2: 46m</v>
      </c>
      <c r="G486" s="88" t="str">
        <f>VLOOKUP($B486,[1]DG!A:D,[1]DG!$D$2,)</f>
        <v>kg</v>
      </c>
      <c r="H486" s="165">
        <f>53*H484*0.224</f>
        <v>0</v>
      </c>
      <c r="I486" s="166">
        <f t="shared" si="24"/>
        <v>0</v>
      </c>
      <c r="J486" s="92"/>
      <c r="K486" s="92"/>
      <c r="L486" s="117"/>
      <c r="M486" s="56">
        <v>100</v>
      </c>
    </row>
    <row r="487" spans="1:13" s="51" customFormat="1" ht="25.2" hidden="1" customHeight="1">
      <c r="A487" s="68">
        <f t="shared" si="26"/>
        <v>0</v>
      </c>
      <c r="B487" s="86" t="s">
        <v>82</v>
      </c>
      <c r="C487" s="86"/>
      <c r="D487" s="96"/>
      <c r="E487" s="88">
        <f>VLOOKUP($B487,[1]DG!A:D,[1]DG!$B$2,)</f>
        <v>0</v>
      </c>
      <c r="F487" s="89" t="str">
        <f>VLOOKUP($B487,[1]DG!A:D,[1]DG!$C$2,)</f>
        <v>Cọc tiếp đất Þ 16- 2,4m + kẹp cọc mạ đồng</v>
      </c>
      <c r="G487" s="88" t="str">
        <f>VLOOKUP($B487,[1]DG!A:D,[1]DG!$D$2,)</f>
        <v>bộ</v>
      </c>
      <c r="H487" s="94">
        <f>9*H484</f>
        <v>0</v>
      </c>
      <c r="I487" s="91">
        <f t="shared" si="24"/>
        <v>0</v>
      </c>
      <c r="J487" s="92"/>
      <c r="K487" s="92"/>
      <c r="L487" s="117"/>
      <c r="M487" s="56">
        <v>100</v>
      </c>
    </row>
    <row r="488" spans="1:13" s="51" customFormat="1" ht="25.2" hidden="1" customHeight="1">
      <c r="A488" s="68">
        <f t="shared" si="26"/>
        <v>0</v>
      </c>
      <c r="B488" s="86" t="s">
        <v>83</v>
      </c>
      <c r="C488" s="86"/>
      <c r="D488" s="96"/>
      <c r="E488" s="88" t="str">
        <f>VLOOKUP($B488,[1]DG!A:D,[1]DG!$B$2,)</f>
        <v>07.2403</v>
      </c>
      <c r="F488" s="89" t="str">
        <f>VLOOKUP($B488,[1]DG!A:D,[1]DG!$C$2,)</f>
        <v xml:space="preserve">Ống PVC D21x1,6mm </v>
      </c>
      <c r="G488" s="88" t="str">
        <f>VLOOKUP($B488,[1]DG!A:D,[1]DG!$D$2,)</f>
        <v>m</v>
      </c>
      <c r="H488" s="94">
        <f>6*H484</f>
        <v>0</v>
      </c>
      <c r="I488" s="91">
        <f t="shared" si="24"/>
        <v>0</v>
      </c>
      <c r="J488" s="92"/>
      <c r="K488" s="92"/>
      <c r="L488" s="117"/>
      <c r="M488" s="56">
        <v>100</v>
      </c>
    </row>
    <row r="489" spans="1:13" s="51" customFormat="1" ht="25.2" hidden="1" customHeight="1">
      <c r="A489" s="68">
        <f t="shared" si="26"/>
        <v>0</v>
      </c>
      <c r="B489" s="69" t="s">
        <v>184</v>
      </c>
      <c r="C489" s="69"/>
      <c r="D489" s="96"/>
      <c r="E489" s="88">
        <f>VLOOKUP($B489,[1]DG!A:D,[1]DG!$B$2,)</f>
        <v>0</v>
      </c>
      <c r="F489" s="89" t="str">
        <f>VLOOKUP($B489,[1]DG!A:D,[1]DG!$C$2,)</f>
        <v>Kẹp ép WR cỡ dây 50mm2</v>
      </c>
      <c r="G489" s="88" t="str">
        <f>VLOOKUP($B489,[1]DG!A:D,[1]DG!$D$2,)</f>
        <v>cái</v>
      </c>
      <c r="H489" s="94">
        <f>2*H484</f>
        <v>0</v>
      </c>
      <c r="I489" s="91">
        <f t="shared" si="24"/>
        <v>0</v>
      </c>
      <c r="J489" s="92"/>
      <c r="K489" s="92"/>
      <c r="L489" s="117"/>
      <c r="M489" s="56">
        <v>100</v>
      </c>
    </row>
    <row r="490" spans="1:13" s="51" customFormat="1" ht="25.2" hidden="1" customHeight="1">
      <c r="A490" s="68">
        <f t="shared" si="26"/>
        <v>0</v>
      </c>
      <c r="B490" s="69" t="s">
        <v>185</v>
      </c>
      <c r="C490" s="69"/>
      <c r="D490" s="96"/>
      <c r="E490" s="88">
        <f>VLOOKUP($B490,[1]DG!A:D,[1]DG!$B$2,)</f>
        <v>0</v>
      </c>
      <c r="F490" s="89" t="str">
        <f>VLOOKUP($B490,[1]DG!A:D,[1]DG!$C$2,)</f>
        <v>Kẹp ép cỡ dây 25mm2</v>
      </c>
      <c r="G490" s="88" t="str">
        <f>VLOOKUP($B490,[1]DG!A:D,[1]DG!$D$2,)</f>
        <v>cái</v>
      </c>
      <c r="H490" s="94">
        <f>H484*11</f>
        <v>0</v>
      </c>
      <c r="I490" s="91">
        <f t="shared" si="24"/>
        <v>0</v>
      </c>
      <c r="J490" s="92"/>
      <c r="K490" s="92"/>
      <c r="L490" s="117"/>
      <c r="M490" s="56">
        <v>100</v>
      </c>
    </row>
    <row r="491" spans="1:13" s="51" customFormat="1" ht="25.2" hidden="1" customHeight="1">
      <c r="A491" s="68">
        <f t="shared" si="26"/>
        <v>0</v>
      </c>
      <c r="B491" s="86" t="s">
        <v>86</v>
      </c>
      <c r="C491" s="86"/>
      <c r="D491" s="96"/>
      <c r="E491" s="88" t="str">
        <f>VLOOKUP($B491,[1]DG!A:D,[1]DG!$B$2,)</f>
        <v>06.3231</v>
      </c>
      <c r="F491" s="89" t="str">
        <f>VLOOKUP($B491,[1]DG!A:D,[1]DG!$C$2,)</f>
        <v>Cổ dê kẹp ống PVC  21</v>
      </c>
      <c r="G491" s="88" t="str">
        <f>VLOOKUP($B491,[1]DG!A:D,[1]DG!$D$2,)</f>
        <v>bộ</v>
      </c>
      <c r="H491" s="94">
        <f>4*H484</f>
        <v>0</v>
      </c>
      <c r="I491" s="91">
        <f t="shared" si="24"/>
        <v>0</v>
      </c>
      <c r="J491" s="92"/>
      <c r="K491" s="92"/>
      <c r="L491" s="117"/>
      <c r="M491" s="56">
        <v>100</v>
      </c>
    </row>
    <row r="492" spans="1:13" s="51" customFormat="1" ht="25.2" hidden="1" customHeight="1">
      <c r="A492" s="68">
        <f t="shared" si="26"/>
        <v>0</v>
      </c>
      <c r="B492" s="69" t="s">
        <v>90</v>
      </c>
      <c r="C492" s="69"/>
      <c r="D492" s="96"/>
      <c r="E492" s="88" t="str">
        <f>VLOOKUP($B492,[1]DG!A:D,[1]DG!$B$2,)</f>
        <v>04.7002</v>
      </c>
      <c r="F492" s="89" t="str">
        <f>VLOOKUP($B492,[1]DG!A:D,[1]DG!$C$2,)</f>
        <v>Kéo dây tiếp địa trong TBA</v>
      </c>
      <c r="G492" s="88" t="str">
        <f>VLOOKUP($B492,[1]DG!A:D,[1]DG!$D$2,)</f>
        <v>mét</v>
      </c>
      <c r="H492" s="94">
        <f>H486/0.224</f>
        <v>0</v>
      </c>
      <c r="I492" s="91">
        <f t="shared" si="24"/>
        <v>0</v>
      </c>
      <c r="J492" s="92"/>
      <c r="K492" s="92"/>
      <c r="L492" s="117"/>
      <c r="M492" s="56">
        <v>100</v>
      </c>
    </row>
    <row r="493" spans="1:13" s="51" customFormat="1" ht="25.2" hidden="1" customHeight="1">
      <c r="A493" s="68">
        <f t="shared" si="26"/>
        <v>0</v>
      </c>
      <c r="B493" s="86" t="s">
        <v>89</v>
      </c>
      <c r="C493" s="86"/>
      <c r="D493" s="96"/>
      <c r="E493" s="88" t="str">
        <f>VLOOKUP($B493,[1]DG!A:D,[1]DG!$B$2,)</f>
        <v>04.7001</v>
      </c>
      <c r="F493" s="89" t="str">
        <f>VLOOKUP($B493,[1]DG!A:D,[1]DG!$C$2,)</f>
        <v>Đóng cọc tiếp địa trong TBA</v>
      </c>
      <c r="G493" s="88" t="str">
        <f>VLOOKUP($B493,[1]DG!A:D,[1]DG!$D$2,)</f>
        <v>cọc</v>
      </c>
      <c r="H493" s="94">
        <f>H487</f>
        <v>0</v>
      </c>
      <c r="I493" s="91">
        <f t="shared" si="24"/>
        <v>0</v>
      </c>
      <c r="J493" s="92"/>
      <c r="K493" s="92"/>
      <c r="L493" s="117"/>
      <c r="M493" s="56">
        <v>100</v>
      </c>
    </row>
    <row r="494" spans="1:13" s="51" customFormat="1" ht="25.2" hidden="1" customHeight="1">
      <c r="A494" s="68">
        <f t="shared" si="26"/>
        <v>0</v>
      </c>
      <c r="B494" s="69" t="str">
        <f>"dtd"&amp;chitiet!G5</f>
        <v>dtd3</v>
      </c>
      <c r="C494" s="69"/>
      <c r="D494" s="96"/>
      <c r="E494" s="88" t="str">
        <f>VLOOKUP($B494,[1]DG!A:D,[1]DG!$B$2,)</f>
        <v>03.3123</v>
      </c>
      <c r="F494" s="89" t="str">
        <f>VLOOKUP($B494,[1]DG!A:D,[1]DG!$C$2,)</f>
        <v>Đào rãnh tiếp địa đất cấp 3</v>
      </c>
      <c r="G494" s="88" t="str">
        <f>VLOOKUP($B494,[1]DG!A:D,[1]DG!$D$2,)</f>
        <v>m3</v>
      </c>
      <c r="H494" s="94">
        <v>3.6</v>
      </c>
      <c r="I494" s="91">
        <f t="shared" si="24"/>
        <v>0</v>
      </c>
      <c r="J494" s="92"/>
      <c r="K494" s="92"/>
      <c r="L494" s="117"/>
      <c r="M494" s="56">
        <v>100</v>
      </c>
    </row>
    <row r="495" spans="1:13" s="51" customFormat="1" ht="25.2" hidden="1" customHeight="1">
      <c r="A495" s="68">
        <f t="shared" si="26"/>
        <v>0</v>
      </c>
      <c r="B495" s="86" t="str">
        <f>"datd"&amp;chitiet!G5</f>
        <v>datd3</v>
      </c>
      <c r="C495" s="86"/>
      <c r="D495" s="96"/>
      <c r="E495" s="88" t="str">
        <f>VLOOKUP($B495,[1]DG!A:D,[1]DG!$B$2,)</f>
        <v>03.4123</v>
      </c>
      <c r="F495" s="89" t="str">
        <f>VLOOKUP($B495,[1]DG!A:D,[1]DG!$C$2,)</f>
        <v>Đắp đất rãnh tiếp độ chặt k=0,85</v>
      </c>
      <c r="G495" s="88" t="str">
        <f>VLOOKUP($B495,[1]DG!A:D,[1]DG!$D$2,)</f>
        <v>m3</v>
      </c>
      <c r="H495" s="94">
        <f>H494</f>
        <v>3.6</v>
      </c>
      <c r="I495" s="91">
        <f t="shared" si="24"/>
        <v>0</v>
      </c>
      <c r="J495" s="92"/>
      <c r="K495" s="92"/>
      <c r="L495" s="117"/>
      <c r="M495" s="56">
        <v>100</v>
      </c>
    </row>
    <row r="496" spans="1:13" s="51" customFormat="1" ht="25.2" hidden="1" customHeight="1">
      <c r="A496" s="68">
        <f t="shared" si="26"/>
        <v>0</v>
      </c>
      <c r="B496" s="69"/>
      <c r="C496" s="69"/>
      <c r="D496" s="114">
        <f>IF(H496&gt;0,D484+1,D484)</f>
        <v>0</v>
      </c>
      <c r="E496" s="112"/>
      <c r="F496" s="113" t="s">
        <v>159</v>
      </c>
      <c r="G496" s="114" t="s">
        <v>67</v>
      </c>
      <c r="H496" s="110">
        <f>H477</f>
        <v>0</v>
      </c>
      <c r="I496" s="91">
        <f t="shared" si="24"/>
        <v>0</v>
      </c>
      <c r="J496" s="92"/>
      <c r="K496" s="92"/>
      <c r="L496" s="117"/>
      <c r="M496" s="56">
        <v>100</v>
      </c>
    </row>
    <row r="497" spans="1:13" s="51" customFormat="1" ht="25.2" hidden="1" customHeight="1">
      <c r="A497" s="68">
        <f>IF(A496&gt;0,1,0)</f>
        <v>0</v>
      </c>
      <c r="B497" s="69"/>
      <c r="C497" s="69"/>
      <c r="D497" s="114"/>
      <c r="E497" s="112"/>
      <c r="F497" s="137" t="s">
        <v>68</v>
      </c>
      <c r="G497" s="96"/>
      <c r="H497" s="94"/>
      <c r="I497" s="91">
        <f t="shared" si="24"/>
        <v>0</v>
      </c>
      <c r="J497" s="92"/>
      <c r="K497" s="92"/>
      <c r="L497" s="117"/>
      <c r="M497" s="56">
        <v>100</v>
      </c>
    </row>
    <row r="498" spans="1:13" s="51" customFormat="1" ht="25.2" hidden="1" customHeight="1">
      <c r="A498" s="68">
        <f t="shared" si="26"/>
        <v>0</v>
      </c>
      <c r="B498" s="86" t="s">
        <v>94</v>
      </c>
      <c r="C498" s="86"/>
      <c r="D498" s="96"/>
      <c r="E498" s="88" t="str">
        <f>VLOOKUP($B498,[1]DG!A:D,[1]DG!$B$2,)</f>
        <v>05.1001</v>
      </c>
      <c r="F498" s="89" t="str">
        <f>VLOOKUP($B498,[1]DG!A:D,[1]DG!$C$2,)</f>
        <v>Tủ CB trạm 1 pha + khóa + boulon</v>
      </c>
      <c r="G498" s="88" t="str">
        <f>VLOOKUP($B498,[1]DG!A:D,[1]DG!$D$2,)</f>
        <v>cái</v>
      </c>
      <c r="H498" s="94">
        <f>H496</f>
        <v>0</v>
      </c>
      <c r="I498" s="91">
        <f t="shared" si="24"/>
        <v>0</v>
      </c>
      <c r="J498" s="92"/>
      <c r="K498" s="92"/>
      <c r="L498" s="117"/>
      <c r="M498" s="56">
        <v>100</v>
      </c>
    </row>
    <row r="499" spans="1:13" s="51" customFormat="1" ht="25.2" hidden="1" customHeight="1">
      <c r="A499" s="68">
        <f t="shared" si="26"/>
        <v>0</v>
      </c>
      <c r="B499" s="69" t="s">
        <v>95</v>
      </c>
      <c r="C499" s="69"/>
      <c r="D499" s="96"/>
      <c r="E499" s="88" t="str">
        <f>VLOOKUP($B499,[1]DG!A:D,[1]DG!$B$2,)</f>
        <v>06.3231</v>
      </c>
      <c r="F499" s="89" t="str">
        <f>VLOOKUP($B499,[1]DG!A:D,[1]DG!$C$2,)</f>
        <v>Cổ dê bắt tủ</v>
      </c>
      <c r="G499" s="88" t="str">
        <f>VLOOKUP($B499,[1]DG!A:D,[1]DG!$D$2,)</f>
        <v>bộ</v>
      </c>
      <c r="H499" s="94">
        <f>2*H496</f>
        <v>0</v>
      </c>
      <c r="I499" s="91">
        <f t="shared" si="24"/>
        <v>0</v>
      </c>
      <c r="J499" s="92"/>
      <c r="K499" s="92"/>
      <c r="L499" s="117"/>
      <c r="M499" s="56">
        <v>100</v>
      </c>
    </row>
    <row r="500" spans="1:13" s="51" customFormat="1" ht="25.2" hidden="1" customHeight="1">
      <c r="A500" s="68">
        <f t="shared" si="26"/>
        <v>0</v>
      </c>
      <c r="B500" s="69" t="s">
        <v>96</v>
      </c>
      <c r="C500" s="69"/>
      <c r="D500" s="96"/>
      <c r="E500" s="88">
        <f>VLOOKUP($B500,[1]DG!A:D,[1]DG!$B$2,)</f>
        <v>0</v>
      </c>
      <c r="F500" s="89" t="str">
        <f>VLOOKUP($B500,[1]DG!A:D,[1]DG!$C$2,)</f>
        <v xml:space="preserve">Bakelit 550x450 dầy 10mm </v>
      </c>
      <c r="G500" s="88" t="str">
        <f>VLOOKUP($B500,[1]DG!A:D,[1]DG!$D$2,)</f>
        <v>cái</v>
      </c>
      <c r="H500" s="94">
        <v>3</v>
      </c>
      <c r="I500" s="91">
        <f t="shared" ref="I500:I566" si="27">IF(M500=$M$23,H500+J500-K500,0)</f>
        <v>0</v>
      </c>
      <c r="J500" s="92"/>
      <c r="K500" s="92"/>
      <c r="L500" s="117"/>
      <c r="M500" s="56">
        <v>100</v>
      </c>
    </row>
    <row r="501" spans="1:13" s="51" customFormat="1" ht="25.2" hidden="1" customHeight="1">
      <c r="A501" s="68">
        <f t="shared" si="26"/>
        <v>0</v>
      </c>
      <c r="B501" s="69"/>
      <c r="C501" s="69"/>
      <c r="D501" s="114">
        <f>IF(H501&gt;0,D496+1,D496)</f>
        <v>0</v>
      </c>
      <c r="E501" s="112"/>
      <c r="F501" s="136" t="s">
        <v>97</v>
      </c>
      <c r="G501" s="114" t="s">
        <v>67</v>
      </c>
      <c r="H501" s="110">
        <f>H496</f>
        <v>0</v>
      </c>
      <c r="I501" s="91">
        <f t="shared" si="27"/>
        <v>0</v>
      </c>
      <c r="J501" s="92"/>
      <c r="K501" s="92"/>
      <c r="L501" s="117"/>
      <c r="M501" s="56">
        <v>100</v>
      </c>
    </row>
    <row r="502" spans="1:13" s="51" customFormat="1" ht="25.2" hidden="1" customHeight="1">
      <c r="A502" s="68">
        <f>IF(A501&gt;0,1,0)</f>
        <v>0</v>
      </c>
      <c r="B502" s="69"/>
      <c r="C502" s="69"/>
      <c r="D502" s="114"/>
      <c r="E502" s="112"/>
      <c r="F502" s="137" t="s">
        <v>68</v>
      </c>
      <c r="G502" s="96"/>
      <c r="H502" s="94"/>
      <c r="I502" s="91">
        <f t="shared" si="27"/>
        <v>0</v>
      </c>
      <c r="J502" s="92"/>
      <c r="K502" s="92"/>
      <c r="L502" s="117"/>
      <c r="M502" s="56">
        <v>100</v>
      </c>
    </row>
    <row r="503" spans="1:13" s="51" customFormat="1" ht="25.2" hidden="1" customHeight="1">
      <c r="A503" s="68">
        <f t="shared" si="26"/>
        <v>0</v>
      </c>
      <c r="B503" s="86" t="s">
        <v>98</v>
      </c>
      <c r="C503" s="86"/>
      <c r="D503" s="96"/>
      <c r="E503" s="88">
        <f>VLOOKUP($B503,[1]DG!A:D,[1]DG!$B$2,)</f>
        <v>0</v>
      </c>
      <c r="F503" s="89" t="str">
        <f>VLOOKUP($B503,[1]DG!A:D,[1]DG!$C$2,)</f>
        <v>Cáp 24KV CX-25mm2</v>
      </c>
      <c r="G503" s="88" t="str">
        <f>VLOOKUP($B503,[1]DG!A:D,[1]DG!$D$2,)</f>
        <v>mét</v>
      </c>
      <c r="H503" s="94">
        <f>3*H501</f>
        <v>0</v>
      </c>
      <c r="I503" s="91">
        <f t="shared" si="27"/>
        <v>0</v>
      </c>
      <c r="J503" s="92"/>
      <c r="K503" s="92"/>
      <c r="L503" s="117"/>
      <c r="M503" s="56">
        <v>100</v>
      </c>
    </row>
    <row r="504" spans="1:13" s="51" customFormat="1" ht="25.2" hidden="1" customHeight="1">
      <c r="A504" s="68">
        <f t="shared" si="26"/>
        <v>0</v>
      </c>
      <c r="B504" s="86" t="s">
        <v>99</v>
      </c>
      <c r="C504" s="86"/>
      <c r="D504" s="96"/>
      <c r="E504" s="88" t="str">
        <f>VLOOKUP($B504,[1]DG!A:D,[1]DG!$B$2,)</f>
        <v>04.3007</v>
      </c>
      <c r="F504" s="89" t="str">
        <f>VLOOKUP($B504,[1]DG!A:D,[1]DG!$C$2,)</f>
        <v>Kẹp quai 2/0</v>
      </c>
      <c r="G504" s="88" t="str">
        <f>VLOOKUP($B504,[1]DG!A:D,[1]DG!$D$2,)</f>
        <v>cái</v>
      </c>
      <c r="H504" s="94">
        <f>H501</f>
        <v>0</v>
      </c>
      <c r="I504" s="91">
        <f t="shared" si="27"/>
        <v>0</v>
      </c>
      <c r="J504" s="92"/>
      <c r="K504" s="92"/>
      <c r="L504" s="117"/>
      <c r="M504" s="56">
        <v>100</v>
      </c>
    </row>
    <row r="505" spans="1:13" s="51" customFormat="1" ht="25.2" hidden="1" customHeight="1">
      <c r="A505" s="68">
        <f t="shared" si="26"/>
        <v>0</v>
      </c>
      <c r="B505" s="86" t="s">
        <v>100</v>
      </c>
      <c r="C505" s="86"/>
      <c r="D505" s="96"/>
      <c r="E505" s="88" t="str">
        <f>VLOOKUP($B505,[1]DG!A:D,[1]DG!$B$2,)</f>
        <v>04.3007</v>
      </c>
      <c r="F505" s="89" t="str">
        <f>VLOOKUP($B505,[1]DG!A:D,[1]DG!$C$2,)</f>
        <v>Kẹp hotline 2/0</v>
      </c>
      <c r="G505" s="88" t="str">
        <f>VLOOKUP($B505,[1]DG!A:D,[1]DG!$D$2,)</f>
        <v>cái</v>
      </c>
      <c r="H505" s="94">
        <f t="shared" ref="H505" si="28">H498</f>
        <v>0</v>
      </c>
      <c r="I505" s="91">
        <f t="shared" si="27"/>
        <v>0</v>
      </c>
      <c r="J505" s="92"/>
      <c r="K505" s="92"/>
      <c r="L505" s="117"/>
      <c r="M505" s="56">
        <v>100</v>
      </c>
    </row>
    <row r="506" spans="1:13" s="51" customFormat="1" ht="25.2" hidden="1" customHeight="1">
      <c r="A506" s="68">
        <f t="shared" si="26"/>
        <v>0</v>
      </c>
      <c r="B506" s="86" t="s">
        <v>135</v>
      </c>
      <c r="C506" s="86"/>
      <c r="D506" s="96"/>
      <c r="E506" s="88">
        <f>VLOOKUP($B506,[1]DG!A:D,[1]DG!$B$2,)</f>
        <v>0</v>
      </c>
      <c r="F506" s="89" t="str">
        <f>VLOOKUP($B506,[1]DG!A:D,[1]DG!$C$2,)</f>
        <v>Chụp đầu cực FCO (bộ 2 cái)</v>
      </c>
      <c r="G506" s="88" t="str">
        <f>VLOOKUP($B506,[1]DG!A:D,[1]DG!$D$2,)</f>
        <v>bộ</v>
      </c>
      <c r="H506" s="94">
        <v>1</v>
      </c>
      <c r="I506" s="91">
        <f t="shared" si="27"/>
        <v>0</v>
      </c>
      <c r="J506" s="92"/>
      <c r="K506" s="92"/>
      <c r="L506" s="117"/>
      <c r="M506" s="56">
        <v>100</v>
      </c>
    </row>
    <row r="507" spans="1:13" s="51" customFormat="1" ht="25.2" hidden="1" customHeight="1">
      <c r="A507" s="68">
        <f t="shared" si="26"/>
        <v>0</v>
      </c>
      <c r="B507" s="86" t="s">
        <v>136</v>
      </c>
      <c r="C507" s="86"/>
      <c r="D507" s="96"/>
      <c r="E507" s="88">
        <f>VLOOKUP($B507,[1]DG!A:D,[1]DG!$B$2,)</f>
        <v>0</v>
      </c>
      <c r="F507" s="89" t="str">
        <f>VLOOKUP($B507,[1]DG!A:D,[1]DG!$C$2,)</f>
        <v>Chụp đầu cực LA</v>
      </c>
      <c r="G507" s="88" t="str">
        <f>VLOOKUP($B507,[1]DG!A:D,[1]DG!$D$2,)</f>
        <v>cái</v>
      </c>
      <c r="H507" s="94">
        <v>1</v>
      </c>
      <c r="I507" s="91">
        <f t="shared" si="27"/>
        <v>0</v>
      </c>
      <c r="J507" s="92"/>
      <c r="K507" s="92"/>
      <c r="L507" s="117"/>
      <c r="M507" s="56">
        <v>100</v>
      </c>
    </row>
    <row r="508" spans="1:13" s="51" customFormat="1" ht="25.2" hidden="1" customHeight="1">
      <c r="A508" s="68">
        <f t="shared" si="26"/>
        <v>0</v>
      </c>
      <c r="B508" s="86" t="s">
        <v>137</v>
      </c>
      <c r="C508" s="86"/>
      <c r="D508" s="96"/>
      <c r="E508" s="88">
        <f>VLOOKUP($B508,[1]DG!A:D,[1]DG!$B$2,)</f>
        <v>0</v>
      </c>
      <c r="F508" s="89" t="str">
        <f>VLOOKUP($B508,[1]DG!A:D,[1]DG!$C$2,)</f>
        <v>Chụp đầu MBA</v>
      </c>
      <c r="G508" s="88" t="str">
        <f>VLOOKUP($B508,[1]DG!A:D,[1]DG!$D$2,)</f>
        <v>cái</v>
      </c>
      <c r="H508" s="94">
        <v>1</v>
      </c>
      <c r="I508" s="91">
        <f t="shared" si="27"/>
        <v>0</v>
      </c>
      <c r="J508" s="92"/>
      <c r="K508" s="92"/>
      <c r="L508" s="117"/>
      <c r="M508" s="56">
        <v>100</v>
      </c>
    </row>
    <row r="509" spans="1:13" s="51" customFormat="1" ht="25.2" hidden="1" customHeight="1">
      <c r="A509" s="68">
        <f t="shared" si="26"/>
        <v>0</v>
      </c>
      <c r="B509" s="86" t="s">
        <v>101</v>
      </c>
      <c r="C509" s="86"/>
      <c r="D509" s="96"/>
      <c r="E509" s="88" t="str">
        <f>VLOOKUP($B509,[1]DG!A:D,[1]DG!$B$2,)</f>
        <v>04.4201</v>
      </c>
      <c r="F509" s="89" t="str">
        <f>VLOOKUP($B509,[1]DG!A:D,[1]DG!$C$2,)</f>
        <v>Lắp cáp đồng xuống thiết bị D ≤ 95mm2</v>
      </c>
      <c r="G509" s="88" t="str">
        <f>VLOOKUP($B509,[1]DG!A:D,[1]DG!$D$2,)</f>
        <v>m</v>
      </c>
      <c r="H509" s="94">
        <f>H503</f>
        <v>0</v>
      </c>
      <c r="I509" s="91">
        <f t="shared" si="27"/>
        <v>0</v>
      </c>
      <c r="J509" s="92"/>
      <c r="K509" s="92"/>
      <c r="L509" s="117"/>
      <c r="M509" s="56">
        <v>100</v>
      </c>
    </row>
    <row r="510" spans="1:13" s="51" customFormat="1" ht="25.2" hidden="1" customHeight="1">
      <c r="A510" s="68">
        <f t="shared" si="26"/>
        <v>0</v>
      </c>
      <c r="B510" s="69"/>
      <c r="C510" s="69"/>
      <c r="D510" s="114">
        <f>IF(H510&gt;0,D501+1,D501)</f>
        <v>0</v>
      </c>
      <c r="E510" s="112"/>
      <c r="F510" s="113" t="s">
        <v>223</v>
      </c>
      <c r="G510" s="114" t="s">
        <v>67</v>
      </c>
      <c r="H510" s="110">
        <f>H454</f>
        <v>0</v>
      </c>
      <c r="I510" s="91">
        <f t="shared" si="27"/>
        <v>0</v>
      </c>
      <c r="J510" s="92"/>
      <c r="K510" s="92"/>
      <c r="L510" s="117"/>
      <c r="M510" s="56">
        <v>100</v>
      </c>
    </row>
    <row r="511" spans="1:13" s="51" customFormat="1" ht="25.2" hidden="1" customHeight="1">
      <c r="A511" s="68">
        <f>IF(A510&gt;0,1,0)</f>
        <v>0</v>
      </c>
      <c r="B511" s="69"/>
      <c r="C511" s="69"/>
      <c r="D511" s="114"/>
      <c r="E511" s="112"/>
      <c r="F511" s="115" t="s">
        <v>68</v>
      </c>
      <c r="G511" s="114"/>
      <c r="H511" s="110"/>
      <c r="I511" s="91">
        <f t="shared" si="27"/>
        <v>0</v>
      </c>
      <c r="J511" s="92"/>
      <c r="K511" s="92"/>
      <c r="L511" s="117"/>
      <c r="M511" s="56">
        <v>100</v>
      </c>
    </row>
    <row r="512" spans="1:13" s="51" customFormat="1" ht="25.2" hidden="1" customHeight="1">
      <c r="A512" s="68">
        <f t="shared" si="26"/>
        <v>0</v>
      </c>
      <c r="B512" s="69" t="s">
        <v>224</v>
      </c>
      <c r="C512" s="69"/>
      <c r="D512" s="114"/>
      <c r="E512" s="88">
        <f>VLOOKUP($B512,[1]DG!A:D,[1]DG!$B$2,)</f>
        <v>0</v>
      </c>
      <c r="F512" s="89" t="str">
        <f>VLOOKUP($B512,[1]DG!A:D,[1]DG!$C$2,)</f>
        <v>Cáp đồng bọc CV240</v>
      </c>
      <c r="G512" s="88" t="str">
        <f>VLOOKUP($B512,[1]DG!A:D,[1]DG!$D$2,)</f>
        <v>mét</v>
      </c>
      <c r="H512" s="94">
        <f>H510*10*2</f>
        <v>0</v>
      </c>
      <c r="I512" s="91">
        <f t="shared" si="27"/>
        <v>0</v>
      </c>
      <c r="J512" s="92"/>
      <c r="K512" s="92"/>
      <c r="L512" s="117"/>
      <c r="M512" s="56">
        <v>100</v>
      </c>
    </row>
    <row r="513" spans="1:13" s="51" customFormat="1" ht="25.2" hidden="1" customHeight="1">
      <c r="A513" s="68">
        <f t="shared" si="26"/>
        <v>0</v>
      </c>
      <c r="B513" s="69" t="s">
        <v>195</v>
      </c>
      <c r="C513" s="69"/>
      <c r="D513" s="114"/>
      <c r="E513" s="88">
        <f>VLOOKUP($B513,[1]DG!A:D,[1]DG!$B$2,)</f>
        <v>0</v>
      </c>
      <c r="F513" s="89" t="str">
        <f>VLOOKUP($B513,[1]DG!A:D,[1]DG!$C$2,)</f>
        <v>Cáp đồng bọc CV120</v>
      </c>
      <c r="G513" s="88" t="str">
        <f>VLOOKUP($B513,[1]DG!A:D,[1]DG!$D$2,)</f>
        <v>mét</v>
      </c>
      <c r="H513" s="94"/>
      <c r="I513" s="91">
        <f t="shared" si="27"/>
        <v>0</v>
      </c>
      <c r="J513" s="92"/>
      <c r="K513" s="92"/>
      <c r="L513" s="117"/>
      <c r="M513" s="56">
        <v>100</v>
      </c>
    </row>
    <row r="514" spans="1:13" s="51" customFormat="1" ht="25.2" hidden="1" customHeight="1">
      <c r="A514" s="68">
        <f t="shared" si="26"/>
        <v>0</v>
      </c>
      <c r="B514" s="69" t="s">
        <v>143</v>
      </c>
      <c r="C514" s="69"/>
      <c r="D514" s="96"/>
      <c r="E514" s="88" t="str">
        <f>VLOOKUP($B514,[1]DG!A:D,[1]DG!$B$2,)</f>
        <v>03.1401</v>
      </c>
      <c r="F514" s="89" t="str">
        <f>VLOOKUP($B514,[1]DG!A:D,[1]DG!$C$2,)</f>
        <v xml:space="preserve">Cáp CVV 4x4mm2  </v>
      </c>
      <c r="G514" s="88" t="str">
        <f>VLOOKUP($B514,[1]DG!A:D,[1]DG!$D$2,)</f>
        <v>mét</v>
      </c>
      <c r="H514" s="94">
        <v>2</v>
      </c>
      <c r="I514" s="91">
        <f t="shared" si="27"/>
        <v>0</v>
      </c>
      <c r="J514" s="92"/>
      <c r="K514" s="92"/>
      <c r="L514" s="117"/>
      <c r="M514" s="56">
        <v>100</v>
      </c>
    </row>
    <row r="515" spans="1:13" s="51" customFormat="1" ht="25.2" hidden="1" customHeight="1">
      <c r="A515" s="68">
        <f t="shared" si="26"/>
        <v>0</v>
      </c>
      <c r="B515" s="69" t="s">
        <v>225</v>
      </c>
      <c r="C515" s="69"/>
      <c r="D515" s="96"/>
      <c r="E515" s="88" t="str">
        <f>VLOOKUP($B515,[1]DG!A:D,[1]DG!$B$2,)</f>
        <v>03.4008</v>
      </c>
      <c r="F515" s="89" t="str">
        <f>VLOOKUP($B515,[1]DG!A:D,[1]DG!$C$2,)</f>
        <v>Đầu cosse ép Cu 240mm2</v>
      </c>
      <c r="G515" s="88" t="str">
        <f>VLOOKUP($B515,[1]DG!A:D,[1]DG!$D$2,)</f>
        <v>cái</v>
      </c>
      <c r="H515" s="94">
        <v>2</v>
      </c>
      <c r="I515" s="91">
        <f t="shared" si="27"/>
        <v>0</v>
      </c>
      <c r="J515" s="92"/>
      <c r="K515" s="92"/>
      <c r="L515" s="117"/>
      <c r="M515" s="56">
        <v>100</v>
      </c>
    </row>
    <row r="516" spans="1:13" s="51" customFormat="1" ht="25.2" hidden="1" customHeight="1">
      <c r="A516" s="68">
        <f t="shared" si="26"/>
        <v>0</v>
      </c>
      <c r="B516" s="69" t="str">
        <f>IF(H459=1,"Cos"&amp;RIGHT(B$350,2),"Cos"&amp;RIGHT(B$350,2))</f>
        <v>Cos20</v>
      </c>
      <c r="C516" s="69"/>
      <c r="D516" s="96"/>
      <c r="E516" s="88" t="e">
        <f>VLOOKUP($B516,[1]DG!A:D,[1]DG!$B$2,)</f>
        <v>#N/A</v>
      </c>
      <c r="F516" s="89" t="e">
        <f>VLOOKUP($B516,[1]DG!A:D,[1]DG!$C$2,)</f>
        <v>#N/A</v>
      </c>
      <c r="G516" s="88" t="e">
        <f>VLOOKUP($B516,[1]DG!A:D,[1]DG!$D$2,)</f>
        <v>#N/A</v>
      </c>
      <c r="H516" s="94"/>
      <c r="I516" s="91">
        <f t="shared" si="27"/>
        <v>0</v>
      </c>
      <c r="J516" s="92"/>
      <c r="K516" s="92"/>
      <c r="L516" s="117"/>
      <c r="M516" s="56">
        <v>100</v>
      </c>
    </row>
    <row r="517" spans="1:13" s="51" customFormat="1" ht="25.2" hidden="1" customHeight="1">
      <c r="A517" s="68">
        <f t="shared" si="26"/>
        <v>0</v>
      </c>
      <c r="B517" s="69" t="s">
        <v>226</v>
      </c>
      <c r="C517" s="69"/>
      <c r="D517" s="96"/>
      <c r="E517" s="88">
        <f>VLOOKUP($B517,[1]DG!A:D,[1]DG!$B$2,)</f>
        <v>0</v>
      </c>
      <c r="F517" s="89" t="str">
        <f>VLOOKUP($B517,[1]DG!A:D,[1]DG!$C$2,)</f>
        <v>Chụp đầu cosse  240mm2</v>
      </c>
      <c r="G517" s="88" t="str">
        <f>VLOOKUP($B517,[1]DG!A:D,[1]DG!$D$2,)</f>
        <v>cái</v>
      </c>
      <c r="H517" s="94">
        <v>2</v>
      </c>
      <c r="I517" s="91">
        <f t="shared" si="27"/>
        <v>0</v>
      </c>
      <c r="J517" s="92"/>
      <c r="K517" s="92"/>
      <c r="L517" s="117"/>
      <c r="M517" s="56">
        <v>100</v>
      </c>
    </row>
    <row r="518" spans="1:13" s="51" customFormat="1" ht="25.2" hidden="1" customHeight="1">
      <c r="A518" s="68">
        <f t="shared" si="26"/>
        <v>0</v>
      </c>
      <c r="B518" s="69" t="s">
        <v>216</v>
      </c>
      <c r="C518" s="69"/>
      <c r="D518" s="96"/>
      <c r="E518" s="88">
        <f>VLOOKUP($B518,[1]DG!A:D,[1]DG!$B$2,)</f>
        <v>0</v>
      </c>
      <c r="F518" s="89" t="str">
        <f>VLOOKUP($B518,[1]DG!A:D,[1]DG!$C$2,)</f>
        <v>Chụp đầu cosse  70mm2</v>
      </c>
      <c r="G518" s="88" t="str">
        <f>VLOOKUP($B518,[1]DG!A:D,[1]DG!$D$2,)</f>
        <v>cái</v>
      </c>
      <c r="H518" s="94"/>
      <c r="I518" s="91">
        <f t="shared" si="27"/>
        <v>0</v>
      </c>
      <c r="J518" s="92"/>
      <c r="K518" s="92"/>
      <c r="L518" s="117"/>
      <c r="M518" s="56">
        <v>100</v>
      </c>
    </row>
    <row r="519" spans="1:13" s="51" customFormat="1" ht="25.2" hidden="1" customHeight="1">
      <c r="A519" s="68">
        <f t="shared" si="26"/>
        <v>0</v>
      </c>
      <c r="B519" s="69" t="s">
        <v>144</v>
      </c>
      <c r="C519" s="69"/>
      <c r="D519" s="96"/>
      <c r="E519" s="88">
        <f>VLOOKUP($B519,[1]DG!A:D,[1]DG!$B$2,)</f>
        <v>0</v>
      </c>
      <c r="F519" s="89" t="str">
        <f>VLOOKUP($B519,[1]DG!A:D,[1]DG!$C$2,)</f>
        <v xml:space="preserve">Ống PVC D114x4,9mm </v>
      </c>
      <c r="G519" s="88" t="str">
        <f>VLOOKUP($B519,[1]DG!A:D,[1]DG!$D$2,)</f>
        <v>m</v>
      </c>
      <c r="H519" s="94">
        <v>7</v>
      </c>
      <c r="I519" s="91">
        <f t="shared" si="27"/>
        <v>0</v>
      </c>
      <c r="J519" s="92"/>
      <c r="K519" s="92"/>
      <c r="L519" s="117"/>
      <c r="M519" s="56">
        <v>100</v>
      </c>
    </row>
    <row r="520" spans="1:13" s="51" customFormat="1" ht="25.2" hidden="1" customHeight="1">
      <c r="A520" s="68">
        <f t="shared" si="26"/>
        <v>0</v>
      </c>
      <c r="B520" s="86" t="s">
        <v>145</v>
      </c>
      <c r="C520" s="86"/>
      <c r="D520" s="96"/>
      <c r="E520" s="88" t="str">
        <f>VLOOKUP($B520,[1]DG!A:D,[1]DG!$B$2,)</f>
        <v>06.3231</v>
      </c>
      <c r="F520" s="89" t="str">
        <f>VLOOKUP($B520,[1]DG!A:D,[1]DG!$C$2,)</f>
        <v>Cổ dê kẹp ống PVC Ø 114</v>
      </c>
      <c r="G520" s="88" t="str">
        <f>VLOOKUP($B520,[1]DG!A:D,[1]DG!$D$2,)</f>
        <v>bộ</v>
      </c>
      <c r="H520" s="94">
        <f>3*H510</f>
        <v>0</v>
      </c>
      <c r="I520" s="91">
        <f t="shared" si="27"/>
        <v>0</v>
      </c>
      <c r="J520" s="92"/>
      <c r="K520" s="92"/>
      <c r="L520" s="117"/>
      <c r="M520" s="56">
        <v>100</v>
      </c>
    </row>
    <row r="521" spans="1:13" s="51" customFormat="1" ht="25.2" hidden="1" customHeight="1">
      <c r="A521" s="68">
        <f t="shared" si="26"/>
        <v>0</v>
      </c>
      <c r="B521" s="69" t="s">
        <v>146</v>
      </c>
      <c r="C521" s="69"/>
      <c r="D521" s="96"/>
      <c r="E521" s="88">
        <f>VLOOKUP($B521,[1]DG!A:D,[1]DG!$B$2,)</f>
        <v>0</v>
      </c>
      <c r="F521" s="89" t="str">
        <f>VLOOKUP($B521,[1]DG!A:D,[1]DG!$C$2,)</f>
        <v>Co  90 độ PVC 114</v>
      </c>
      <c r="G521" s="88" t="str">
        <f>VLOOKUP($B521,[1]DG!A:D,[1]DG!$D$2,)</f>
        <v>cái</v>
      </c>
      <c r="H521" s="94">
        <f>2*H510</f>
        <v>0</v>
      </c>
      <c r="I521" s="91">
        <f t="shared" si="27"/>
        <v>0</v>
      </c>
      <c r="J521" s="92"/>
      <c r="K521" s="92"/>
      <c r="L521" s="117"/>
      <c r="M521" s="56">
        <v>100</v>
      </c>
    </row>
    <row r="522" spans="1:13" s="51" customFormat="1" ht="25.2" hidden="1" customHeight="1">
      <c r="A522" s="68">
        <f t="shared" si="26"/>
        <v>0</v>
      </c>
      <c r="B522" s="69" t="s">
        <v>147</v>
      </c>
      <c r="C522" s="69"/>
      <c r="D522" s="96"/>
      <c r="E522" s="88">
        <f>VLOOKUP($B522,[1]DG!A:D,[1]DG!$B$2,)</f>
        <v>0</v>
      </c>
      <c r="F522" s="89" t="str">
        <f>VLOOKUP($B522,[1]DG!A:D,[1]DG!$C$2,)</f>
        <v>Nối ống PVC 114</v>
      </c>
      <c r="G522" s="88" t="str">
        <f>VLOOKUP($B522,[1]DG!A:D,[1]DG!$D$2,)</f>
        <v>cái</v>
      </c>
      <c r="H522" s="94">
        <f>H510</f>
        <v>0</v>
      </c>
      <c r="I522" s="91">
        <f t="shared" si="27"/>
        <v>0</v>
      </c>
      <c r="J522" s="92"/>
      <c r="K522" s="92"/>
      <c r="L522" s="117"/>
      <c r="M522" s="56">
        <v>100</v>
      </c>
    </row>
    <row r="523" spans="1:13" s="51" customFormat="1" ht="25.2" hidden="1" customHeight="1">
      <c r="A523" s="68">
        <f t="shared" si="26"/>
        <v>0</v>
      </c>
      <c r="B523" s="69" t="s">
        <v>114</v>
      </c>
      <c r="C523" s="69"/>
      <c r="D523" s="96"/>
      <c r="E523" s="88">
        <f>VLOOKUP($B523,[1]DG!A:D,[1]DG!$B$2,)</f>
        <v>0</v>
      </c>
      <c r="F523" s="89" t="str">
        <f>VLOOKUP($B523,[1]DG!A:D,[1]DG!$C$2,)</f>
        <v>Keo dán ống PVC (100gr)</v>
      </c>
      <c r="G523" s="88" t="str">
        <f>VLOOKUP($B523,[1]DG!A:D,[1]DG!$D$2,)</f>
        <v>tuýp</v>
      </c>
      <c r="H523" s="94">
        <f>H510</f>
        <v>0</v>
      </c>
      <c r="I523" s="91">
        <f t="shared" si="27"/>
        <v>0</v>
      </c>
      <c r="J523" s="92"/>
      <c r="K523" s="92"/>
      <c r="L523" s="117"/>
      <c r="M523" s="56">
        <v>100</v>
      </c>
    </row>
    <row r="524" spans="1:13" s="51" customFormat="1" ht="25.2" hidden="1" customHeight="1">
      <c r="A524" s="68">
        <f t="shared" si="26"/>
        <v>0</v>
      </c>
      <c r="B524" s="69" t="s">
        <v>115</v>
      </c>
      <c r="C524" s="69"/>
      <c r="D524" s="96"/>
      <c r="E524" s="88">
        <f>VLOOKUP($B524,[1]DG!A:D,[1]DG!$B$2,)</f>
        <v>0</v>
      </c>
      <c r="F524" s="89" t="str">
        <f>VLOOKUP($B524,[1]DG!A:D,[1]DG!$C$2,)</f>
        <v>Keo silicon bít miệng ống</v>
      </c>
      <c r="G524" s="88" t="str">
        <f>VLOOKUP($B524,[1]DG!A:D,[1]DG!$D$2,)</f>
        <v>ống</v>
      </c>
      <c r="H524" s="94">
        <f>H510</f>
        <v>0</v>
      </c>
      <c r="I524" s="91">
        <f t="shared" si="27"/>
        <v>0</v>
      </c>
      <c r="J524" s="92"/>
      <c r="K524" s="92"/>
      <c r="L524" s="117"/>
      <c r="M524" s="56">
        <v>100</v>
      </c>
    </row>
    <row r="525" spans="1:13" s="51" customFormat="1" ht="25.2" hidden="1" customHeight="1">
      <c r="A525" s="68">
        <f t="shared" si="26"/>
        <v>0</v>
      </c>
      <c r="B525" s="86" t="s">
        <v>148</v>
      </c>
      <c r="C525" s="86"/>
      <c r="D525" s="96"/>
      <c r="E525" s="116"/>
      <c r="F525" s="89" t="str">
        <f>VLOOKUP($B525,[1]DG!A:D,[1]DG!$C$2,)</f>
        <v>Băng keo cách điện</v>
      </c>
      <c r="G525" s="88" t="str">
        <f>VLOOKUP($B525,[1]DG!A:D,[1]DG!$D$2,)</f>
        <v>cuộn</v>
      </c>
      <c r="H525" s="94">
        <f>H510</f>
        <v>0</v>
      </c>
      <c r="I525" s="91">
        <f t="shared" si="27"/>
        <v>0</v>
      </c>
      <c r="J525" s="92"/>
      <c r="K525" s="92"/>
      <c r="L525" s="117"/>
      <c r="M525" s="56">
        <v>100</v>
      </c>
    </row>
    <row r="526" spans="1:13" s="51" customFormat="1" ht="25.2" hidden="1" customHeight="1">
      <c r="A526" s="68">
        <f t="shared" si="26"/>
        <v>0</v>
      </c>
      <c r="B526" s="69" t="s">
        <v>116</v>
      </c>
      <c r="C526" s="69"/>
      <c r="D526" s="96"/>
      <c r="E526" s="88" t="str">
        <f>VLOOKUP($B526,[1]DG!A:D,[1]DG!$B$2,)</f>
        <v>07.2415</v>
      </c>
      <c r="F526" s="89" t="str">
        <f>VLOOKUP($B526,[1]DG!A:D,[1]DG!$C$2,)</f>
        <v>Lắp ống nhựa PVC D90</v>
      </c>
      <c r="G526" s="88" t="str">
        <f>VLOOKUP($B526,[1]DG!A:D,[1]DG!$D$2,)</f>
        <v>mét</v>
      </c>
      <c r="H526" s="94">
        <f>H519</f>
        <v>7</v>
      </c>
      <c r="I526" s="91">
        <f t="shared" si="27"/>
        <v>0</v>
      </c>
      <c r="J526" s="92"/>
      <c r="K526" s="92"/>
      <c r="L526" s="117"/>
      <c r="M526" s="56">
        <v>100</v>
      </c>
    </row>
    <row r="527" spans="1:13" s="51" customFormat="1" ht="25.2" hidden="1" customHeight="1">
      <c r="A527" s="68">
        <f t="shared" si="26"/>
        <v>0</v>
      </c>
      <c r="B527" s="86" t="s">
        <v>101</v>
      </c>
      <c r="C527" s="86"/>
      <c r="D527" s="96"/>
      <c r="E527" s="88" t="str">
        <f>VLOOKUP($B527,[1]DG!A:D,[1]DG!$B$2,)</f>
        <v>04.4201</v>
      </c>
      <c r="F527" s="89" t="str">
        <f>VLOOKUP($B527,[1]DG!A:D,[1]DG!$C$2,)</f>
        <v>Lắp cáp đồng xuống thiết bị D ≤ 95mm2</v>
      </c>
      <c r="G527" s="88" t="str">
        <f>VLOOKUP($B527,[1]DG!A:D,[1]DG!$D$2,)</f>
        <v>m</v>
      </c>
      <c r="H527" s="94">
        <f>H512+H513</f>
        <v>0</v>
      </c>
      <c r="I527" s="91">
        <f t="shared" si="27"/>
        <v>0</v>
      </c>
      <c r="J527" s="92"/>
      <c r="K527" s="92"/>
      <c r="L527" s="117"/>
      <c r="M527" s="56">
        <v>100</v>
      </c>
    </row>
    <row r="528" spans="1:13" s="51" customFormat="1" ht="25.2" hidden="1" customHeight="1">
      <c r="A528" s="68">
        <f t="shared" si="26"/>
        <v>0</v>
      </c>
      <c r="B528" s="69" t="s">
        <v>117</v>
      </c>
      <c r="C528" s="69"/>
      <c r="D528" s="118">
        <f>IF(H528&gt;0,D510+1,D510)</f>
        <v>0</v>
      </c>
      <c r="E528" s="119"/>
      <c r="F528" s="89" t="str">
        <f>VLOOKUP($B528,[1]DG!A:D,[1]DG!$C$2,)</f>
        <v>Bảng tên trạm, bảng báo nguy hiểm + đinh vít</v>
      </c>
      <c r="G528" s="88" t="str">
        <f>VLOOKUP($B528,[1]DG!A:D,[1]DG!$D$2,)</f>
        <v>bộ</v>
      </c>
      <c r="H528" s="120">
        <f>H477</f>
        <v>0</v>
      </c>
      <c r="I528" s="91">
        <f t="shared" si="27"/>
        <v>0</v>
      </c>
      <c r="J528" s="92"/>
      <c r="K528" s="92"/>
      <c r="L528" s="141"/>
      <c r="M528" s="56">
        <v>100</v>
      </c>
    </row>
    <row r="529" spans="1:13" s="51" customFormat="1" ht="25.2" hidden="1" customHeight="1">
      <c r="A529" s="68">
        <f t="shared" si="26"/>
        <v>0</v>
      </c>
      <c r="B529" s="69"/>
      <c r="C529" s="69"/>
      <c r="D529" s="122"/>
      <c r="E529" s="123"/>
      <c r="F529" s="107"/>
      <c r="G529" s="124"/>
      <c r="H529" s="125"/>
      <c r="I529" s="91">
        <f t="shared" si="27"/>
        <v>0</v>
      </c>
      <c r="J529" s="126"/>
      <c r="K529" s="127"/>
      <c r="L529" s="133"/>
      <c r="M529" s="56"/>
    </row>
    <row r="530" spans="1:13" s="51" customFormat="1" ht="25.2" hidden="1" customHeight="1">
      <c r="A530" s="68">
        <f t="shared" si="26"/>
        <v>0</v>
      </c>
      <c r="B530" s="69"/>
      <c r="C530" s="69"/>
      <c r="D530" s="128"/>
      <c r="E530" s="169"/>
      <c r="F530" s="170"/>
      <c r="H530" s="66"/>
      <c r="I530" s="91">
        <f t="shared" si="27"/>
        <v>0</v>
      </c>
      <c r="M530" s="56"/>
    </row>
    <row r="531" spans="1:13" s="51" customFormat="1" ht="25.2" hidden="1" customHeight="1">
      <c r="A531" s="68">
        <f t="shared" si="26"/>
        <v>0</v>
      </c>
      <c r="B531" s="69"/>
      <c r="C531" s="69"/>
      <c r="D531" s="147" t="str">
        <f>" BAÛNG TOÅNG HÔÏP VAÄT LIEÄU, NHAÂN COÂNG, MAÙY THI COÂNG : "&amp;L6&amp;" TRAÏM 3P 3x15KVA"</f>
        <v xml:space="preserve"> BAÛNG TOÅNG HÔÏP VAÄT LIEÄU, NHAÂN COÂNG, MAÙY THI COÂNG : 0 TRAÏM 3P 3x15KVA</v>
      </c>
      <c r="E531" s="130"/>
      <c r="F531" s="131"/>
      <c r="G531" s="131"/>
      <c r="H531" s="132"/>
      <c r="I531" s="91">
        <f t="shared" si="27"/>
        <v>0</v>
      </c>
      <c r="J531" s="131"/>
      <c r="K531" s="131"/>
      <c r="M531" s="56"/>
    </row>
    <row r="532" spans="1:13" s="51" customFormat="1" ht="25.2" hidden="1" customHeight="1">
      <c r="A532" s="68">
        <f t="shared" si="26"/>
        <v>0</v>
      </c>
      <c r="B532" s="69"/>
      <c r="C532" s="69"/>
      <c r="D532" s="79"/>
      <c r="E532" s="80"/>
      <c r="F532" s="107" t="s">
        <v>53</v>
      </c>
      <c r="G532" s="82"/>
      <c r="H532" s="83"/>
      <c r="I532" s="91">
        <f t="shared" si="27"/>
        <v>0</v>
      </c>
      <c r="J532" s="82"/>
      <c r="K532" s="82"/>
      <c r="L532" s="80"/>
      <c r="M532" s="56" t="s">
        <v>227</v>
      </c>
    </row>
    <row r="533" spans="1:13" s="51" customFormat="1" ht="25.2" hidden="1" customHeight="1">
      <c r="A533" s="68">
        <f t="shared" si="26"/>
        <v>0</v>
      </c>
      <c r="B533" s="86" t="s">
        <v>55</v>
      </c>
      <c r="C533" s="86"/>
      <c r="D533" s="87">
        <f>IF(H533&gt;0,1,0)</f>
        <v>0</v>
      </c>
      <c r="E533" s="88" t="str">
        <f>VLOOKUP($B533,[1]DG!A:D,[1]DG!$B$2,)</f>
        <v>01.1161</v>
      </c>
      <c r="F533" s="89" t="str">
        <f>VLOOKUP($B533,[1]DG!A:D,[1]DG!$C$2,)</f>
        <v>Máy biến áp 12,7/0,22-0,44kV  15kVA</v>
      </c>
      <c r="G533" s="88" t="str">
        <f>VLOOKUP($B533,[1]DG!A:D,[1]DG!$D$2,)</f>
        <v>máy</v>
      </c>
      <c r="H533" s="134">
        <f>L6*3</f>
        <v>0</v>
      </c>
      <c r="I533" s="91">
        <f t="shared" si="27"/>
        <v>0</v>
      </c>
      <c r="J533" s="92"/>
      <c r="K533" s="92"/>
      <c r="L533" s="117"/>
      <c r="M533" s="56" t="s">
        <v>227</v>
      </c>
    </row>
    <row r="534" spans="1:13" s="51" customFormat="1" ht="25.2" hidden="1" customHeight="1">
      <c r="A534" s="68">
        <f t="shared" si="26"/>
        <v>0</v>
      </c>
      <c r="B534" s="86" t="s">
        <v>56</v>
      </c>
      <c r="C534" s="86"/>
      <c r="D534" s="96">
        <f>IF(H534&gt;0,D533+1,D533)</f>
        <v>0</v>
      </c>
      <c r="E534" s="88" t="str">
        <f>VLOOKUP($B534,[1]DG!A:D,[1]DG!$B$2,)</f>
        <v>02.3155</v>
      </c>
      <c r="F534" s="89" t="str">
        <f>VLOOKUP($B534,[1]DG!A:D,[1]DG!$C$2,)</f>
        <v>FCO 27kV - 100A</v>
      </c>
      <c r="G534" s="88" t="str">
        <f>VLOOKUP($B534,[1]DG!A:D,[1]DG!$D$2,)</f>
        <v>cái</v>
      </c>
      <c r="H534" s="94">
        <f>+H533</f>
        <v>0</v>
      </c>
      <c r="I534" s="91">
        <f t="shared" si="27"/>
        <v>0</v>
      </c>
      <c r="J534" s="92"/>
      <c r="K534" s="92"/>
      <c r="L534" s="117"/>
      <c r="M534" s="56" t="s">
        <v>227</v>
      </c>
    </row>
    <row r="535" spans="1:13" s="51" customFormat="1" ht="25.2" hidden="1" customHeight="1">
      <c r="A535" s="68">
        <f t="shared" si="26"/>
        <v>0</v>
      </c>
      <c r="B535" s="86" t="s">
        <v>57</v>
      </c>
      <c r="C535" s="86"/>
      <c r="D535" s="96">
        <f>IF(H535&gt;0,D534+1,D534)</f>
        <v>0</v>
      </c>
      <c r="E535" s="88">
        <f>VLOOKUP($B535,[1]DG!A:D,[1]DG!$B$2,)</f>
        <v>0</v>
      </c>
      <c r="F535" s="89" t="str">
        <f>VLOOKUP($B535,[1]DG!A:D,[1]DG!$C$2,)</f>
        <v>Dây chảy 3K</v>
      </c>
      <c r="G535" s="88" t="str">
        <f>VLOOKUP($B535,[1]DG!A:D,[1]DG!$D$2,)</f>
        <v>Sợi</v>
      </c>
      <c r="H535" s="94">
        <f>H534</f>
        <v>0</v>
      </c>
      <c r="I535" s="91">
        <f t="shared" si="27"/>
        <v>0</v>
      </c>
      <c r="J535" s="92"/>
      <c r="K535" s="92"/>
      <c r="L535" s="117"/>
      <c r="M535" s="56" t="s">
        <v>227</v>
      </c>
    </row>
    <row r="536" spans="1:13" s="51" customFormat="1" ht="25.2" hidden="1" customHeight="1">
      <c r="A536" s="68">
        <f t="shared" si="26"/>
        <v>0</v>
      </c>
      <c r="B536" s="69" t="s">
        <v>58</v>
      </c>
      <c r="C536" s="69"/>
      <c r="D536" s="96">
        <f>IF(H536&gt;0,D535+1,D535)</f>
        <v>0</v>
      </c>
      <c r="E536" s="88" t="str">
        <f>VLOOKUP($B536,[1]DG!A:D,[1]DG!$B$2,)</f>
        <v>02.5114</v>
      </c>
      <c r="F536" s="89" t="str">
        <f>VLOOKUP($B536,[1]DG!A:D,[1]DG!$C$2,)</f>
        <v>Chống sét van LA-18KV-10KA</v>
      </c>
      <c r="G536" s="88" t="str">
        <f>VLOOKUP($B536,[1]DG!A:D,[1]DG!$D$2,)</f>
        <v>cái</v>
      </c>
      <c r="H536" s="94">
        <f>H534</f>
        <v>0</v>
      </c>
      <c r="I536" s="91">
        <f t="shared" si="27"/>
        <v>0</v>
      </c>
      <c r="J536" s="92"/>
      <c r="K536" s="92"/>
      <c r="L536" s="117"/>
      <c r="M536" s="56" t="s">
        <v>227</v>
      </c>
    </row>
    <row r="537" spans="1:13" s="51" customFormat="1" ht="25.2" hidden="1" customHeight="1">
      <c r="A537" s="68">
        <f t="shared" si="26"/>
        <v>0</v>
      </c>
      <c r="B537" s="98" t="s">
        <v>59</v>
      </c>
      <c r="C537" s="98"/>
      <c r="D537" s="96">
        <f>IF(H537&gt;0,D536+1,D536)</f>
        <v>0</v>
      </c>
      <c r="E537" s="88" t="str">
        <f>VLOOKUP($B537,[1]DG!A:D,[1]DG!$B$2,)</f>
        <v>02.8401</v>
      </c>
      <c r="F537" s="89" t="str">
        <f>VLOOKUP($B537,[1]DG!A:D,[1]DG!$C$2,)</f>
        <v>MCCB 3 cực 400V-75A - 10KA</v>
      </c>
      <c r="G537" s="88" t="str">
        <f>VLOOKUP($B537,[1]DG!A:D,[1]DG!$D$2,)</f>
        <v>cái</v>
      </c>
      <c r="H537" s="94">
        <f>H533/3</f>
        <v>0</v>
      </c>
      <c r="I537" s="91">
        <f t="shared" si="27"/>
        <v>0</v>
      </c>
      <c r="J537" s="92"/>
      <c r="K537" s="92"/>
      <c r="L537" s="117"/>
      <c r="M537" s="56" t="s">
        <v>227</v>
      </c>
    </row>
    <row r="538" spans="1:13" s="51" customFormat="1" ht="25.2" hidden="1" customHeight="1">
      <c r="A538" s="68">
        <f t="shared" si="26"/>
        <v>0</v>
      </c>
      <c r="B538" s="86" t="s">
        <v>228</v>
      </c>
      <c r="C538" s="86"/>
      <c r="D538" s="96">
        <f>IF(H538&gt;0,D537+1,D537)</f>
        <v>0</v>
      </c>
      <c r="E538" s="88">
        <f>VLOOKUP($B538,[1]DG!A:D,[1]DG!$B$2,)</f>
        <v>0</v>
      </c>
      <c r="F538" s="89" t="str">
        <f>VLOOKUP($B538,[1]DG!A:D,[1]DG!$C$2,)</f>
        <v>Điện kế 3 pha 4 dây 220/380V-50(100)A</v>
      </c>
      <c r="G538" s="88" t="str">
        <f>VLOOKUP($B538,[1]DG!A:D,[1]DG!$D$2,)</f>
        <v>cái</v>
      </c>
      <c r="H538" s="94">
        <f>H535/3</f>
        <v>0</v>
      </c>
      <c r="I538" s="91">
        <f t="shared" si="27"/>
        <v>0</v>
      </c>
      <c r="J538" s="92"/>
      <c r="K538" s="92"/>
      <c r="L538" s="141" t="s">
        <v>61</v>
      </c>
      <c r="M538" s="56" t="s">
        <v>227</v>
      </c>
    </row>
    <row r="539" spans="1:13" s="51" customFormat="1" ht="25.2" hidden="1" customHeight="1">
      <c r="A539" s="68">
        <f t="shared" si="26"/>
        <v>0</v>
      </c>
      <c r="B539" s="69"/>
      <c r="C539" s="69"/>
      <c r="D539" s="100"/>
      <c r="E539" s="103"/>
      <c r="F539" s="84"/>
      <c r="G539" s="100"/>
      <c r="H539" s="103"/>
      <c r="I539" s="91">
        <f t="shared" si="27"/>
        <v>0</v>
      </c>
      <c r="J539" s="84"/>
      <c r="K539" s="100"/>
      <c r="L539" s="154"/>
      <c r="M539" s="56" t="s">
        <v>227</v>
      </c>
    </row>
    <row r="540" spans="1:13" s="51" customFormat="1" ht="25.2" hidden="1" customHeight="1">
      <c r="A540" s="68">
        <f t="shared" si="26"/>
        <v>0</v>
      </c>
      <c r="B540" s="69"/>
      <c r="C540" s="69"/>
      <c r="D540" s="104"/>
      <c r="E540" s="172"/>
      <c r="F540" s="107" t="s">
        <v>64</v>
      </c>
      <c r="G540" s="107"/>
      <c r="H540" s="83"/>
      <c r="I540" s="91">
        <f t="shared" si="27"/>
        <v>0</v>
      </c>
      <c r="J540" s="107"/>
      <c r="K540" s="107"/>
      <c r="L540" s="133"/>
      <c r="M540" s="56" t="s">
        <v>227</v>
      </c>
    </row>
    <row r="541" spans="1:13" s="51" customFormat="1" ht="25.2" hidden="1" customHeight="1">
      <c r="A541" s="68">
        <f t="shared" si="26"/>
        <v>0</v>
      </c>
      <c r="B541" s="69"/>
      <c r="C541" s="69"/>
      <c r="D541" s="173">
        <f>IF(H541&gt;0,1,0)</f>
        <v>0</v>
      </c>
      <c r="E541" s="174"/>
      <c r="F541" s="175" t="s">
        <v>229</v>
      </c>
      <c r="G541" s="173" t="s">
        <v>67</v>
      </c>
      <c r="H541" s="176">
        <f>H533/3</f>
        <v>0</v>
      </c>
      <c r="I541" s="91">
        <f t="shared" si="27"/>
        <v>0</v>
      </c>
      <c r="J541" s="177"/>
      <c r="K541" s="177"/>
      <c r="L541" s="135"/>
      <c r="M541" s="56" t="s">
        <v>227</v>
      </c>
    </row>
    <row r="542" spans="1:13" s="51" customFormat="1" ht="25.2" hidden="1" customHeight="1">
      <c r="A542" s="68">
        <f>IF(A541&gt;0,1,0)</f>
        <v>0</v>
      </c>
      <c r="B542" s="69"/>
      <c r="C542" s="69"/>
      <c r="D542" s="114"/>
      <c r="E542" s="178"/>
      <c r="F542" s="137" t="s">
        <v>68</v>
      </c>
      <c r="G542" s="96"/>
      <c r="H542" s="94"/>
      <c r="I542" s="91">
        <f t="shared" si="27"/>
        <v>0</v>
      </c>
      <c r="J542" s="179"/>
      <c r="K542" s="179"/>
      <c r="L542" s="117"/>
      <c r="M542" s="56" t="s">
        <v>227</v>
      </c>
    </row>
    <row r="543" spans="1:13" s="51" customFormat="1" ht="25.2" hidden="1" customHeight="1">
      <c r="A543" s="68">
        <f t="shared" ref="A543:A606" si="29">IF(I543&gt;0,1,0)</f>
        <v>0</v>
      </c>
      <c r="B543" s="86" t="s">
        <v>230</v>
      </c>
      <c r="C543" s="86"/>
      <c r="D543" s="114"/>
      <c r="E543" s="88" t="str">
        <f>VLOOKUP($B543,[1]DG!A:D,[1]DG!$B$2,)</f>
        <v>05.6100</v>
      </c>
      <c r="F543" s="89" t="str">
        <f>VLOOKUP($B543,[1]DG!A:D,[1]DG!$C$2,)</f>
        <v>Giá chùm treo máy biến áp 3x15</v>
      </c>
      <c r="G543" s="88" t="str">
        <f>VLOOKUP($B543,[1]DG!A:D,[1]DG!$D$2,)</f>
        <v>bô</v>
      </c>
      <c r="H543" s="94">
        <f>H541*24.13*0+1*H541</f>
        <v>0</v>
      </c>
      <c r="I543" s="91">
        <f t="shared" si="27"/>
        <v>0</v>
      </c>
      <c r="J543" s="92"/>
      <c r="K543" s="92"/>
      <c r="L543" s="117"/>
      <c r="M543" s="56" t="s">
        <v>227</v>
      </c>
    </row>
    <row r="544" spans="1:13" s="51" customFormat="1" ht="25.2" hidden="1" customHeight="1">
      <c r="A544" s="68">
        <f t="shared" si="29"/>
        <v>0</v>
      </c>
      <c r="B544" s="69" t="s">
        <v>231</v>
      </c>
      <c r="C544" s="69"/>
      <c r="D544" s="114"/>
      <c r="E544" s="88">
        <f>VLOOKUP($B544,[1]DG!A:D,[1]DG!$B$2,)</f>
        <v>0</v>
      </c>
      <c r="F544" s="89" t="str">
        <f>VLOOKUP($B544,[1]DG!A:D,[1]DG!$C$2,)</f>
        <v>Boulon 16x50+ 2 long đền vuông D18-50x50x3/Zn</v>
      </c>
      <c r="G544" s="88" t="str">
        <f>VLOOKUP($B544,[1]DG!A:D,[1]DG!$D$2,)</f>
        <v>bộ</v>
      </c>
      <c r="H544" s="94">
        <f>6*H541</f>
        <v>0</v>
      </c>
      <c r="I544" s="91">
        <f t="shared" si="27"/>
        <v>0</v>
      </c>
      <c r="J544" s="92"/>
      <c r="K544" s="92"/>
      <c r="L544" s="117"/>
      <c r="M544" s="56" t="s">
        <v>227</v>
      </c>
    </row>
    <row r="545" spans="1:14" s="51" customFormat="1" ht="25.2" hidden="1" customHeight="1">
      <c r="A545" s="68">
        <f t="shared" si="29"/>
        <v>0</v>
      </c>
      <c r="B545" s="69" t="s">
        <v>65</v>
      </c>
      <c r="C545" s="69"/>
      <c r="D545" s="114"/>
      <c r="E545" s="88">
        <f>VLOOKUP($B545,[1]DG!A:D,[1]DG!$B$2,)</f>
        <v>0</v>
      </c>
      <c r="F545" s="89" t="str">
        <f>VLOOKUP($B545,[1]DG!A:D,[1]DG!$C$2,)</f>
        <v>Boulon 16x300+ 2 long đền vuông D18-50x50x3/Zn</v>
      </c>
      <c r="G545" s="88" t="str">
        <f>VLOOKUP($B545,[1]DG!A:D,[1]DG!$D$2,)</f>
        <v>bộ</v>
      </c>
      <c r="H545" s="94">
        <f>2*H541</f>
        <v>0</v>
      </c>
      <c r="I545" s="91">
        <f t="shared" si="27"/>
        <v>0</v>
      </c>
      <c r="J545" s="92"/>
      <c r="K545" s="92"/>
      <c r="L545" s="117"/>
      <c r="M545" s="56" t="s">
        <v>227</v>
      </c>
    </row>
    <row r="546" spans="1:14" s="51" customFormat="1" ht="25.2" hidden="1" customHeight="1">
      <c r="A546" s="68">
        <f t="shared" si="29"/>
        <v>0</v>
      </c>
      <c r="B546" s="69"/>
      <c r="C546" s="69"/>
      <c r="D546" s="111">
        <f>IF(H546&gt;0,D541+1,D541)</f>
        <v>0</v>
      </c>
      <c r="E546" s="112"/>
      <c r="F546" s="113" t="s">
        <v>66</v>
      </c>
      <c r="G546" s="114" t="s">
        <v>67</v>
      </c>
      <c r="H546" s="110"/>
      <c r="I546" s="91">
        <f t="shared" si="27"/>
        <v>0</v>
      </c>
      <c r="J546" s="95"/>
      <c r="K546" s="95"/>
      <c r="L546" s="96"/>
      <c r="M546" s="56" t="s">
        <v>227</v>
      </c>
    </row>
    <row r="547" spans="1:14" s="51" customFormat="1" ht="25.2" hidden="1" customHeight="1">
      <c r="A547" s="68">
        <f>IF(A546&gt;0,1,0)</f>
        <v>0</v>
      </c>
      <c r="B547" s="69"/>
      <c r="C547" s="69"/>
      <c r="D547" s="114"/>
      <c r="E547" s="112"/>
      <c r="F547" s="115" t="s">
        <v>68</v>
      </c>
      <c r="G547" s="96"/>
      <c r="H547" s="94"/>
      <c r="I547" s="91">
        <f t="shared" si="27"/>
        <v>0</v>
      </c>
      <c r="J547" s="95"/>
      <c r="K547" s="95"/>
      <c r="L547" s="96"/>
      <c r="M547" s="56" t="s">
        <v>227</v>
      </c>
      <c r="N547" s="56"/>
    </row>
    <row r="548" spans="1:14" s="51" customFormat="1" ht="25.2" hidden="1" customHeight="1">
      <c r="A548" s="68">
        <f t="shared" si="29"/>
        <v>0</v>
      </c>
      <c r="B548" s="86" t="s">
        <v>69</v>
      </c>
      <c r="C548" s="86"/>
      <c r="D548" s="96"/>
      <c r="E548" s="88">
        <f>VLOOKUP($B548,[1]DG!A:D,[1]DG!$B$2,)</f>
        <v>0</v>
      </c>
      <c r="F548" s="89" t="str">
        <f>VLOOKUP($B548,[1]DG!A:D,[1]DG!$C$2,)</f>
        <v>Trụ BTLT 12m F350 dự ứng lực</v>
      </c>
      <c r="G548" s="88" t="str">
        <f>VLOOKUP($B548,[1]DG!A:D,[1]DG!$D$2,)</f>
        <v>trụ</v>
      </c>
      <c r="H548" s="94">
        <f>1*H546</f>
        <v>0</v>
      </c>
      <c r="I548" s="91">
        <f t="shared" si="27"/>
        <v>0</v>
      </c>
      <c r="J548" s="92"/>
      <c r="K548" s="92"/>
      <c r="L548" s="96"/>
      <c r="M548" s="56" t="s">
        <v>227</v>
      </c>
      <c r="N548" s="56"/>
    </row>
    <row r="549" spans="1:14" s="51" customFormat="1" ht="25.2" hidden="1" customHeight="1">
      <c r="A549" s="68">
        <f t="shared" si="29"/>
        <v>0</v>
      </c>
      <c r="B549" s="86" t="s">
        <v>70</v>
      </c>
      <c r="C549" s="86"/>
      <c r="D549" s="96"/>
      <c r="E549" s="116"/>
      <c r="F549" s="89" t="str">
        <f>VLOOKUP($B549,[1]DG!A:D,[1]DG!$C$2,)</f>
        <v>Vật liệu dựng trụ</v>
      </c>
      <c r="G549" s="88" t="str">
        <f>VLOOKUP($B549,[1]DG!A:D,[1]DG!$D$2,)</f>
        <v>trụ</v>
      </c>
      <c r="H549" s="94">
        <f>H548</f>
        <v>0</v>
      </c>
      <c r="I549" s="91">
        <f t="shared" si="27"/>
        <v>0</v>
      </c>
      <c r="J549" s="92"/>
      <c r="K549" s="92"/>
      <c r="L549" s="96"/>
      <c r="M549" s="56" t="s">
        <v>227</v>
      </c>
      <c r="N549" s="56"/>
    </row>
    <row r="550" spans="1:14" s="51" customFormat="1" ht="25.2" hidden="1" customHeight="1">
      <c r="A550" s="68">
        <f t="shared" si="29"/>
        <v>0</v>
      </c>
      <c r="B550" s="86" t="s">
        <v>71</v>
      </c>
      <c r="C550" s="86"/>
      <c r="D550" s="96"/>
      <c r="E550" s="116"/>
      <c r="F550" s="89" t="str">
        <f>VLOOKUP($B550,[1]DG!A:D,[1]DG!$C$2,)</f>
        <v>Dựng trụ BTLT 12m trong TBA bằng thủ công + cơ giới</v>
      </c>
      <c r="G550" s="88" t="str">
        <f>VLOOKUP($B550,[1]DG!A:D,[1]DG!$D$2,)</f>
        <v>trụ</v>
      </c>
      <c r="H550" s="94">
        <f>H548</f>
        <v>0</v>
      </c>
      <c r="I550" s="91">
        <f t="shared" si="27"/>
        <v>0</v>
      </c>
      <c r="J550" s="92"/>
      <c r="K550" s="92"/>
      <c r="L550" s="96"/>
      <c r="M550" s="56" t="s">
        <v>227</v>
      </c>
      <c r="N550" s="56"/>
    </row>
    <row r="551" spans="1:14" s="51" customFormat="1" ht="25.2" hidden="1" customHeight="1">
      <c r="A551" s="68">
        <f t="shared" si="29"/>
        <v>0</v>
      </c>
      <c r="B551" s="69"/>
      <c r="C551" s="69"/>
      <c r="D551" s="111">
        <f>IF(H551&gt;0,D546+1,D546)</f>
        <v>0</v>
      </c>
      <c r="E551" s="112"/>
      <c r="F551" s="113" t="s">
        <v>72</v>
      </c>
      <c r="G551" s="114" t="s">
        <v>67</v>
      </c>
      <c r="H551" s="110"/>
      <c r="I551" s="91">
        <f t="shared" si="27"/>
        <v>0</v>
      </c>
      <c r="J551" s="95"/>
      <c r="K551" s="95"/>
      <c r="L551" s="96"/>
      <c r="M551" s="56" t="s">
        <v>227</v>
      </c>
    </row>
    <row r="552" spans="1:14" s="51" customFormat="1" ht="25.2" hidden="1" customHeight="1">
      <c r="A552" s="68">
        <f>IF(A551&gt;0,1,0)</f>
        <v>0</v>
      </c>
      <c r="B552" s="69"/>
      <c r="C552" s="69"/>
      <c r="D552" s="114"/>
      <c r="E552" s="112"/>
      <c r="F552" s="115" t="s">
        <v>68</v>
      </c>
      <c r="G552" s="96"/>
      <c r="H552" s="94"/>
      <c r="I552" s="91">
        <f t="shared" si="27"/>
        <v>0</v>
      </c>
      <c r="J552" s="95"/>
      <c r="K552" s="95"/>
      <c r="L552" s="96"/>
      <c r="M552" s="56" t="s">
        <v>227</v>
      </c>
      <c r="N552" s="56"/>
    </row>
    <row r="553" spans="1:14" s="51" customFormat="1" ht="25.2" hidden="1" customHeight="1">
      <c r="A553" s="68">
        <f t="shared" si="29"/>
        <v>0</v>
      </c>
      <c r="B553" s="86" t="s">
        <v>232</v>
      </c>
      <c r="C553" s="86"/>
      <c r="D553" s="96"/>
      <c r="E553" s="88" t="str">
        <f>VLOOKUP($B553,[1]DG!A:D,[1]DG!$B$2,)</f>
        <v>04.4001</v>
      </c>
      <c r="F553" s="89" t="str">
        <f>VLOOKUP($B553,[1]DG!A:D,[1]DG!$C$2,)</f>
        <v>Đà cản BTCT 1,2m</v>
      </c>
      <c r="G553" s="88" t="str">
        <f>VLOOKUP($B553,[1]DG!A:D,[1]DG!$D$2,)</f>
        <v>cái</v>
      </c>
      <c r="H553" s="94">
        <f>1*H551</f>
        <v>0</v>
      </c>
      <c r="I553" s="91">
        <f t="shared" si="27"/>
        <v>0</v>
      </c>
      <c r="J553" s="92"/>
      <c r="K553" s="92"/>
      <c r="L553" s="96"/>
      <c r="M553" s="56" t="s">
        <v>227</v>
      </c>
      <c r="N553" s="56"/>
    </row>
    <row r="554" spans="1:14" s="51" customFormat="1" ht="25.2" hidden="1" customHeight="1">
      <c r="A554" s="68">
        <f t="shared" si="29"/>
        <v>0</v>
      </c>
      <c r="B554" s="86" t="s">
        <v>233</v>
      </c>
      <c r="C554" s="86"/>
      <c r="D554" s="96"/>
      <c r="E554" s="88">
        <f>VLOOKUP($B554,[1]DG!A:D,[1]DG!$B$2,)</f>
        <v>0</v>
      </c>
      <c r="F554" s="89" t="str">
        <f>VLOOKUP($B554,[1]DG!A:D,[1]DG!$C$2,)</f>
        <v>Boulon 22x650+ 2 long đền vuông D24-50x50x3/Zn</v>
      </c>
      <c r="G554" s="88" t="str">
        <f>VLOOKUP($B554,[1]DG!A:D,[1]DG!$D$2,)</f>
        <v>bộ</v>
      </c>
      <c r="H554" s="94">
        <f>H551</f>
        <v>0</v>
      </c>
      <c r="I554" s="91">
        <f t="shared" si="27"/>
        <v>0</v>
      </c>
      <c r="J554" s="92"/>
      <c r="K554" s="92"/>
      <c r="L554" s="96"/>
      <c r="M554" s="56" t="s">
        <v>227</v>
      </c>
      <c r="N554" s="56"/>
    </row>
    <row r="555" spans="1:14" s="51" customFormat="1" ht="25.2" hidden="1" customHeight="1">
      <c r="A555" s="68">
        <f t="shared" si="29"/>
        <v>0</v>
      </c>
      <c r="B555" s="86" t="str">
        <f>IF(chitiet!G5=1,"MDD1",IF(chitiet!G5=2,"MDD2",IF(chitiet!G5=3,"MDD3",IF(chitiet!G5=4,"MDD4"))))</f>
        <v>MDD3</v>
      </c>
      <c r="C555" s="86"/>
      <c r="D555" s="96"/>
      <c r="E555" s="88" t="str">
        <f>VLOOKUP($B555,[1]DG!A:D,[1]DG!$B$2,)</f>
        <v>03.1013</v>
      </c>
      <c r="F555" s="89" t="str">
        <f>VLOOKUP($B555,[1]DG!A:D,[1]DG!$C$2,)</f>
        <v>Đào hố móng đất cấp 3 sâu &gt;1m</v>
      </c>
      <c r="G555" s="88" t="str">
        <f>VLOOKUP($B555,[1]DG!A:D,[1]DG!$D$2,)</f>
        <v>m3</v>
      </c>
      <c r="H555" s="94">
        <f>H551*1.45</f>
        <v>0</v>
      </c>
      <c r="I555" s="91">
        <f t="shared" si="27"/>
        <v>0</v>
      </c>
      <c r="J555" s="92"/>
      <c r="K555" s="92"/>
      <c r="L555" s="96"/>
      <c r="M555" s="56" t="s">
        <v>227</v>
      </c>
      <c r="N555" s="56"/>
    </row>
    <row r="556" spans="1:14" s="51" customFormat="1" ht="25.2" hidden="1" customHeight="1">
      <c r="A556" s="68">
        <f t="shared" si="29"/>
        <v>0</v>
      </c>
      <c r="B556" s="86" t="str">
        <f>IF(chitiet!G5=1,"MDAP1",IF(chitiet!G5=2,"MDAP2",IF(chitiet!G5=3,"MDAP3",IF(chitiet!G5=4,"MDAP4"))))</f>
        <v>MDAP3</v>
      </c>
      <c r="C556" s="86"/>
      <c r="D556" s="96"/>
      <c r="E556" s="88" t="str">
        <f>VLOOKUP($B556,[1]DG!A:D,[1]DG!$B$2,)</f>
        <v>03.4113</v>
      </c>
      <c r="F556" s="89" t="str">
        <f>VLOOKUP($B556,[1]DG!A:D,[1]DG!$C$2,)</f>
        <v>Đắp đất hố móng, độ chặt k=0,95</v>
      </c>
      <c r="G556" s="88" t="str">
        <f>VLOOKUP($B556,[1]DG!A:D,[1]DG!$D$2,)</f>
        <v>m3</v>
      </c>
      <c r="H556" s="94">
        <f>H551*1.37</f>
        <v>0</v>
      </c>
      <c r="I556" s="91">
        <f t="shared" si="27"/>
        <v>0</v>
      </c>
      <c r="J556" s="92"/>
      <c r="K556" s="92"/>
      <c r="L556" s="96"/>
      <c r="M556" s="56" t="s">
        <v>227</v>
      </c>
      <c r="N556" s="56"/>
    </row>
    <row r="557" spans="1:14" s="51" customFormat="1" ht="25.2" hidden="1" customHeight="1">
      <c r="A557" s="68">
        <f t="shared" si="29"/>
        <v>0</v>
      </c>
      <c r="B557" s="69"/>
      <c r="C557" s="69"/>
      <c r="D557" s="114">
        <f>IF(H557&gt;0,D551+1,D551)</f>
        <v>0</v>
      </c>
      <c r="E557" s="178"/>
      <c r="F557" s="136" t="s">
        <v>234</v>
      </c>
      <c r="G557" s="114" t="s">
        <v>67</v>
      </c>
      <c r="H557" s="110">
        <f>H541</f>
        <v>0</v>
      </c>
      <c r="I557" s="91">
        <f t="shared" si="27"/>
        <v>0</v>
      </c>
      <c r="J557" s="99"/>
      <c r="K557" s="99"/>
      <c r="L557" s="117"/>
      <c r="M557" s="56" t="s">
        <v>227</v>
      </c>
    </row>
    <row r="558" spans="1:14" s="51" customFormat="1" ht="25.2" hidden="1" customHeight="1">
      <c r="A558" s="68">
        <f>IF(A557&gt;0,1,0)</f>
        <v>0</v>
      </c>
      <c r="B558" s="69"/>
      <c r="C558" s="69"/>
      <c r="D558" s="114"/>
      <c r="E558" s="178"/>
      <c r="F558" s="137" t="s">
        <v>68</v>
      </c>
      <c r="G558" s="96"/>
      <c r="H558" s="94"/>
      <c r="I558" s="91">
        <f t="shared" si="27"/>
        <v>0</v>
      </c>
      <c r="J558" s="99"/>
      <c r="K558" s="99"/>
      <c r="L558" s="117"/>
      <c r="M558" s="56" t="s">
        <v>227</v>
      </c>
    </row>
    <row r="559" spans="1:14" s="51" customFormat="1" ht="25.2" hidden="1" customHeight="1">
      <c r="A559" s="68">
        <f t="shared" si="29"/>
        <v>0</v>
      </c>
      <c r="B559" s="86" t="s">
        <v>235</v>
      </c>
      <c r="C559" s="86"/>
      <c r="D559" s="114"/>
      <c r="E559" s="88">
        <f>VLOOKUP($B559,[1]DG!A:D,[1]DG!$B$2,)</f>
        <v>0</v>
      </c>
      <c r="F559" s="89" t="str">
        <f>VLOOKUP($B559,[1]DG!A:D,[1]DG!$C$2,)</f>
        <v>Sắt góc L75 x75 x8</v>
      </c>
      <c r="G559" s="88" t="str">
        <f>VLOOKUP($B559,[1]DG!A:D,[1]DG!$D$2,)</f>
        <v>kg</v>
      </c>
      <c r="H559" s="94">
        <f>H557*9.02*(2.2+4*0.07)</f>
        <v>0</v>
      </c>
      <c r="I559" s="91">
        <f t="shared" si="27"/>
        <v>0</v>
      </c>
      <c r="J559" s="92"/>
      <c r="K559" s="92"/>
      <c r="L559" s="117"/>
      <c r="M559" s="56" t="s">
        <v>227</v>
      </c>
    </row>
    <row r="560" spans="1:14" s="51" customFormat="1" ht="25.2" hidden="1" customHeight="1">
      <c r="A560" s="68">
        <f t="shared" si="29"/>
        <v>0</v>
      </c>
      <c r="B560" s="69" t="s">
        <v>236</v>
      </c>
      <c r="C560" s="69"/>
      <c r="D560" s="114"/>
      <c r="E560" s="88">
        <f>VLOOKUP($B560,[1]DG!A:D,[1]DG!$B$2,)</f>
        <v>0</v>
      </c>
      <c r="F560" s="89" t="str">
        <f>VLOOKUP($B560,[1]DG!A:D,[1]DG!$C$2,)</f>
        <v>Sắt góc L50 x50 x5</v>
      </c>
      <c r="G560" s="88" t="str">
        <f>VLOOKUP($B560,[1]DG!A:D,[1]DG!$D$2,)</f>
        <v>kg</v>
      </c>
      <c r="H560" s="94">
        <f>H557*2*3.77*0.81</f>
        <v>0</v>
      </c>
      <c r="I560" s="91">
        <f t="shared" si="27"/>
        <v>0</v>
      </c>
      <c r="J560" s="92"/>
      <c r="K560" s="92"/>
      <c r="L560" s="117"/>
      <c r="M560" s="56" t="s">
        <v>227</v>
      </c>
    </row>
    <row r="561" spans="1:13" s="51" customFormat="1" ht="25.2" hidden="1" customHeight="1">
      <c r="A561" s="68">
        <f t="shared" si="29"/>
        <v>0</v>
      </c>
      <c r="B561" s="69" t="s">
        <v>231</v>
      </c>
      <c r="C561" s="69"/>
      <c r="D561" s="114"/>
      <c r="E561" s="88">
        <f>VLOOKUP($B561,[1]DG!A:D,[1]DG!$B$2,)</f>
        <v>0</v>
      </c>
      <c r="F561" s="89" t="str">
        <f>VLOOKUP($B561,[1]DG!A:D,[1]DG!$C$2,)</f>
        <v>Boulon 16x50+ 2 long đền vuông D18-50x50x3/Zn</v>
      </c>
      <c r="G561" s="88" t="str">
        <f>VLOOKUP($B561,[1]DG!A:D,[1]DG!$D$2,)</f>
        <v>bộ</v>
      </c>
      <c r="H561" s="94">
        <f>4*H557</f>
        <v>0</v>
      </c>
      <c r="I561" s="91">
        <f t="shared" si="27"/>
        <v>0</v>
      </c>
      <c r="J561" s="92"/>
      <c r="K561" s="92"/>
      <c r="L561" s="117"/>
      <c r="M561" s="56" t="s">
        <v>227</v>
      </c>
    </row>
    <row r="562" spans="1:13" s="51" customFormat="1" ht="25.2" hidden="1" customHeight="1">
      <c r="A562" s="68">
        <f t="shared" si="29"/>
        <v>0</v>
      </c>
      <c r="B562" s="69" t="s">
        <v>237</v>
      </c>
      <c r="C562" s="69"/>
      <c r="D562" s="114"/>
      <c r="E562" s="88">
        <f>VLOOKUP($B562,[1]DG!A:D,[1]DG!$B$2,)</f>
        <v>0</v>
      </c>
      <c r="F562" s="89" t="str">
        <f>VLOOKUP($B562,[1]DG!A:D,[1]DG!$C$2,)</f>
        <v>Boulon 16x250+ 2 long đền vuông D18-50x50x3/Zn</v>
      </c>
      <c r="G562" s="88" t="str">
        <f>VLOOKUP($B562,[1]DG!A:D,[1]DG!$D$2,)</f>
        <v>bộ</v>
      </c>
      <c r="H562" s="94">
        <f>2*H557</f>
        <v>0</v>
      </c>
      <c r="I562" s="91">
        <f t="shared" si="27"/>
        <v>0</v>
      </c>
      <c r="J562" s="92"/>
      <c r="K562" s="92"/>
      <c r="L562" s="117"/>
      <c r="M562" s="56" t="s">
        <v>227</v>
      </c>
    </row>
    <row r="563" spans="1:13" s="51" customFormat="1" ht="25.2" hidden="1" customHeight="1">
      <c r="A563" s="68">
        <f t="shared" si="29"/>
        <v>0</v>
      </c>
      <c r="B563" s="69" t="s">
        <v>125</v>
      </c>
      <c r="C563" s="69"/>
      <c r="D563" s="114"/>
      <c r="E563" s="88">
        <f>VLOOKUP($B563,[1]DG!A:D,[1]DG!$B$2,)</f>
        <v>0</v>
      </c>
      <c r="F563" s="89" t="str">
        <f>VLOOKUP($B563,[1]DG!A:D,[1]DG!$C$2,)</f>
        <v>Bass LL bắt FCO, LA</v>
      </c>
      <c r="G563" s="88" t="str">
        <f>VLOOKUP($B563,[1]DG!A:D,[1]DG!$D$2,)</f>
        <v>bộ</v>
      </c>
      <c r="H563" s="94">
        <f>H557*3</f>
        <v>0</v>
      </c>
      <c r="I563" s="91">
        <f t="shared" si="27"/>
        <v>0</v>
      </c>
      <c r="J563" s="92"/>
      <c r="K563" s="92"/>
      <c r="L563" s="117"/>
      <c r="M563" s="56" t="s">
        <v>227</v>
      </c>
    </row>
    <row r="564" spans="1:13" s="51" customFormat="1" ht="25.2" hidden="1" customHeight="1">
      <c r="A564" s="68">
        <f t="shared" si="29"/>
        <v>0</v>
      </c>
      <c r="B564" s="69" t="s">
        <v>238</v>
      </c>
      <c r="C564" s="69"/>
      <c r="D564" s="114"/>
      <c r="E564" s="88" t="str">
        <f>VLOOKUP($B564,[1]DG!A:D,[1]DG!$B$2,)</f>
        <v>05.6102</v>
      </c>
      <c r="F564" s="89" t="str">
        <f>VLOOKUP($B564,[1]DG!A:D,[1]DG!$C$2,)</f>
        <v>Lắp xà đỡ ≤ 50kg</v>
      </c>
      <c r="G564" s="88" t="str">
        <f>VLOOKUP($B564,[1]DG!A:D,[1]DG!$D$2,)</f>
        <v>bộ</v>
      </c>
      <c r="H564" s="94">
        <f>H557</f>
        <v>0</v>
      </c>
      <c r="I564" s="91">
        <f t="shared" si="27"/>
        <v>0</v>
      </c>
      <c r="J564" s="92"/>
      <c r="K564" s="92"/>
      <c r="L564" s="117"/>
      <c r="M564" s="56" t="s">
        <v>227</v>
      </c>
    </row>
    <row r="565" spans="1:13" s="51" customFormat="1" ht="25.2" hidden="1" customHeight="1">
      <c r="A565" s="68">
        <f t="shared" si="29"/>
        <v>0</v>
      </c>
      <c r="B565" s="69"/>
      <c r="C565" s="69"/>
      <c r="D565" s="114">
        <f>IF(H565&gt;0,D557+1,D557)</f>
        <v>0</v>
      </c>
      <c r="E565" s="178"/>
      <c r="F565" s="136" t="s">
        <v>239</v>
      </c>
      <c r="G565" s="114" t="s">
        <v>67</v>
      </c>
      <c r="H565" s="110">
        <f>H541</f>
        <v>0</v>
      </c>
      <c r="I565" s="91">
        <f t="shared" si="27"/>
        <v>0</v>
      </c>
      <c r="J565" s="99"/>
      <c r="K565" s="99"/>
      <c r="L565" s="117"/>
      <c r="M565" s="56" t="s">
        <v>227</v>
      </c>
    </row>
    <row r="566" spans="1:13" s="51" customFormat="1" ht="25.2" hidden="1" customHeight="1">
      <c r="A566" s="68">
        <f t="shared" si="29"/>
        <v>0</v>
      </c>
      <c r="B566" s="69"/>
      <c r="C566" s="69"/>
      <c r="D566" s="114"/>
      <c r="E566" s="178"/>
      <c r="F566" s="117" t="s">
        <v>240</v>
      </c>
      <c r="G566" s="96"/>
      <c r="H566" s="94"/>
      <c r="I566" s="91">
        <f t="shared" si="27"/>
        <v>0</v>
      </c>
      <c r="J566" s="99"/>
      <c r="K566" s="99"/>
      <c r="L566" s="117"/>
      <c r="M566" s="56" t="s">
        <v>227</v>
      </c>
    </row>
    <row r="567" spans="1:13" s="51" customFormat="1" ht="25.2" hidden="1" customHeight="1">
      <c r="A567" s="68">
        <f t="shared" si="29"/>
        <v>0</v>
      </c>
      <c r="B567" s="69" t="s">
        <v>127</v>
      </c>
      <c r="C567" s="69"/>
      <c r="D567" s="96"/>
      <c r="E567" s="88">
        <f>VLOOKUP($B567,[1]DG!A:D,[1]DG!$B$2,)</f>
        <v>0</v>
      </c>
      <c r="F567" s="89" t="str">
        <f>VLOOKUP($B567,[1]DG!A:D,[1]DG!$C$2,)</f>
        <v>Cáp đồng trần M25mm2</v>
      </c>
      <c r="G567" s="88" t="str">
        <f>VLOOKUP($B567,[1]DG!A:D,[1]DG!$D$2,)</f>
        <v>kg</v>
      </c>
      <c r="H567" s="94">
        <f>I2*H565*0.224</f>
        <v>0</v>
      </c>
      <c r="I567" s="91">
        <f t="shared" ref="I567:I630" si="30">IF(M567=$M$23,H567+J567-K567,0)</f>
        <v>0</v>
      </c>
      <c r="J567" s="92"/>
      <c r="K567" s="92"/>
      <c r="L567" s="117"/>
      <c r="M567" s="56" t="s">
        <v>227</v>
      </c>
    </row>
    <row r="568" spans="1:13" s="51" customFormat="1" ht="25.2" hidden="1" customHeight="1">
      <c r="A568" s="68">
        <f t="shared" si="29"/>
        <v>0</v>
      </c>
      <c r="B568" s="86" t="s">
        <v>82</v>
      </c>
      <c r="C568" s="86"/>
      <c r="D568" s="96"/>
      <c r="E568" s="88">
        <f>VLOOKUP($B568,[1]DG!A:D,[1]DG!$B$2,)</f>
        <v>0</v>
      </c>
      <c r="F568" s="89" t="str">
        <f>VLOOKUP($B568,[1]DG!A:D,[1]DG!$C$2,)</f>
        <v>Cọc tiếp đất Þ 16- 2,4m + kẹp cọc mạ đồng</v>
      </c>
      <c r="G568" s="88" t="str">
        <f>VLOOKUP($B568,[1]DG!A:D,[1]DG!$D$2,)</f>
        <v>bộ</v>
      </c>
      <c r="H568" s="94">
        <f>(I3)*H565</f>
        <v>0</v>
      </c>
      <c r="I568" s="91">
        <f t="shared" si="30"/>
        <v>0</v>
      </c>
      <c r="J568" s="92"/>
      <c r="K568" s="92"/>
      <c r="L568" s="117"/>
      <c r="M568" s="56" t="s">
        <v>227</v>
      </c>
    </row>
    <row r="569" spans="1:13" s="51" customFormat="1" ht="25.2" hidden="1" customHeight="1">
      <c r="A569" s="68">
        <f t="shared" si="29"/>
        <v>0</v>
      </c>
      <c r="B569" s="86" t="s">
        <v>241</v>
      </c>
      <c r="C569" s="86"/>
      <c r="D569" s="96"/>
      <c r="E569" s="88">
        <f>VLOOKUP($B569,[1]DG!A:D,[1]DG!$B$2,)</f>
        <v>0</v>
      </c>
      <c r="F569" s="89" t="str">
        <f>VLOOKUP($B569,[1]DG!A:D,[1]DG!$C$2,)</f>
        <v>Giếng tiếp địa khoan đá</v>
      </c>
      <c r="G569" s="88" t="str">
        <f>VLOOKUP($B569,[1]DG!A:D,[1]DG!$D$2,)</f>
        <v>Cái</v>
      </c>
      <c r="H569" s="94">
        <f>I3*H565</f>
        <v>0</v>
      </c>
      <c r="I569" s="91">
        <f t="shared" si="30"/>
        <v>0</v>
      </c>
      <c r="J569" s="92"/>
      <c r="K569" s="92"/>
      <c r="L569" s="117"/>
      <c r="M569" s="56" t="s">
        <v>227</v>
      </c>
    </row>
    <row r="570" spans="1:13" s="51" customFormat="1" ht="25.2" hidden="1" customHeight="1">
      <c r="A570" s="68">
        <f t="shared" si="29"/>
        <v>0</v>
      </c>
      <c r="B570" s="86" t="s">
        <v>182</v>
      </c>
      <c r="C570" s="86"/>
      <c r="D570" s="96"/>
      <c r="E570" s="88" t="str">
        <f>VLOOKUP($B570,[1]DG!A:D,[1]DG!$B$2,)</f>
        <v>07.2403</v>
      </c>
      <c r="F570" s="89" t="str">
        <f>VLOOKUP($B570,[1]DG!A:D,[1]DG!$C$2,)</f>
        <v xml:space="preserve">Ống PVC D21x1,6mm </v>
      </c>
      <c r="G570" s="88" t="str">
        <f>VLOOKUP($B570,[1]DG!A:D,[1]DG!$D$2,)</f>
        <v>m</v>
      </c>
      <c r="H570" s="94">
        <f>6*H565</f>
        <v>0</v>
      </c>
      <c r="I570" s="91">
        <f t="shared" si="30"/>
        <v>0</v>
      </c>
      <c r="J570" s="92"/>
      <c r="K570" s="92"/>
      <c r="L570" s="117"/>
      <c r="M570" s="56" t="s">
        <v>227</v>
      </c>
    </row>
    <row r="571" spans="1:13" s="51" customFormat="1" ht="25.2" hidden="1" customHeight="1">
      <c r="A571" s="68">
        <f t="shared" si="29"/>
        <v>0</v>
      </c>
      <c r="B571" s="69" t="s">
        <v>184</v>
      </c>
      <c r="C571" s="69"/>
      <c r="D571" s="96"/>
      <c r="E571" s="88">
        <f>VLOOKUP($B571,[1]DG!A:D,[1]DG!$B$2,)</f>
        <v>0</v>
      </c>
      <c r="F571" s="89" t="str">
        <f>VLOOKUP($B571,[1]DG!A:D,[1]DG!$C$2,)</f>
        <v>Kẹp ép WR cỡ dây 50mm2</v>
      </c>
      <c r="G571" s="88" t="str">
        <f>VLOOKUP($B571,[1]DG!A:D,[1]DG!$D$2,)</f>
        <v>cái</v>
      </c>
      <c r="H571" s="94">
        <f>2*H565</f>
        <v>0</v>
      </c>
      <c r="I571" s="91">
        <f t="shared" si="30"/>
        <v>0</v>
      </c>
      <c r="J571" s="92"/>
      <c r="K571" s="92"/>
      <c r="L571" s="117"/>
      <c r="M571" s="56" t="s">
        <v>227</v>
      </c>
    </row>
    <row r="572" spans="1:13" s="51" customFormat="1" ht="25.2" hidden="1" customHeight="1">
      <c r="A572" s="68">
        <f t="shared" si="29"/>
        <v>0</v>
      </c>
      <c r="B572" s="69" t="s">
        <v>198</v>
      </c>
      <c r="C572" s="69"/>
      <c r="D572" s="96"/>
      <c r="E572" s="88" t="str">
        <f>VLOOKUP($B572,[1]DG!A:D,[1]DG!$B$2,)</f>
        <v>03.4001</v>
      </c>
      <c r="F572" s="89" t="str">
        <f>VLOOKUP($B572,[1]DG!A:D,[1]DG!$C$2,)</f>
        <v>Đầu cosse ép Cu 25mm2</v>
      </c>
      <c r="G572" s="88" t="str">
        <f>VLOOKUP($B572,[1]DG!A:D,[1]DG!$D$2,)</f>
        <v>cái</v>
      </c>
      <c r="H572" s="94">
        <f>H565*2</f>
        <v>0</v>
      </c>
      <c r="I572" s="91">
        <f t="shared" si="30"/>
        <v>0</v>
      </c>
      <c r="J572" s="92"/>
      <c r="K572" s="92"/>
      <c r="L572" s="117"/>
      <c r="M572" s="56" t="s">
        <v>227</v>
      </c>
    </row>
    <row r="573" spans="1:13" s="51" customFormat="1" ht="25.2" hidden="1" customHeight="1">
      <c r="A573" s="68">
        <f t="shared" si="29"/>
        <v>0</v>
      </c>
      <c r="B573" s="69" t="s">
        <v>131</v>
      </c>
      <c r="C573" s="69"/>
      <c r="D573" s="96"/>
      <c r="E573" s="88">
        <f>VLOOKUP($B573,[1]DG!A:D,[1]DG!$B$2,)</f>
        <v>0</v>
      </c>
      <c r="F573" s="89" t="str">
        <f>VLOOKUP($B573,[1]DG!A:D,[1]DG!$C$2,)</f>
        <v>Boulon 12x40+ 2 long đền vuông D14-50x50x3/Zn</v>
      </c>
      <c r="G573" s="88" t="str">
        <f>VLOOKUP($B573,[1]DG!A:D,[1]DG!$D$2,)</f>
        <v>bộ</v>
      </c>
      <c r="H573" s="94">
        <f>H565*1</f>
        <v>0</v>
      </c>
      <c r="I573" s="91">
        <f t="shared" si="30"/>
        <v>0</v>
      </c>
      <c r="J573" s="92"/>
      <c r="K573" s="92"/>
      <c r="L573" s="117"/>
      <c r="M573" s="56" t="s">
        <v>227</v>
      </c>
    </row>
    <row r="574" spans="1:13" s="51" customFormat="1" ht="25.2" hidden="1" customHeight="1">
      <c r="A574" s="68">
        <f t="shared" si="29"/>
        <v>0</v>
      </c>
      <c r="B574" s="69" t="s">
        <v>154</v>
      </c>
      <c r="C574" s="69"/>
      <c r="D574" s="96"/>
      <c r="E574" s="88" t="str">
        <f>VLOOKUP($B574,[1]DG!A:D,[1]DG!$B$2,)</f>
        <v>04.3107</v>
      </c>
      <c r="F574" s="89" t="str">
        <f>VLOOKUP($B574,[1]DG!A:D,[1]DG!$C$2,)</f>
        <v>Ốc siết cáp cỡ 25mm2</v>
      </c>
      <c r="G574" s="88" t="str">
        <f>VLOOKUP($B574,[1]DG!A:D,[1]DG!$D$2,)</f>
        <v>cái</v>
      </c>
      <c r="H574" s="94">
        <f>11*H565</f>
        <v>0</v>
      </c>
      <c r="I574" s="91">
        <f t="shared" si="30"/>
        <v>0</v>
      </c>
      <c r="J574" s="92"/>
      <c r="K574" s="92"/>
      <c r="L574" s="117"/>
      <c r="M574" s="56" t="s">
        <v>227</v>
      </c>
    </row>
    <row r="575" spans="1:13" s="51" customFormat="1" ht="25.2" hidden="1" customHeight="1">
      <c r="A575" s="68">
        <f t="shared" si="29"/>
        <v>0</v>
      </c>
      <c r="B575" s="86" t="s">
        <v>183</v>
      </c>
      <c r="C575" s="86"/>
      <c r="D575" s="96"/>
      <c r="E575" s="88" t="str">
        <f>VLOOKUP($B575,[1]DG!A:D,[1]DG!$B$2,)</f>
        <v>06.3231</v>
      </c>
      <c r="F575" s="89" t="str">
        <f>VLOOKUP($B575,[1]DG!A:D,[1]DG!$C$2,)</f>
        <v>Cổ dê kẹp ống PVC  21</v>
      </c>
      <c r="G575" s="88" t="str">
        <f>VLOOKUP($B575,[1]DG!A:D,[1]DG!$D$2,)</f>
        <v>bộ</v>
      </c>
      <c r="H575" s="94">
        <f>H565*3</f>
        <v>0</v>
      </c>
      <c r="I575" s="91">
        <f t="shared" si="30"/>
        <v>0</v>
      </c>
      <c r="J575" s="92"/>
      <c r="K575" s="92"/>
      <c r="L575" s="117"/>
      <c r="M575" s="56" t="s">
        <v>227</v>
      </c>
    </row>
    <row r="576" spans="1:13" s="51" customFormat="1" ht="25.2" hidden="1" customHeight="1">
      <c r="A576" s="68">
        <f t="shared" si="29"/>
        <v>0</v>
      </c>
      <c r="B576" s="86" t="s">
        <v>183</v>
      </c>
      <c r="C576" s="86"/>
      <c r="D576" s="96"/>
      <c r="E576" s="88" t="str">
        <f>VLOOKUP($B576,[1]DG!A:D,[1]DG!$B$2,)</f>
        <v>06.3231</v>
      </c>
      <c r="F576" s="89" t="str">
        <f>VLOOKUP($B576,[1]DG!A:D,[1]DG!$C$2,)&amp;": CD-280 1 cái"</f>
        <v>Cổ dê kẹp ống PVC  21: CD-280 1 cái</v>
      </c>
      <c r="G576" s="88" t="str">
        <f>VLOOKUP($B576,[1]DG!A:D,[1]DG!$D$2,)</f>
        <v>bộ</v>
      </c>
      <c r="H576" s="94">
        <f>H565*0.452*0</f>
        <v>0</v>
      </c>
      <c r="I576" s="91">
        <f t="shared" si="30"/>
        <v>0</v>
      </c>
      <c r="J576" s="92"/>
      <c r="K576" s="92"/>
      <c r="L576" s="117"/>
      <c r="M576" s="56" t="s">
        <v>227</v>
      </c>
    </row>
    <row r="577" spans="1:13" s="51" customFormat="1" ht="25.2" hidden="1" customHeight="1">
      <c r="A577" s="68">
        <f t="shared" si="29"/>
        <v>0</v>
      </c>
      <c r="B577" s="86" t="s">
        <v>183</v>
      </c>
      <c r="C577" s="86"/>
      <c r="D577" s="96"/>
      <c r="E577" s="88" t="str">
        <f>VLOOKUP($B577,[1]DG!A:D,[1]DG!$B$2,)</f>
        <v>06.3231</v>
      </c>
      <c r="F577" s="89" t="str">
        <f>VLOOKUP($B577,[1]DG!A:D,[1]DG!$C$2,)&amp;": CD-320 1 cái"</f>
        <v>Cổ dê kẹp ống PVC  21: CD-320 1 cái</v>
      </c>
      <c r="G577" s="88" t="str">
        <f>VLOOKUP($B577,[1]DG!A:D,[1]DG!$D$2,)</f>
        <v>bộ</v>
      </c>
      <c r="H577" s="94">
        <f>H565*0.5013*0</f>
        <v>0</v>
      </c>
      <c r="I577" s="91">
        <f t="shared" si="30"/>
        <v>0</v>
      </c>
      <c r="J577" s="92"/>
      <c r="K577" s="92"/>
      <c r="L577" s="117"/>
      <c r="M577" s="56" t="s">
        <v>227</v>
      </c>
    </row>
    <row r="578" spans="1:13" s="51" customFormat="1" ht="25.2" hidden="1" customHeight="1">
      <c r="A578" s="68">
        <f t="shared" si="29"/>
        <v>0</v>
      </c>
      <c r="B578" s="86" t="s">
        <v>87</v>
      </c>
      <c r="C578" s="86"/>
      <c r="D578" s="96"/>
      <c r="E578" s="88" t="str">
        <f>VLOOKUP($B578,[1]DG!A:D,[1]DG!$B$2,)</f>
        <v>06.2110</v>
      </c>
      <c r="F578" s="89" t="str">
        <f>VLOOKUP($B578,[1]DG!A:D,[1]DG!$C$2,)</f>
        <v>Lắp cổ dề</v>
      </c>
      <c r="G578" s="88" t="str">
        <f>VLOOKUP($B578,[1]DG!A:D,[1]DG!$D$2,)</f>
        <v>bộ</v>
      </c>
      <c r="H578" s="94">
        <f>H575</f>
        <v>0</v>
      </c>
      <c r="I578" s="91">
        <f t="shared" si="30"/>
        <v>0</v>
      </c>
      <c r="J578" s="92"/>
      <c r="K578" s="92"/>
      <c r="L578" s="117"/>
      <c r="M578" s="56" t="s">
        <v>227</v>
      </c>
    </row>
    <row r="579" spans="1:13" s="51" customFormat="1" ht="25.2" hidden="1" customHeight="1">
      <c r="A579" s="68">
        <f t="shared" si="29"/>
        <v>0</v>
      </c>
      <c r="B579" s="69" t="s">
        <v>242</v>
      </c>
      <c r="C579" s="69"/>
      <c r="D579" s="96"/>
      <c r="E579" s="88" t="str">
        <f>VLOOKUP($B579,[1]DG!A:D,[1]DG!$B$2,)</f>
        <v>04.7002</v>
      </c>
      <c r="F579" s="89" t="str">
        <f>VLOOKUP($B579,[1]DG!A:D,[1]DG!$C$2,)</f>
        <v>Kéo dây tiếp địa trong TBA</v>
      </c>
      <c r="G579" s="88" t="str">
        <f>VLOOKUP($B579,[1]DG!A:D,[1]DG!$D$2,)</f>
        <v>mét</v>
      </c>
      <c r="H579" s="94">
        <f>H565*I3</f>
        <v>0</v>
      </c>
      <c r="I579" s="91">
        <f t="shared" si="30"/>
        <v>0</v>
      </c>
      <c r="J579" s="92"/>
      <c r="K579" s="92"/>
      <c r="L579" s="117"/>
      <c r="M579" s="56" t="s">
        <v>227</v>
      </c>
    </row>
    <row r="580" spans="1:13" s="51" customFormat="1" ht="25.2" hidden="1" customHeight="1">
      <c r="A580" s="68">
        <f t="shared" si="29"/>
        <v>0</v>
      </c>
      <c r="B580" s="86" t="s">
        <v>243</v>
      </c>
      <c r="C580" s="86"/>
      <c r="D580" s="96"/>
      <c r="E580" s="88" t="str">
        <f>VLOOKUP($B580,[1]DG!A:D,[1]DG!$B$2,)</f>
        <v>04.7001</v>
      </c>
      <c r="F580" s="89" t="str">
        <f>VLOOKUP($B580,[1]DG!A:D,[1]DG!$C$2,)</f>
        <v>Đóng cọc tiếp địa trong TBA</v>
      </c>
      <c r="G580" s="88" t="str">
        <f>VLOOKUP($B580,[1]DG!A:D,[1]DG!$D$2,)</f>
        <v>cọc</v>
      </c>
      <c r="H580" s="94">
        <f>H568</f>
        <v>0</v>
      </c>
      <c r="I580" s="91">
        <f t="shared" si="30"/>
        <v>0</v>
      </c>
      <c r="J580" s="92"/>
      <c r="K580" s="92"/>
      <c r="L580" s="117"/>
      <c r="M580" s="56" t="s">
        <v>227</v>
      </c>
    </row>
    <row r="581" spans="1:13" s="51" customFormat="1" ht="25.2" hidden="1" customHeight="1">
      <c r="A581" s="68">
        <f t="shared" si="29"/>
        <v>0</v>
      </c>
      <c r="B581" s="69" t="s">
        <v>244</v>
      </c>
      <c r="C581" s="69"/>
      <c r="D581" s="96"/>
      <c r="E581" s="88" t="str">
        <f>VLOOKUP($B581,[1]DG!A:D,[1]DG!$B$2,)</f>
        <v>03.3123</v>
      </c>
      <c r="F581" s="89" t="str">
        <f>VLOOKUP($B581,[1]DG!A:D,[1]DG!$C$2,)</f>
        <v>Đào rãnh tiếp địa đất cấp 3</v>
      </c>
      <c r="G581" s="88" t="str">
        <f>VLOOKUP($B581,[1]DG!A:D,[1]DG!$D$2,)</f>
        <v>m3</v>
      </c>
      <c r="H581" s="94">
        <f>H565*I3</f>
        <v>0</v>
      </c>
      <c r="I581" s="91">
        <f t="shared" si="30"/>
        <v>0</v>
      </c>
      <c r="J581" s="92"/>
      <c r="K581" s="92"/>
      <c r="L581" s="117"/>
      <c r="M581" s="56" t="s">
        <v>227</v>
      </c>
    </row>
    <row r="582" spans="1:13" s="51" customFormat="1" ht="25.2" hidden="1" customHeight="1">
      <c r="A582" s="68">
        <f t="shared" si="29"/>
        <v>0</v>
      </c>
      <c r="B582" s="69" t="s">
        <v>245</v>
      </c>
      <c r="C582" s="69"/>
      <c r="D582" s="96"/>
      <c r="E582" s="88" t="str">
        <f>VLOOKUP($B582,[1]DG!A:D,[1]DG!$B$2,)</f>
        <v>03.4123</v>
      </c>
      <c r="F582" s="89" t="str">
        <f>VLOOKUP($B582,[1]DG!A:D,[1]DG!$C$2,)</f>
        <v>Đắp đất rãnh tiếp độ chặt k=0,85</v>
      </c>
      <c r="G582" s="88" t="str">
        <f>VLOOKUP($B582,[1]DG!A:D,[1]DG!$D$2,)</f>
        <v>m3</v>
      </c>
      <c r="H582" s="94">
        <f>H581</f>
        <v>0</v>
      </c>
      <c r="I582" s="91">
        <f t="shared" si="30"/>
        <v>0</v>
      </c>
      <c r="J582" s="92"/>
      <c r="K582" s="92"/>
      <c r="L582" s="117"/>
      <c r="M582" s="56" t="s">
        <v>227</v>
      </c>
    </row>
    <row r="583" spans="1:13" s="51" customFormat="1" ht="25.2" hidden="1" customHeight="1">
      <c r="A583" s="68">
        <f t="shared" si="29"/>
        <v>0</v>
      </c>
      <c r="B583" s="69"/>
      <c r="C583" s="69"/>
      <c r="D583" s="114">
        <f>IF(H583&gt;0,D565+1,D565)</f>
        <v>0</v>
      </c>
      <c r="E583" s="178"/>
      <c r="F583" s="113" t="s">
        <v>246</v>
      </c>
      <c r="G583" s="114" t="s">
        <v>67</v>
      </c>
      <c r="H583" s="110">
        <f>H541</f>
        <v>0</v>
      </c>
      <c r="I583" s="91">
        <f t="shared" si="30"/>
        <v>0</v>
      </c>
      <c r="J583" s="99"/>
      <c r="K583" s="99"/>
      <c r="L583" s="117"/>
      <c r="M583" s="56" t="s">
        <v>227</v>
      </c>
    </row>
    <row r="584" spans="1:13" s="51" customFormat="1" ht="25.2" hidden="1" customHeight="1">
      <c r="A584" s="68">
        <f>IF(A583&gt;0,1,0)</f>
        <v>0</v>
      </c>
      <c r="B584" s="69"/>
      <c r="C584" s="69"/>
      <c r="D584" s="114"/>
      <c r="E584" s="178"/>
      <c r="F584" s="137" t="s">
        <v>68</v>
      </c>
      <c r="G584" s="96"/>
      <c r="H584" s="94"/>
      <c r="I584" s="91">
        <f t="shared" si="30"/>
        <v>0</v>
      </c>
      <c r="J584" s="99"/>
      <c r="K584" s="99"/>
      <c r="L584" s="117"/>
      <c r="M584" s="56" t="s">
        <v>227</v>
      </c>
    </row>
    <row r="585" spans="1:13" s="51" customFormat="1" ht="25.2" hidden="1" customHeight="1">
      <c r="A585" s="68">
        <f t="shared" si="29"/>
        <v>0</v>
      </c>
      <c r="B585" s="86" t="s">
        <v>247</v>
      </c>
      <c r="C585" s="86"/>
      <c r="D585" s="96"/>
      <c r="E585" s="88" t="str">
        <f>VLOOKUP($B585,[1]DG!A:D,[1]DG!$B$2,)</f>
        <v>05.1102</v>
      </c>
      <c r="F585" s="89" t="str">
        <f>VLOOKUP($B585,[1]DG!A:D,[1]DG!$C$2,)</f>
        <v>Vỏ tủ + khóa tủ</v>
      </c>
      <c r="G585" s="88" t="str">
        <f>VLOOKUP($B585,[1]DG!A:D,[1]DG!$D$2,)</f>
        <v>cái</v>
      </c>
      <c r="H585" s="94">
        <f>H583</f>
        <v>0</v>
      </c>
      <c r="I585" s="91">
        <f t="shared" si="30"/>
        <v>0</v>
      </c>
      <c r="J585" s="92"/>
      <c r="K585" s="92"/>
      <c r="L585" s="117"/>
      <c r="M585" s="56" t="s">
        <v>227</v>
      </c>
    </row>
    <row r="586" spans="1:13" s="51" customFormat="1" ht="25.2" hidden="1" customHeight="1">
      <c r="A586" s="68">
        <f t="shared" si="29"/>
        <v>0</v>
      </c>
      <c r="B586" s="69" t="s">
        <v>95</v>
      </c>
      <c r="C586" s="69"/>
      <c r="D586" s="96"/>
      <c r="E586" s="88" t="str">
        <f>VLOOKUP($B586,[1]DG!A:D,[1]DG!$B$2,)</f>
        <v>06.3231</v>
      </c>
      <c r="F586" s="89" t="str">
        <f>VLOOKUP($B586,[1]DG!A:D,[1]DG!$C$2,)</f>
        <v>Cổ dê bắt tủ</v>
      </c>
      <c r="G586" s="88" t="str">
        <f>VLOOKUP($B586,[1]DG!A:D,[1]DG!$D$2,)</f>
        <v>bộ</v>
      </c>
      <c r="H586" s="94">
        <f>H583*2</f>
        <v>0</v>
      </c>
      <c r="I586" s="91">
        <f t="shared" si="30"/>
        <v>0</v>
      </c>
      <c r="J586" s="92"/>
      <c r="K586" s="92"/>
      <c r="L586" s="117"/>
      <c r="M586" s="56" t="s">
        <v>227</v>
      </c>
    </row>
    <row r="587" spans="1:13" s="51" customFormat="1" ht="25.2" hidden="1" customHeight="1">
      <c r="A587" s="68">
        <f t="shared" si="29"/>
        <v>0</v>
      </c>
      <c r="B587" s="69" t="s">
        <v>129</v>
      </c>
      <c r="C587" s="69"/>
      <c r="D587" s="96"/>
      <c r="E587" s="88" t="str">
        <f>VLOOKUP($B587,[1]DG!A:D,[1]DG!$B$2,)</f>
        <v>06.2110</v>
      </c>
      <c r="F587" s="89" t="str">
        <f>VLOOKUP($B587,[1]DG!A:D,[1]DG!$C$2,)</f>
        <v>Lắp cổ dề</v>
      </c>
      <c r="G587" s="88" t="str">
        <f>VLOOKUP($B587,[1]DG!A:D,[1]DG!$D$2,)</f>
        <v>bộ</v>
      </c>
      <c r="H587" s="94">
        <f>H583*2</f>
        <v>0</v>
      </c>
      <c r="I587" s="91">
        <f t="shared" si="30"/>
        <v>0</v>
      </c>
      <c r="J587" s="92"/>
      <c r="K587" s="92"/>
      <c r="L587" s="117"/>
      <c r="M587" s="56" t="s">
        <v>227</v>
      </c>
    </row>
    <row r="588" spans="1:13" s="51" customFormat="1" ht="25.2" hidden="1" customHeight="1">
      <c r="A588" s="68">
        <f t="shared" si="29"/>
        <v>0</v>
      </c>
      <c r="B588" s="69" t="s">
        <v>131</v>
      </c>
      <c r="C588" s="69"/>
      <c r="D588" s="96"/>
      <c r="E588" s="88">
        <f>VLOOKUP($B588,[1]DG!A:D,[1]DG!$B$2,)</f>
        <v>0</v>
      </c>
      <c r="F588" s="89" t="str">
        <f>VLOOKUP($B588,[1]DG!A:D,[1]DG!$C$2,)</f>
        <v>Boulon 12x40+ 2 long đền vuông D14-50x50x3/Zn</v>
      </c>
      <c r="G588" s="88" t="str">
        <f>VLOOKUP($B588,[1]DG!A:D,[1]DG!$D$2,)</f>
        <v>bộ</v>
      </c>
      <c r="H588" s="94">
        <f>H583*4*0</f>
        <v>0</v>
      </c>
      <c r="I588" s="91">
        <f t="shared" si="30"/>
        <v>0</v>
      </c>
      <c r="J588" s="92"/>
      <c r="K588" s="92"/>
      <c r="L588" s="117"/>
      <c r="M588" s="56" t="s">
        <v>227</v>
      </c>
    </row>
    <row r="589" spans="1:13" s="51" customFormat="1" ht="25.2" hidden="1" customHeight="1">
      <c r="A589" s="68">
        <f t="shared" si="29"/>
        <v>0</v>
      </c>
      <c r="B589" s="69" t="s">
        <v>96</v>
      </c>
      <c r="C589" s="69"/>
      <c r="D589" s="96"/>
      <c r="E589" s="88">
        <f>VLOOKUP($B589,[1]DG!A:D,[1]DG!$B$2,)</f>
        <v>0</v>
      </c>
      <c r="F589" s="89" t="str">
        <f>VLOOKUP($B589,[1]DG!A:D,[1]DG!$C$2,)</f>
        <v xml:space="preserve">Bakelit 550x450 dầy 10mm </v>
      </c>
      <c r="G589" s="88" t="str">
        <f>VLOOKUP($B589,[1]DG!A:D,[1]DG!$D$2,)</f>
        <v>cái</v>
      </c>
      <c r="H589" s="94">
        <f>H583*2</f>
        <v>0</v>
      </c>
      <c r="I589" s="91">
        <f t="shared" si="30"/>
        <v>0</v>
      </c>
      <c r="J589" s="92"/>
      <c r="K589" s="92"/>
      <c r="L589" s="117"/>
      <c r="M589" s="56" t="s">
        <v>227</v>
      </c>
    </row>
    <row r="590" spans="1:13" s="51" customFormat="1" ht="25.2" hidden="1" customHeight="1">
      <c r="A590" s="68">
        <f t="shared" si="29"/>
        <v>0</v>
      </c>
      <c r="B590" s="69"/>
      <c r="C590" s="69"/>
      <c r="D590" s="114">
        <f>IF(H590&gt;0,D583+1,D583)</f>
        <v>0</v>
      </c>
      <c r="E590" s="178"/>
      <c r="F590" s="136" t="s">
        <v>248</v>
      </c>
      <c r="G590" s="114" t="s">
        <v>67</v>
      </c>
      <c r="H590" s="110">
        <f>H541</f>
        <v>0</v>
      </c>
      <c r="I590" s="91">
        <f t="shared" si="30"/>
        <v>0</v>
      </c>
      <c r="J590" s="99"/>
      <c r="K590" s="99"/>
      <c r="L590" s="117"/>
      <c r="M590" s="56" t="s">
        <v>227</v>
      </c>
    </row>
    <row r="591" spans="1:13" s="51" customFormat="1" ht="25.2" hidden="1" customHeight="1">
      <c r="A591" s="68">
        <f>IF(A590&gt;0,1,0)</f>
        <v>0</v>
      </c>
      <c r="B591" s="69"/>
      <c r="C591" s="69"/>
      <c r="D591" s="114"/>
      <c r="E591" s="178"/>
      <c r="F591" s="137" t="s">
        <v>68</v>
      </c>
      <c r="G591" s="96"/>
      <c r="H591" s="94"/>
      <c r="I591" s="91">
        <f t="shared" si="30"/>
        <v>0</v>
      </c>
      <c r="J591" s="99"/>
      <c r="K591" s="99"/>
      <c r="L591" s="117"/>
      <c r="M591" s="56" t="s">
        <v>227</v>
      </c>
    </row>
    <row r="592" spans="1:13" s="51" customFormat="1" ht="25.2" hidden="1" customHeight="1">
      <c r="A592" s="68">
        <f t="shared" si="29"/>
        <v>0</v>
      </c>
      <c r="B592" s="86" t="s">
        <v>98</v>
      </c>
      <c r="C592" s="86"/>
      <c r="D592" s="96"/>
      <c r="E592" s="88">
        <f>VLOOKUP($B592,[1]DG!A:D,[1]DG!$B$2,)</f>
        <v>0</v>
      </c>
      <c r="F592" s="89" t="str">
        <f>VLOOKUP($B592,[1]DG!A:D,[1]DG!$C$2,)&amp;": 3m/pha"</f>
        <v>Cáp 24KV CX-25mm2: 3m/pha</v>
      </c>
      <c r="G592" s="88" t="str">
        <f>VLOOKUP($B592,[1]DG!A:D,[1]DG!$D$2,)</f>
        <v>mét</v>
      </c>
      <c r="H592" s="94">
        <f>H590*3*3</f>
        <v>0</v>
      </c>
      <c r="I592" s="91">
        <f t="shared" si="30"/>
        <v>0</v>
      </c>
      <c r="J592" s="92"/>
      <c r="K592" s="92"/>
      <c r="L592" s="117"/>
      <c r="M592" s="56" t="s">
        <v>227</v>
      </c>
    </row>
    <row r="593" spans="1:13" s="51" customFormat="1" ht="25.2" hidden="1" customHeight="1">
      <c r="A593" s="68">
        <f t="shared" si="29"/>
        <v>0</v>
      </c>
      <c r="B593" s="86" t="s">
        <v>99</v>
      </c>
      <c r="C593" s="86"/>
      <c r="D593" s="96"/>
      <c r="E593" s="88" t="str">
        <f>VLOOKUP($B593,[1]DG!A:D,[1]DG!$B$2,)</f>
        <v>04.3007</v>
      </c>
      <c r="F593" s="89" t="str">
        <f>VLOOKUP($B593,[1]DG!A:D,[1]DG!$C$2,)</f>
        <v>Kẹp quai 2/0</v>
      </c>
      <c r="G593" s="88" t="str">
        <f>VLOOKUP($B593,[1]DG!A:D,[1]DG!$D$2,)</f>
        <v>cái</v>
      </c>
      <c r="H593" s="94">
        <f>3*H590</f>
        <v>0</v>
      </c>
      <c r="I593" s="91">
        <f t="shared" si="30"/>
        <v>0</v>
      </c>
      <c r="J593" s="92"/>
      <c r="K593" s="92"/>
      <c r="L593" s="117"/>
      <c r="M593" s="56" t="s">
        <v>227</v>
      </c>
    </row>
    <row r="594" spans="1:13" s="51" customFormat="1" ht="25.2" hidden="1" customHeight="1">
      <c r="A594" s="68">
        <f t="shared" si="29"/>
        <v>0</v>
      </c>
      <c r="B594" s="86" t="s">
        <v>100</v>
      </c>
      <c r="C594" s="86"/>
      <c r="D594" s="96"/>
      <c r="E594" s="88" t="str">
        <f>VLOOKUP($B594,[1]DG!A:D,[1]DG!$B$2,)</f>
        <v>04.3007</v>
      </c>
      <c r="F594" s="89" t="str">
        <f>VLOOKUP($B594,[1]DG!A:D,[1]DG!$C$2,)</f>
        <v>Kẹp hotline 2/0</v>
      </c>
      <c r="G594" s="88" t="str">
        <f>VLOOKUP($B594,[1]DG!A:D,[1]DG!$D$2,)</f>
        <v>cái</v>
      </c>
      <c r="H594" s="94">
        <f>3*H590</f>
        <v>0</v>
      </c>
      <c r="I594" s="91">
        <f t="shared" si="30"/>
        <v>0</v>
      </c>
      <c r="J594" s="92"/>
      <c r="K594" s="92"/>
      <c r="L594" s="117"/>
      <c r="M594" s="56" t="s">
        <v>227</v>
      </c>
    </row>
    <row r="595" spans="1:13" s="51" customFormat="1" ht="25.2" hidden="1" customHeight="1">
      <c r="A595" s="68">
        <f t="shared" si="29"/>
        <v>0</v>
      </c>
      <c r="B595" s="69"/>
      <c r="C595" s="69"/>
      <c r="D595" s="114">
        <f>IF(H595&gt;0,D590+1,D590)</f>
        <v>0</v>
      </c>
      <c r="E595" s="178"/>
      <c r="F595" s="113" t="s">
        <v>249</v>
      </c>
      <c r="G595" s="114" t="s">
        <v>67</v>
      </c>
      <c r="H595" s="110">
        <f>H533/3</f>
        <v>0</v>
      </c>
      <c r="I595" s="91">
        <f t="shared" si="30"/>
        <v>0</v>
      </c>
      <c r="J595" s="99"/>
      <c r="K595" s="99"/>
      <c r="L595" s="117"/>
      <c r="M595" s="56" t="s">
        <v>227</v>
      </c>
    </row>
    <row r="596" spans="1:13" s="51" customFormat="1" ht="25.2" hidden="1" customHeight="1">
      <c r="A596" s="68">
        <f>IF(A595&gt;0,1,0)</f>
        <v>0</v>
      </c>
      <c r="B596" s="69"/>
      <c r="C596" s="69"/>
      <c r="D596" s="114"/>
      <c r="E596" s="178"/>
      <c r="F596" s="137" t="s">
        <v>68</v>
      </c>
      <c r="G596" s="96"/>
      <c r="H596" s="94"/>
      <c r="I596" s="91">
        <f t="shared" si="30"/>
        <v>0</v>
      </c>
      <c r="J596" s="99"/>
      <c r="K596" s="99"/>
      <c r="L596" s="117"/>
      <c r="M596" s="56" t="s">
        <v>227</v>
      </c>
    </row>
    <row r="597" spans="1:13" s="51" customFormat="1" ht="25.2" hidden="1" customHeight="1">
      <c r="A597" s="68">
        <f t="shared" si="29"/>
        <v>0</v>
      </c>
      <c r="B597" s="69" t="s">
        <v>161</v>
      </c>
      <c r="C597" s="69"/>
      <c r="D597" s="96"/>
      <c r="E597" s="88">
        <f>VLOOKUP($B597,[1]DG!A:D,[1]DG!$B$2,)</f>
        <v>0</v>
      </c>
      <c r="F597" s="89" t="str">
        <f>VLOOKUP($B597,[1]DG!A:D,[1]DG!$C$2,)&amp;": 9m/pha"</f>
        <v>Cáp đồng bọc CV50: 9m/pha</v>
      </c>
      <c r="G597" s="88" t="str">
        <f>VLOOKUP($B597,[1]DG!A:D,[1]DG!$D$2,)</f>
        <v>mét</v>
      </c>
      <c r="H597" s="94">
        <f>3*9*H595</f>
        <v>0</v>
      </c>
      <c r="I597" s="91">
        <f t="shared" si="30"/>
        <v>0</v>
      </c>
      <c r="J597" s="92"/>
      <c r="K597" s="92"/>
      <c r="L597" s="117"/>
      <c r="M597" s="56" t="s">
        <v>227</v>
      </c>
    </row>
    <row r="598" spans="1:13" s="51" customFormat="1" ht="25.2" hidden="1" customHeight="1">
      <c r="A598" s="68">
        <f t="shared" si="29"/>
        <v>0</v>
      </c>
      <c r="B598" s="69" t="s">
        <v>161</v>
      </c>
      <c r="C598" s="69"/>
      <c r="D598" s="96"/>
      <c r="E598" s="88">
        <f>VLOOKUP($B598,[1]DG!A:D,[1]DG!$B$2,)</f>
        <v>0</v>
      </c>
      <c r="F598" s="89" t="str">
        <f>VLOOKUP($B598,[1]DG!A:D,[1]DG!$C$2,)&amp;": 9m/trung tinh"</f>
        <v>Cáp đồng bọc CV50: 9m/trung tinh</v>
      </c>
      <c r="G598" s="88" t="str">
        <f>VLOOKUP($B598,[1]DG!A:D,[1]DG!$D$2,)</f>
        <v>mét</v>
      </c>
      <c r="H598" s="94">
        <f>9*H595</f>
        <v>0</v>
      </c>
      <c r="I598" s="91">
        <f t="shared" si="30"/>
        <v>0</v>
      </c>
      <c r="J598" s="92"/>
      <c r="K598" s="92"/>
      <c r="L598" s="117"/>
      <c r="M598" s="56" t="s">
        <v>227</v>
      </c>
    </row>
    <row r="599" spans="1:13" s="51" customFormat="1" ht="25.2" hidden="1" customHeight="1">
      <c r="A599" s="68">
        <f t="shared" si="29"/>
        <v>0</v>
      </c>
      <c r="B599" s="69" t="s">
        <v>105</v>
      </c>
      <c r="C599" s="69"/>
      <c r="D599" s="96"/>
      <c r="E599" s="88" t="str">
        <f>VLOOKUP($B599,[1]DG!A:D,[1]DG!$B$2,)</f>
        <v>03.1401</v>
      </c>
      <c r="F599" s="89" t="str">
        <f>VLOOKUP($B599,[1]DG!A:D,[1]DG!$C$2,)&amp;": ñaáu noái ño ñeám"</f>
        <v>Cáp CVV 4x2,5mm2  : ñaáu noái ño ñeám</v>
      </c>
      <c r="G599" s="88" t="str">
        <f>VLOOKUP($B599,[1]DG!A:D,[1]DG!$D$2,)</f>
        <v>mét</v>
      </c>
      <c r="H599" s="94">
        <f>4*H595</f>
        <v>0</v>
      </c>
      <c r="I599" s="91">
        <f t="shared" si="30"/>
        <v>0</v>
      </c>
      <c r="J599" s="92"/>
      <c r="K599" s="92"/>
      <c r="L599" s="117"/>
      <c r="M599" s="56" t="s">
        <v>227</v>
      </c>
    </row>
    <row r="600" spans="1:13" s="51" customFormat="1" ht="25.2" hidden="1" customHeight="1">
      <c r="A600" s="68">
        <f t="shared" si="29"/>
        <v>0</v>
      </c>
      <c r="B600" s="69" t="s">
        <v>156</v>
      </c>
      <c r="C600" s="69"/>
      <c r="D600" s="96"/>
      <c r="E600" s="88" t="str">
        <f>VLOOKUP($B600,[1]DG!A:D,[1]DG!$B$2,)</f>
        <v>03.4002</v>
      </c>
      <c r="F600" s="89" t="str">
        <f>VLOOKUP($B600,[1]DG!A:D,[1]DG!$C$2,)</f>
        <v>Đầu cosse ép Cu 50mm2</v>
      </c>
      <c r="G600" s="88" t="str">
        <f>VLOOKUP($B600,[1]DG!A:D,[1]DG!$D$2,)</f>
        <v>cái</v>
      </c>
      <c r="H600" s="94">
        <f>3*H595</f>
        <v>0</v>
      </c>
      <c r="I600" s="91">
        <f t="shared" si="30"/>
        <v>0</v>
      </c>
      <c r="J600" s="92"/>
      <c r="K600" s="92"/>
      <c r="L600" s="117"/>
      <c r="M600" s="56" t="s">
        <v>227</v>
      </c>
    </row>
    <row r="601" spans="1:13" s="51" customFormat="1" ht="25.2" hidden="1" customHeight="1">
      <c r="A601" s="68">
        <f t="shared" si="29"/>
        <v>0</v>
      </c>
      <c r="B601" s="69" t="s">
        <v>198</v>
      </c>
      <c r="C601" s="69"/>
      <c r="D601" s="96"/>
      <c r="E601" s="88" t="str">
        <f>VLOOKUP($B601,[1]DG!A:D,[1]DG!$B$2,)</f>
        <v>03.4001</v>
      </c>
      <c r="F601" s="89" t="str">
        <f>VLOOKUP($B601,[1]DG!A:D,[1]DG!$C$2,)</f>
        <v>Đầu cosse ép Cu 25mm2</v>
      </c>
      <c r="G601" s="88" t="str">
        <f>VLOOKUP($B601,[1]DG!A:D,[1]DG!$D$2,)</f>
        <v>cái</v>
      </c>
      <c r="H601" s="94">
        <f>4*H595*0</f>
        <v>0</v>
      </c>
      <c r="I601" s="91">
        <f t="shared" si="30"/>
        <v>0</v>
      </c>
      <c r="J601" s="92"/>
      <c r="K601" s="92"/>
      <c r="L601" s="117"/>
      <c r="M601" s="56" t="s">
        <v>227</v>
      </c>
    </row>
    <row r="602" spans="1:13" s="51" customFormat="1" ht="25.2" hidden="1" customHeight="1">
      <c r="A602" s="68">
        <f t="shared" si="29"/>
        <v>0</v>
      </c>
      <c r="B602" s="69" t="s">
        <v>163</v>
      </c>
      <c r="C602" s="69"/>
      <c r="D602" s="96"/>
      <c r="E602" s="88">
        <f>VLOOKUP($B602,[1]DG!A:D,[1]DG!$B$2,)</f>
        <v>0</v>
      </c>
      <c r="F602" s="89" t="str">
        <f>VLOOKUP($B602,[1]DG!A:D,[1]DG!$C$2,)</f>
        <v>Chụp đầu cosse  50mm2</v>
      </c>
      <c r="G602" s="88" t="str">
        <f>VLOOKUP($B602,[1]DG!A:D,[1]DG!$D$2,)</f>
        <v>cái</v>
      </c>
      <c r="H602" s="94">
        <f>H600</f>
        <v>0</v>
      </c>
      <c r="I602" s="91">
        <f t="shared" si="30"/>
        <v>0</v>
      </c>
      <c r="J602" s="92"/>
      <c r="K602" s="92"/>
      <c r="L602" s="117"/>
      <c r="M602" s="56" t="s">
        <v>227</v>
      </c>
    </row>
    <row r="603" spans="1:13" s="51" customFormat="1" ht="25.2" hidden="1" customHeight="1">
      <c r="A603" s="68">
        <f t="shared" si="29"/>
        <v>0</v>
      </c>
      <c r="B603" s="69" t="s">
        <v>199</v>
      </c>
      <c r="C603" s="69"/>
      <c r="D603" s="96"/>
      <c r="E603" s="88">
        <f>VLOOKUP($B603,[1]DG!A:D,[1]DG!$B$2,)</f>
        <v>0</v>
      </c>
      <c r="F603" s="89" t="str">
        <f>VLOOKUP($B603,[1]DG!A:D,[1]DG!$C$2,)</f>
        <v>Chụp đầu cosse  25mm2</v>
      </c>
      <c r="G603" s="88" t="str">
        <f>VLOOKUP($B603,[1]DG!A:D,[1]DG!$D$2,)</f>
        <v>cái</v>
      </c>
      <c r="H603" s="94">
        <f>H601</f>
        <v>0</v>
      </c>
      <c r="I603" s="91">
        <f t="shared" si="30"/>
        <v>0</v>
      </c>
      <c r="J603" s="92"/>
      <c r="K603" s="92"/>
      <c r="L603" s="117"/>
      <c r="M603" s="56" t="s">
        <v>227</v>
      </c>
    </row>
    <row r="604" spans="1:13" s="51" customFormat="1" ht="25.2" hidden="1" customHeight="1">
      <c r="A604" s="68">
        <f t="shared" si="29"/>
        <v>0</v>
      </c>
      <c r="B604" s="69" t="s">
        <v>110</v>
      </c>
      <c r="C604" s="69"/>
      <c r="D604" s="96"/>
      <c r="E604" s="88" t="str">
        <f>VLOOKUP($B604,[1]DG!A:D,[1]DG!$B$2,)</f>
        <v>04.8003</v>
      </c>
      <c r="F604" s="89" t="str">
        <f>VLOOKUP($B604,[1]DG!A:D,[1]DG!$C$2,)</f>
        <v xml:space="preserve">Ống PVC D90x3,8mm </v>
      </c>
      <c r="G604" s="88" t="str">
        <f>VLOOKUP($B604,[1]DG!A:D,[1]DG!$D$2,)</f>
        <v>m</v>
      </c>
      <c r="H604" s="94">
        <f>8*H595</f>
        <v>0</v>
      </c>
      <c r="I604" s="91">
        <f t="shared" si="30"/>
        <v>0</v>
      </c>
      <c r="J604" s="92"/>
      <c r="K604" s="92"/>
      <c r="L604" s="117"/>
      <c r="M604" s="56" t="s">
        <v>227</v>
      </c>
    </row>
    <row r="605" spans="1:13" s="51" customFormat="1" ht="25.2" hidden="1" customHeight="1">
      <c r="A605" s="68">
        <f t="shared" si="29"/>
        <v>0</v>
      </c>
      <c r="B605" s="86" t="s">
        <v>250</v>
      </c>
      <c r="C605" s="86"/>
      <c r="D605" s="96"/>
      <c r="E605" s="88" t="str">
        <f>VLOOKUP($B605,[1]DG!A:D,[1]DG!$B$2,)</f>
        <v>06.3231</v>
      </c>
      <c r="F605" s="89" t="str">
        <f>VLOOKUP($B605,[1]DG!A:D,[1]DG!$C$2,)</f>
        <v>Cổ dê kẹp ống PVC Ø 90</v>
      </c>
      <c r="G605" s="88" t="str">
        <f>VLOOKUP($B605,[1]DG!A:D,[1]DG!$D$2,)</f>
        <v>bộ</v>
      </c>
      <c r="H605" s="94">
        <f>3*H595</f>
        <v>0</v>
      </c>
      <c r="I605" s="91">
        <f t="shared" si="30"/>
        <v>0</v>
      </c>
      <c r="J605" s="92"/>
      <c r="K605" s="92"/>
      <c r="L605" s="117"/>
      <c r="M605" s="56" t="s">
        <v>227</v>
      </c>
    </row>
    <row r="606" spans="1:13" s="51" customFormat="1" ht="25.2" hidden="1" customHeight="1">
      <c r="A606" s="68">
        <f t="shared" si="29"/>
        <v>0</v>
      </c>
      <c r="B606" s="86" t="s">
        <v>250</v>
      </c>
      <c r="C606" s="86"/>
      <c r="D606" s="96"/>
      <c r="E606" s="88" t="str">
        <f>VLOOKUP($B606,[1]DG!A:D,[1]DG!$B$2,)</f>
        <v>06.3231</v>
      </c>
      <c r="F606" s="89" t="str">
        <f>VLOOKUP($B606,[1]DG!A:D,[1]DG!$C$2,)&amp;": CD-280-1 cái"</f>
        <v>Cổ dê kẹp ống PVC Ø 90: CD-280-1 cái</v>
      </c>
      <c r="G606" s="88" t="str">
        <f>VLOOKUP($B606,[1]DG!A:D,[1]DG!$D$2,)</f>
        <v>bộ</v>
      </c>
      <c r="H606" s="94">
        <f>H595*1.031*0</f>
        <v>0</v>
      </c>
      <c r="I606" s="91">
        <f t="shared" si="30"/>
        <v>0</v>
      </c>
      <c r="J606" s="92"/>
      <c r="K606" s="92"/>
      <c r="L606" s="117"/>
      <c r="M606" s="56" t="s">
        <v>227</v>
      </c>
    </row>
    <row r="607" spans="1:13" s="51" customFormat="1" ht="25.2" hidden="1" customHeight="1">
      <c r="A607" s="68">
        <f t="shared" ref="A607:A670" si="31">IF(I607&gt;0,1,0)</f>
        <v>0</v>
      </c>
      <c r="B607" s="86" t="s">
        <v>250</v>
      </c>
      <c r="C607" s="86"/>
      <c r="D607" s="96"/>
      <c r="E607" s="88" t="str">
        <f>VLOOKUP($B607,[1]DG!A:D,[1]DG!$B$2,)</f>
        <v>06.3231</v>
      </c>
      <c r="F607" s="89" t="str">
        <f>VLOOKUP($B607,[1]DG!A:D,[1]DG!$C$2,)&amp;": CD-320 1 cái"</f>
        <v>Cổ dê kẹp ống PVC Ø 90: CD-320 1 cái</v>
      </c>
      <c r="G607" s="88" t="str">
        <f>VLOOKUP($B607,[1]DG!A:D,[1]DG!$D$2,)</f>
        <v>bộ</v>
      </c>
      <c r="H607" s="94">
        <f>H595*1.12*0</f>
        <v>0</v>
      </c>
      <c r="I607" s="91">
        <f t="shared" si="30"/>
        <v>0</v>
      </c>
      <c r="J607" s="92"/>
      <c r="K607" s="92"/>
      <c r="L607" s="117"/>
      <c r="M607" s="56" t="s">
        <v>227</v>
      </c>
    </row>
    <row r="608" spans="1:13" s="51" customFormat="1" ht="25.2" hidden="1" customHeight="1">
      <c r="A608" s="68">
        <f t="shared" si="31"/>
        <v>0</v>
      </c>
      <c r="B608" s="86" t="s">
        <v>87</v>
      </c>
      <c r="C608" s="86"/>
      <c r="D608" s="96"/>
      <c r="E608" s="88" t="str">
        <f>VLOOKUP($B608,[1]DG!A:D,[1]DG!$B$2,)</f>
        <v>06.2110</v>
      </c>
      <c r="F608" s="89" t="str">
        <f>VLOOKUP($B608,[1]DG!A:D,[1]DG!$C$2,)</f>
        <v>Lắp cổ dề</v>
      </c>
      <c r="G608" s="88" t="str">
        <f>VLOOKUP($B608,[1]DG!A:D,[1]DG!$D$2,)</f>
        <v>bộ</v>
      </c>
      <c r="H608" s="94">
        <f>H605</f>
        <v>0</v>
      </c>
      <c r="I608" s="91">
        <f t="shared" si="30"/>
        <v>0</v>
      </c>
      <c r="J608" s="92"/>
      <c r="K608" s="92"/>
      <c r="L608" s="117"/>
      <c r="M608" s="56" t="s">
        <v>227</v>
      </c>
    </row>
    <row r="609" spans="1:13" s="51" customFormat="1" ht="25.2" hidden="1" customHeight="1">
      <c r="A609" s="68">
        <f t="shared" si="31"/>
        <v>0</v>
      </c>
      <c r="B609" s="86" t="s">
        <v>131</v>
      </c>
      <c r="C609" s="86"/>
      <c r="D609" s="96"/>
      <c r="E609" s="88">
        <f>VLOOKUP($B609,[1]DG!A:D,[1]DG!$B$2,)</f>
        <v>0</v>
      </c>
      <c r="F609" s="89" t="str">
        <f>VLOOKUP($B609,[1]DG!A:D,[1]DG!$C$2,)&amp;": CD-250"</f>
        <v>Boulon 12x40+ 2 long đền vuông D14-50x50x3/Zn: CD-250</v>
      </c>
      <c r="G609" s="88" t="str">
        <f>VLOOKUP($B609,[1]DG!A:D,[1]DG!$D$2,)</f>
        <v>bộ</v>
      </c>
      <c r="H609" s="94">
        <f>H595*7*0</f>
        <v>0</v>
      </c>
      <c r="I609" s="91">
        <f t="shared" si="30"/>
        <v>0</v>
      </c>
      <c r="J609" s="92"/>
      <c r="K609" s="92"/>
      <c r="L609" s="117"/>
      <c r="M609" s="56" t="s">
        <v>227</v>
      </c>
    </row>
    <row r="610" spans="1:13" s="51" customFormat="1" ht="25.2" hidden="1" customHeight="1">
      <c r="A610" s="68">
        <f t="shared" si="31"/>
        <v>0</v>
      </c>
      <c r="B610" s="69" t="s">
        <v>251</v>
      </c>
      <c r="C610" s="69"/>
      <c r="D610" s="96"/>
      <c r="E610" s="88">
        <f>VLOOKUP($B610,[1]DG!A:D,[1]DG!$B$2,)</f>
        <v>0</v>
      </c>
      <c r="F610" s="89" t="str">
        <f>VLOOKUP($B610,[1]DG!A:D,[1]DG!$C$2,)</f>
        <v>Co  90 độ PVC 90</v>
      </c>
      <c r="G610" s="88" t="str">
        <f>VLOOKUP($B610,[1]DG!A:D,[1]DG!$D$2,)</f>
        <v>cái</v>
      </c>
      <c r="H610" s="94">
        <f>2*H595</f>
        <v>0</v>
      </c>
      <c r="I610" s="91">
        <f t="shared" si="30"/>
        <v>0</v>
      </c>
      <c r="J610" s="92"/>
      <c r="K610" s="92"/>
      <c r="L610" s="117"/>
      <c r="M610" s="56" t="s">
        <v>227</v>
      </c>
    </row>
    <row r="611" spans="1:13" s="51" customFormat="1" ht="25.2" hidden="1" customHeight="1">
      <c r="A611" s="68">
        <f t="shared" si="31"/>
        <v>0</v>
      </c>
      <c r="B611" s="69" t="s">
        <v>252</v>
      </c>
      <c r="C611" s="69"/>
      <c r="D611" s="96"/>
      <c r="E611" s="88">
        <f>VLOOKUP($B611,[1]DG!A:D,[1]DG!$B$2,)</f>
        <v>0</v>
      </c>
      <c r="F611" s="89" t="str">
        <f>VLOOKUP($B611,[1]DG!A:D,[1]DG!$C$2,)</f>
        <v>Khâu ven răng trong D90</v>
      </c>
      <c r="G611" s="88" t="str">
        <f>VLOOKUP($B611,[1]DG!A:D,[1]DG!$D$2,)</f>
        <v>cái</v>
      </c>
      <c r="H611" s="94">
        <f>H595</f>
        <v>0</v>
      </c>
      <c r="I611" s="91">
        <f t="shared" si="30"/>
        <v>0</v>
      </c>
      <c r="J611" s="92"/>
      <c r="K611" s="92"/>
      <c r="L611" s="117"/>
      <c r="M611" s="56" t="s">
        <v>227</v>
      </c>
    </row>
    <row r="612" spans="1:13" s="51" customFormat="1" ht="25.2" hidden="1" customHeight="1">
      <c r="A612" s="68">
        <f t="shared" si="31"/>
        <v>0</v>
      </c>
      <c r="B612" s="69" t="s">
        <v>253</v>
      </c>
      <c r="C612" s="69"/>
      <c r="D612" s="96"/>
      <c r="E612" s="88">
        <f>VLOOKUP($B612,[1]DG!A:D,[1]DG!$B$2,)</f>
        <v>0</v>
      </c>
      <c r="F612" s="89" t="str">
        <f>VLOOKUP($B612,[1]DG!A:D,[1]DG!$C$2,)</f>
        <v>Khâu ven răng ngoài D90</v>
      </c>
      <c r="G612" s="88" t="str">
        <f>VLOOKUP($B612,[1]DG!A:D,[1]DG!$D$2,)</f>
        <v>cái</v>
      </c>
      <c r="H612" s="94">
        <f>H611</f>
        <v>0</v>
      </c>
      <c r="I612" s="91">
        <f t="shared" si="30"/>
        <v>0</v>
      </c>
      <c r="J612" s="92"/>
      <c r="K612" s="92"/>
      <c r="L612" s="117"/>
      <c r="M612" s="56" t="s">
        <v>227</v>
      </c>
    </row>
    <row r="613" spans="1:13" s="51" customFormat="1" ht="25.2" hidden="1" customHeight="1">
      <c r="A613" s="68">
        <f t="shared" si="31"/>
        <v>0</v>
      </c>
      <c r="B613" s="69" t="s">
        <v>254</v>
      </c>
      <c r="C613" s="69"/>
      <c r="D613" s="96"/>
      <c r="E613" s="88">
        <f>VLOOKUP($B613,[1]DG!A:D,[1]DG!$B$2,)</f>
        <v>0</v>
      </c>
      <c r="F613" s="89" t="str">
        <f>VLOOKUP($B613,[1]DG!A:D,[1]DG!$C$2,)</f>
        <v>Keo dán ống PVC (100gr)</v>
      </c>
      <c r="G613" s="88" t="str">
        <f>VLOOKUP($B613,[1]DG!A:D,[1]DG!$D$2,)</f>
        <v>tuýp</v>
      </c>
      <c r="H613" s="94">
        <f>H595</f>
        <v>0</v>
      </c>
      <c r="I613" s="91">
        <f t="shared" si="30"/>
        <v>0</v>
      </c>
      <c r="J613" s="92"/>
      <c r="K613" s="92"/>
      <c r="L613" s="117"/>
      <c r="M613" s="56" t="s">
        <v>227</v>
      </c>
    </row>
    <row r="614" spans="1:13" s="51" customFormat="1" ht="25.2" hidden="1" customHeight="1">
      <c r="A614" s="68">
        <f t="shared" si="31"/>
        <v>0</v>
      </c>
      <c r="B614" s="69" t="s">
        <v>255</v>
      </c>
      <c r="C614" s="69"/>
      <c r="D614" s="96"/>
      <c r="E614" s="88">
        <f>VLOOKUP($B614,[1]DG!A:D,[1]DG!$B$2,)</f>
        <v>0</v>
      </c>
      <c r="F614" s="89" t="str">
        <f>VLOOKUP($B614,[1]DG!A:D,[1]DG!$C$2,)</f>
        <v>Keo silicon bít miệng ống</v>
      </c>
      <c r="G614" s="88" t="str">
        <f>VLOOKUP($B614,[1]DG!A:D,[1]DG!$D$2,)</f>
        <v>ống</v>
      </c>
      <c r="H614" s="94">
        <f>H595</f>
        <v>0</v>
      </c>
      <c r="I614" s="91">
        <f t="shared" si="30"/>
        <v>0</v>
      </c>
      <c r="J614" s="92"/>
      <c r="K614" s="92"/>
      <c r="L614" s="117"/>
      <c r="M614" s="56" t="s">
        <v>227</v>
      </c>
    </row>
    <row r="615" spans="1:13" s="51" customFormat="1" ht="25.2" hidden="1" customHeight="1">
      <c r="A615" s="68">
        <f t="shared" si="31"/>
        <v>0</v>
      </c>
      <c r="B615" s="86" t="s">
        <v>148</v>
      </c>
      <c r="C615" s="86"/>
      <c r="D615" s="96"/>
      <c r="E615" s="88">
        <f>VLOOKUP($B615,[1]DG!A:D,[1]DG!$B$2,)</f>
        <v>0</v>
      </c>
      <c r="F615" s="89" t="str">
        <f>VLOOKUP($B615,[1]DG!A:D,[1]DG!$C$2,)</f>
        <v>Băng keo cách điện</v>
      </c>
      <c r="G615" s="88" t="str">
        <f>VLOOKUP($B615,[1]DG!A:D,[1]DG!$D$2,)</f>
        <v>cuộn</v>
      </c>
      <c r="H615" s="94">
        <f>H595</f>
        <v>0</v>
      </c>
      <c r="I615" s="91">
        <f t="shared" si="30"/>
        <v>0</v>
      </c>
      <c r="J615" s="92"/>
      <c r="K615" s="92"/>
      <c r="L615" s="117"/>
      <c r="M615" s="56" t="s">
        <v>227</v>
      </c>
    </row>
    <row r="616" spans="1:13" s="51" customFormat="1" ht="25.2" hidden="1" customHeight="1">
      <c r="A616" s="68">
        <f t="shared" si="31"/>
        <v>0</v>
      </c>
      <c r="B616" s="69" t="s">
        <v>256</v>
      </c>
      <c r="C616" s="69"/>
      <c r="D616" s="96"/>
      <c r="E616" s="88" t="str">
        <f>VLOOKUP($B616,[1]DG!A:D,[1]DG!$B$2,)</f>
        <v>07.2415</v>
      </c>
      <c r="F616" s="89" t="str">
        <f>VLOOKUP($B616,[1]DG!A:D,[1]DG!$C$2,)</f>
        <v>Lắp ống nhựa PVC D90</v>
      </c>
      <c r="G616" s="88" t="str">
        <f>VLOOKUP($B616,[1]DG!A:D,[1]DG!$D$2,)</f>
        <v>mét</v>
      </c>
      <c r="H616" s="94">
        <f>H604</f>
        <v>0</v>
      </c>
      <c r="I616" s="91">
        <f t="shared" si="30"/>
        <v>0</v>
      </c>
      <c r="J616" s="92"/>
      <c r="K616" s="92"/>
      <c r="L616" s="117"/>
      <c r="M616" s="56" t="s">
        <v>227</v>
      </c>
    </row>
    <row r="617" spans="1:13" s="51" customFormat="1" ht="25.2" hidden="1" customHeight="1">
      <c r="A617" s="68">
        <f t="shared" si="31"/>
        <v>0</v>
      </c>
      <c r="B617" s="86" t="s">
        <v>101</v>
      </c>
      <c r="C617" s="86"/>
      <c r="D617" s="96"/>
      <c r="E617" s="88" t="str">
        <f>VLOOKUP($B617,[1]DG!A:D,[1]DG!$B$2,)</f>
        <v>04.4201</v>
      </c>
      <c r="F617" s="89" t="str">
        <f>VLOOKUP($B617,[1]DG!A:D,[1]DG!$C$2,)</f>
        <v>Lắp cáp đồng xuống thiết bị D ≤ 95mm2</v>
      </c>
      <c r="G617" s="88" t="str">
        <f>VLOOKUP($B617,[1]DG!A:D,[1]DG!$D$2,)</f>
        <v>m</v>
      </c>
      <c r="H617" s="94">
        <f>H597+H598</f>
        <v>0</v>
      </c>
      <c r="I617" s="91">
        <f t="shared" si="30"/>
        <v>0</v>
      </c>
      <c r="J617" s="92"/>
      <c r="K617" s="92"/>
      <c r="L617" s="117"/>
      <c r="M617" s="56" t="s">
        <v>227</v>
      </c>
    </row>
    <row r="618" spans="1:13" s="51" customFormat="1" ht="25.2" hidden="1" customHeight="1">
      <c r="A618" s="68">
        <f t="shared" si="31"/>
        <v>0</v>
      </c>
      <c r="B618" s="69" t="s">
        <v>117</v>
      </c>
      <c r="C618" s="69"/>
      <c r="D618" s="118">
        <f>IF(H618&gt;0,D595+1,D595)</f>
        <v>0</v>
      </c>
      <c r="E618" s="119"/>
      <c r="F618" s="89" t="str">
        <f>VLOOKUP($B618,[1]DG!A:D,[1]DG!$C$2,)</f>
        <v>Bảng tên trạm, bảng báo nguy hiểm + đinh vít</v>
      </c>
      <c r="G618" s="88" t="str">
        <f>VLOOKUP($B618,[1]DG!A:D,[1]DG!$D$2,)</f>
        <v>bộ</v>
      </c>
      <c r="H618" s="120">
        <f>H557</f>
        <v>0</v>
      </c>
      <c r="I618" s="91">
        <f t="shared" si="30"/>
        <v>0</v>
      </c>
      <c r="J618" s="92"/>
      <c r="K618" s="92"/>
      <c r="L618" s="141"/>
      <c r="M618" s="56" t="s">
        <v>227</v>
      </c>
    </row>
    <row r="619" spans="1:13" s="51" customFormat="1" ht="25.2" hidden="1" customHeight="1">
      <c r="A619" s="68">
        <f t="shared" si="31"/>
        <v>0</v>
      </c>
      <c r="B619" s="69"/>
      <c r="C619" s="69"/>
      <c r="D619" s="122"/>
      <c r="E619" s="123"/>
      <c r="F619" s="107"/>
      <c r="G619" s="124"/>
      <c r="H619" s="125"/>
      <c r="I619" s="91">
        <f t="shared" si="30"/>
        <v>0</v>
      </c>
      <c r="J619" s="126"/>
      <c r="K619" s="127"/>
      <c r="L619" s="133"/>
      <c r="M619" s="56"/>
    </row>
    <row r="620" spans="1:13" s="51" customFormat="1" ht="25.2" hidden="1" customHeight="1">
      <c r="A620" s="68">
        <f t="shared" si="31"/>
        <v>0</v>
      </c>
      <c r="B620" s="52"/>
      <c r="C620" s="52"/>
      <c r="D620" s="128"/>
      <c r="E620" s="169"/>
      <c r="H620" s="66"/>
      <c r="I620" s="91">
        <f t="shared" si="30"/>
        <v>0</v>
      </c>
      <c r="M620" s="56"/>
    </row>
    <row r="621" spans="1:13" s="51" customFormat="1" ht="25.2" hidden="1" customHeight="1">
      <c r="A621" s="68">
        <f t="shared" si="31"/>
        <v>0</v>
      </c>
      <c r="B621" s="52"/>
      <c r="C621" s="52"/>
      <c r="D621" s="131" t="str">
        <f>"BAÛNG TOÅNG HÔÏP VAÄT LIEÄU, NHAÂN COÂNG, MAÙY THI COÂNG : "&amp;L7&amp;" TRAÏM 3P 3x25KVA"</f>
        <v>BAÛNG TOÅNG HÔÏP VAÄT LIEÄU, NHAÂN COÂNG, MAÙY THI COÂNG : 0 TRAÏM 3P 3x25KVA</v>
      </c>
      <c r="E621" s="131"/>
      <c r="F621" s="131"/>
      <c r="G621" s="131"/>
      <c r="H621" s="132"/>
      <c r="I621" s="91">
        <f t="shared" si="30"/>
        <v>0</v>
      </c>
      <c r="J621" s="131"/>
      <c r="K621" s="131"/>
      <c r="L621" s="56"/>
      <c r="M621" s="56"/>
    </row>
    <row r="622" spans="1:13" s="51" customFormat="1" ht="25.2" hidden="1" customHeight="1">
      <c r="A622" s="68">
        <f t="shared" si="31"/>
        <v>0</v>
      </c>
      <c r="B622" s="69"/>
      <c r="C622" s="69"/>
      <c r="D622" s="79"/>
      <c r="E622" s="80"/>
      <c r="F622" s="107" t="s">
        <v>53</v>
      </c>
      <c r="G622" s="82"/>
      <c r="H622" s="83"/>
      <c r="I622" s="91">
        <f t="shared" si="30"/>
        <v>0</v>
      </c>
      <c r="J622" s="82"/>
      <c r="K622" s="82"/>
      <c r="L622" s="133"/>
      <c r="M622" s="56" t="s">
        <v>257</v>
      </c>
    </row>
    <row r="623" spans="1:13" s="51" customFormat="1" ht="25.2" hidden="1" customHeight="1">
      <c r="A623" s="68">
        <f t="shared" si="31"/>
        <v>0</v>
      </c>
      <c r="B623" s="86" t="s">
        <v>172</v>
      </c>
      <c r="C623" s="86"/>
      <c r="D623" s="87">
        <f>IF(H623&gt;0,1,0)</f>
        <v>0</v>
      </c>
      <c r="E623" s="88" t="str">
        <f>VLOOKUP($B623,[1]DG!A:D,[1]DG!$B$2,)</f>
        <v>01.1161</v>
      </c>
      <c r="F623" s="89" t="str">
        <f>VLOOKUP($B623,[1]DG!A:D,[1]DG!$C$2,)</f>
        <v>Máy biến áp 12,7/0,22-0,44kV  25kVA</v>
      </c>
      <c r="G623" s="88" t="str">
        <f>VLOOKUP($B623,[1]DG!A:D,[1]DG!$D$2,)</f>
        <v>máy</v>
      </c>
      <c r="H623" s="134">
        <f>L7*3</f>
        <v>0</v>
      </c>
      <c r="I623" s="91">
        <f t="shared" si="30"/>
        <v>0</v>
      </c>
      <c r="J623" s="92"/>
      <c r="K623" s="92"/>
      <c r="L623" s="135"/>
      <c r="M623" s="56" t="s">
        <v>257</v>
      </c>
    </row>
    <row r="624" spans="1:13" s="51" customFormat="1" ht="25.2" hidden="1" customHeight="1">
      <c r="A624" s="68">
        <f t="shared" si="31"/>
        <v>0</v>
      </c>
      <c r="B624" s="86" t="s">
        <v>56</v>
      </c>
      <c r="C624" s="86"/>
      <c r="D624" s="87">
        <f t="shared" ref="D624:D629" si="32">IF(H624&gt;0,D623+1,D623)</f>
        <v>0</v>
      </c>
      <c r="E624" s="88" t="str">
        <f>VLOOKUP($B624,[1]DG!A:D,[1]DG!$B$2,)</f>
        <v>02.3155</v>
      </c>
      <c r="F624" s="89" t="str">
        <f>VLOOKUP($B624,[1]DG!A:D,[1]DG!$C$2,)</f>
        <v>FCO 27kV - 100A</v>
      </c>
      <c r="G624" s="88" t="str">
        <f>VLOOKUP($B624,[1]DG!A:D,[1]DG!$D$2,)</f>
        <v>cái</v>
      </c>
      <c r="H624" s="94">
        <f>+H623</f>
        <v>0</v>
      </c>
      <c r="I624" s="91">
        <f t="shared" si="30"/>
        <v>0</v>
      </c>
      <c r="J624" s="92"/>
      <c r="K624" s="92"/>
      <c r="L624" s="117"/>
      <c r="M624" s="56" t="s">
        <v>257</v>
      </c>
    </row>
    <row r="625" spans="1:14" s="51" customFormat="1" ht="25.2" hidden="1" customHeight="1">
      <c r="A625" s="68">
        <f t="shared" si="31"/>
        <v>0</v>
      </c>
      <c r="B625" s="86" t="s">
        <v>57</v>
      </c>
      <c r="C625" s="86"/>
      <c r="D625" s="87">
        <f t="shared" si="32"/>
        <v>0</v>
      </c>
      <c r="E625" s="88">
        <f>VLOOKUP($B625,[1]DG!A:D,[1]DG!$B$2,)</f>
        <v>0</v>
      </c>
      <c r="F625" s="89" t="str">
        <f>VLOOKUP($B625,[1]DG!A:D,[1]DG!$C$2,)</f>
        <v>Dây chảy 3K</v>
      </c>
      <c r="G625" s="88" t="str">
        <f>VLOOKUP($B625,[1]DG!A:D,[1]DG!$D$2,)</f>
        <v>Sợi</v>
      </c>
      <c r="H625" s="94">
        <f>H624</f>
        <v>0</v>
      </c>
      <c r="I625" s="91">
        <f t="shared" si="30"/>
        <v>0</v>
      </c>
      <c r="J625" s="92"/>
      <c r="K625" s="92"/>
      <c r="L625" s="117"/>
      <c r="M625" s="56" t="s">
        <v>257</v>
      </c>
    </row>
    <row r="626" spans="1:14" s="51" customFormat="1" ht="25.2" hidden="1" customHeight="1">
      <c r="A626" s="68">
        <f t="shared" si="31"/>
        <v>0</v>
      </c>
      <c r="B626" s="52" t="s">
        <v>58</v>
      </c>
      <c r="C626" s="52"/>
      <c r="D626" s="87">
        <f t="shared" si="32"/>
        <v>0</v>
      </c>
      <c r="E626" s="88" t="str">
        <f>VLOOKUP($B626,[1]DG!A:D,[1]DG!$B$2,)</f>
        <v>02.5114</v>
      </c>
      <c r="F626" s="89" t="str">
        <f>VLOOKUP($B626,[1]DG!A:D,[1]DG!$C$2,)</f>
        <v>Chống sét van LA-18KV-10KA</v>
      </c>
      <c r="G626" s="88" t="str">
        <f>VLOOKUP($B626,[1]DG!A:D,[1]DG!$D$2,)</f>
        <v>cái</v>
      </c>
      <c r="H626" s="94">
        <f>H623</f>
        <v>0</v>
      </c>
      <c r="I626" s="91">
        <f t="shared" si="30"/>
        <v>0</v>
      </c>
      <c r="J626" s="92"/>
      <c r="K626" s="92"/>
      <c r="L626" s="117"/>
      <c r="M626" s="56" t="s">
        <v>257</v>
      </c>
    </row>
    <row r="627" spans="1:14" s="51" customFormat="1" ht="25.2" hidden="1" customHeight="1">
      <c r="A627" s="68">
        <f t="shared" si="31"/>
        <v>0</v>
      </c>
      <c r="B627" s="98" t="s">
        <v>118</v>
      </c>
      <c r="C627" s="98"/>
      <c r="D627" s="87">
        <f t="shared" si="32"/>
        <v>0</v>
      </c>
      <c r="E627" s="88" t="str">
        <f>VLOOKUP($B627,[1]DG!A:D,[1]DG!$B$2,)</f>
        <v>02.8401</v>
      </c>
      <c r="F627" s="89" t="str">
        <f>VLOOKUP($B627,[1]DG!A:D,[1]DG!$C$2,)</f>
        <v>MCCB 3 cực 400V -125A - 30KA</v>
      </c>
      <c r="G627" s="88" t="str">
        <f>VLOOKUP($B627,[1]DG!A:D,[1]DG!$D$2,)</f>
        <v>cái</v>
      </c>
      <c r="H627" s="94">
        <f>+H623/3</f>
        <v>0</v>
      </c>
      <c r="I627" s="91">
        <f t="shared" si="30"/>
        <v>0</v>
      </c>
      <c r="J627" s="92"/>
      <c r="K627" s="92"/>
      <c r="L627" s="117"/>
      <c r="M627" s="56" t="s">
        <v>257</v>
      </c>
    </row>
    <row r="628" spans="1:14" s="51" customFormat="1" ht="25.2" hidden="1" customHeight="1">
      <c r="A628" s="68">
        <f t="shared" si="31"/>
        <v>0</v>
      </c>
      <c r="B628" s="86" t="s">
        <v>119</v>
      </c>
      <c r="C628" s="86"/>
      <c r="D628" s="87">
        <f t="shared" si="32"/>
        <v>0</v>
      </c>
      <c r="E628" s="88">
        <f>VLOOKUP($B628,[1]DG!A:D,[1]DG!$B$2,)</f>
        <v>0</v>
      </c>
      <c r="F628" s="89" t="str">
        <f>VLOOKUP($B628,[1]DG!A:D,[1]DG!$C$2,)</f>
        <v>Biến dòng 600V - 100/5A</v>
      </c>
      <c r="G628" s="88" t="str">
        <f>VLOOKUP($B628,[1]DG!A:D,[1]DG!$D$2,)</f>
        <v>cái</v>
      </c>
      <c r="H628" s="180">
        <f>H623</f>
        <v>0</v>
      </c>
      <c r="I628" s="91">
        <f t="shared" si="30"/>
        <v>0</v>
      </c>
      <c r="J628" s="92"/>
      <c r="K628" s="92"/>
      <c r="L628" s="96" t="s">
        <v>61</v>
      </c>
      <c r="M628" s="56" t="s">
        <v>257</v>
      </c>
    </row>
    <row r="629" spans="1:14" s="51" customFormat="1" ht="25.2" hidden="1" customHeight="1">
      <c r="A629" s="68">
        <f t="shared" si="31"/>
        <v>0</v>
      </c>
      <c r="B629" s="181" t="s">
        <v>258</v>
      </c>
      <c r="C629" s="181"/>
      <c r="D629" s="87">
        <f t="shared" si="32"/>
        <v>0</v>
      </c>
      <c r="E629" s="88" t="str">
        <f>VLOOKUP($B629,[1]DG!A:D,[1]DG!$B$2,)</f>
        <v>05.5104</v>
      </c>
      <c r="F629" s="89" t="str">
        <f>VLOOKUP($B629,[1]DG!A:D,[1]DG!$C$2,)</f>
        <v>Điện kế 3 pha 4 dây 220/380V-5A</v>
      </c>
      <c r="G629" s="88" t="str">
        <f>VLOOKUP($B629,[1]DG!A:D,[1]DG!$D$2,)</f>
        <v>cái</v>
      </c>
      <c r="H629" s="94">
        <f>H628/3</f>
        <v>0</v>
      </c>
      <c r="I629" s="91">
        <f t="shared" si="30"/>
        <v>0</v>
      </c>
      <c r="J629" s="92"/>
      <c r="K629" s="92"/>
      <c r="L629" s="96" t="s">
        <v>61</v>
      </c>
      <c r="M629" s="56" t="s">
        <v>257</v>
      </c>
    </row>
    <row r="630" spans="1:14" s="51" customFormat="1" ht="25.2" hidden="1" customHeight="1">
      <c r="A630" s="68">
        <f t="shared" si="31"/>
        <v>0</v>
      </c>
      <c r="B630" s="69"/>
      <c r="C630" s="69"/>
      <c r="D630" s="100"/>
      <c r="E630" s="103"/>
      <c r="F630" s="84"/>
      <c r="G630" s="100"/>
      <c r="H630" s="103"/>
      <c r="I630" s="91">
        <f t="shared" si="30"/>
        <v>0</v>
      </c>
      <c r="J630" s="84"/>
      <c r="K630" s="100"/>
      <c r="L630" s="133"/>
      <c r="M630" s="56" t="s">
        <v>257</v>
      </c>
    </row>
    <row r="631" spans="1:14" s="51" customFormat="1" ht="25.2" hidden="1" customHeight="1">
      <c r="A631" s="68">
        <f t="shared" si="31"/>
        <v>0</v>
      </c>
      <c r="B631" s="69"/>
      <c r="C631" s="69"/>
      <c r="D631" s="104"/>
      <c r="E631" s="172"/>
      <c r="F631" s="107" t="s">
        <v>64</v>
      </c>
      <c r="G631" s="107"/>
      <c r="H631" s="83"/>
      <c r="I631" s="91">
        <f t="shared" ref="I631:I694" si="33">IF(M631=$M$23,H631+J631-K631,0)</f>
        <v>0</v>
      </c>
      <c r="J631" s="107"/>
      <c r="K631" s="107"/>
      <c r="L631" s="133"/>
      <c r="M631" s="56" t="s">
        <v>257</v>
      </c>
    </row>
    <row r="632" spans="1:14" s="51" customFormat="1" ht="25.2" hidden="1" customHeight="1">
      <c r="A632" s="68">
        <f t="shared" si="31"/>
        <v>0</v>
      </c>
      <c r="B632" s="69"/>
      <c r="C632" s="69"/>
      <c r="D632" s="173">
        <f>IF(H632&gt;0,1,0)</f>
        <v>0</v>
      </c>
      <c r="E632" s="174"/>
      <c r="F632" s="175" t="s">
        <v>229</v>
      </c>
      <c r="G632" s="173" t="s">
        <v>67</v>
      </c>
      <c r="H632" s="176">
        <f>H623/3</f>
        <v>0</v>
      </c>
      <c r="I632" s="91">
        <f t="shared" si="33"/>
        <v>0</v>
      </c>
      <c r="J632" s="177"/>
      <c r="K632" s="177"/>
      <c r="L632" s="135"/>
      <c r="M632" s="56" t="s">
        <v>257</v>
      </c>
    </row>
    <row r="633" spans="1:14" s="51" customFormat="1" ht="25.2" hidden="1" customHeight="1">
      <c r="A633" s="68">
        <f>IF(A632&gt;0,1,0)</f>
        <v>0</v>
      </c>
      <c r="B633" s="69"/>
      <c r="C633" s="69"/>
      <c r="D633" s="114"/>
      <c r="E633" s="178"/>
      <c r="F633" s="137" t="s">
        <v>68</v>
      </c>
      <c r="G633" s="96"/>
      <c r="H633" s="94"/>
      <c r="I633" s="91">
        <f t="shared" si="33"/>
        <v>0</v>
      </c>
      <c r="J633" s="179"/>
      <c r="K633" s="179"/>
      <c r="L633" s="117"/>
      <c r="M633" s="56" t="s">
        <v>257</v>
      </c>
    </row>
    <row r="634" spans="1:14" s="51" customFormat="1" ht="25.2" hidden="1" customHeight="1">
      <c r="A634" s="68">
        <f t="shared" si="31"/>
        <v>0</v>
      </c>
      <c r="B634" s="86" t="s">
        <v>259</v>
      </c>
      <c r="C634" s="86"/>
      <c r="D634" s="114"/>
      <c r="E634" s="88" t="str">
        <f>VLOOKUP($B634,[1]DG!A:D,[1]DG!$B$2,)</f>
        <v>05.6100</v>
      </c>
      <c r="F634" s="89" t="str">
        <f>VLOOKUP($B634,[1]DG!A:D,[1]DG!$C$2,)</f>
        <v>Giá chùm treo máy biến áp 3x25</v>
      </c>
      <c r="G634" s="88" t="str">
        <f>VLOOKUP($B634,[1]DG!A:D,[1]DG!$D$2,)</f>
        <v>cái</v>
      </c>
      <c r="H634" s="94">
        <f>H632</f>
        <v>0</v>
      </c>
      <c r="I634" s="91">
        <f t="shared" si="33"/>
        <v>0</v>
      </c>
      <c r="J634" s="92"/>
      <c r="K634" s="92"/>
      <c r="L634" s="117"/>
      <c r="M634" s="56" t="s">
        <v>257</v>
      </c>
    </row>
    <row r="635" spans="1:14" s="51" customFormat="1" ht="25.2" hidden="1" customHeight="1">
      <c r="A635" s="68">
        <f t="shared" si="31"/>
        <v>0</v>
      </c>
      <c r="B635" s="69" t="s">
        <v>231</v>
      </c>
      <c r="C635" s="69"/>
      <c r="D635" s="114"/>
      <c r="E635" s="178"/>
      <c r="F635" s="89" t="str">
        <f>VLOOKUP($B635,[1]DG!A:D,[1]DG!$C$2,)</f>
        <v>Boulon 16x50+ 2 long đền vuông D18-50x50x3/Zn</v>
      </c>
      <c r="G635" s="88" t="str">
        <f>VLOOKUP($B635,[1]DG!A:D,[1]DG!$D$2,)</f>
        <v>bộ</v>
      </c>
      <c r="H635" s="94">
        <f>6*H632</f>
        <v>0</v>
      </c>
      <c r="I635" s="91">
        <f t="shared" si="33"/>
        <v>0</v>
      </c>
      <c r="J635" s="92"/>
      <c r="K635" s="92"/>
      <c r="L635" s="117"/>
      <c r="M635" s="56" t="s">
        <v>257</v>
      </c>
    </row>
    <row r="636" spans="1:14" s="51" customFormat="1" ht="25.2" hidden="1" customHeight="1">
      <c r="A636" s="68">
        <f t="shared" si="31"/>
        <v>0</v>
      </c>
      <c r="B636" s="69" t="s">
        <v>65</v>
      </c>
      <c r="C636" s="69"/>
      <c r="D636" s="114"/>
      <c r="E636" s="178"/>
      <c r="F636" s="89" t="str">
        <f>VLOOKUP($B636,[1]DG!A:D,[1]DG!$C$2,)</f>
        <v>Boulon 16x300+ 2 long đền vuông D18-50x50x3/Zn</v>
      </c>
      <c r="G636" s="88" t="str">
        <f>VLOOKUP($B636,[1]DG!A:D,[1]DG!$D$2,)</f>
        <v>bộ</v>
      </c>
      <c r="H636" s="94">
        <f>2*H632</f>
        <v>0</v>
      </c>
      <c r="I636" s="91">
        <f t="shared" si="33"/>
        <v>0</v>
      </c>
      <c r="J636" s="92"/>
      <c r="K636" s="92"/>
      <c r="L636" s="117"/>
      <c r="M636" s="56" t="s">
        <v>257</v>
      </c>
    </row>
    <row r="637" spans="1:14" s="51" customFormat="1" ht="25.2" hidden="1" customHeight="1">
      <c r="A637" s="68">
        <f t="shared" si="31"/>
        <v>0</v>
      </c>
      <c r="B637" s="69"/>
      <c r="C637" s="69"/>
      <c r="D637" s="111">
        <f>IF(H637&gt;0,D632+1,D632)</f>
        <v>0</v>
      </c>
      <c r="E637" s="112"/>
      <c r="F637" s="113" t="s">
        <v>66</v>
      </c>
      <c r="G637" s="114" t="s">
        <v>67</v>
      </c>
      <c r="H637" s="110">
        <f>H632*0</f>
        <v>0</v>
      </c>
      <c r="I637" s="91">
        <f t="shared" si="33"/>
        <v>0</v>
      </c>
      <c r="J637" s="95"/>
      <c r="K637" s="95"/>
      <c r="L637" s="96"/>
      <c r="M637" s="56" t="s">
        <v>257</v>
      </c>
    </row>
    <row r="638" spans="1:14" s="51" customFormat="1" ht="25.2" hidden="1" customHeight="1">
      <c r="A638" s="68">
        <f>IF(A637&gt;0,1,0)</f>
        <v>0</v>
      </c>
      <c r="B638" s="69"/>
      <c r="C638" s="69"/>
      <c r="D638" s="114"/>
      <c r="E638" s="112"/>
      <c r="F638" s="115" t="s">
        <v>68</v>
      </c>
      <c r="G638" s="96"/>
      <c r="H638" s="94"/>
      <c r="I638" s="91">
        <f t="shared" si="33"/>
        <v>0</v>
      </c>
      <c r="J638" s="95"/>
      <c r="K638" s="95"/>
      <c r="L638" s="96"/>
      <c r="M638" s="56" t="s">
        <v>257</v>
      </c>
      <c r="N638" s="56"/>
    </row>
    <row r="639" spans="1:14" s="51" customFormat="1" ht="25.2" hidden="1" customHeight="1">
      <c r="A639" s="68">
        <f t="shared" si="31"/>
        <v>0</v>
      </c>
      <c r="B639" s="86" t="s">
        <v>69</v>
      </c>
      <c r="C639" s="86"/>
      <c r="D639" s="96"/>
      <c r="E639" s="88">
        <f>VLOOKUP($B639,[1]DG!A:D,[1]DG!$B$2,)</f>
        <v>0</v>
      </c>
      <c r="F639" s="89" t="str">
        <f>VLOOKUP($B639,[1]DG!A:D,[1]DG!$C$2,)</f>
        <v>Trụ BTLT 12m F350 dự ứng lực</v>
      </c>
      <c r="G639" s="88" t="str">
        <f>VLOOKUP($B639,[1]DG!A:D,[1]DG!$D$2,)</f>
        <v>trụ</v>
      </c>
      <c r="H639" s="94">
        <f>1*H637</f>
        <v>0</v>
      </c>
      <c r="I639" s="91">
        <f t="shared" si="33"/>
        <v>0</v>
      </c>
      <c r="J639" s="92"/>
      <c r="K639" s="92"/>
      <c r="L639" s="96"/>
      <c r="M639" s="56" t="s">
        <v>257</v>
      </c>
      <c r="N639" s="56"/>
    </row>
    <row r="640" spans="1:14" s="51" customFormat="1" ht="25.2" hidden="1" customHeight="1">
      <c r="A640" s="68">
        <f t="shared" si="31"/>
        <v>0</v>
      </c>
      <c r="B640" s="86" t="s">
        <v>70</v>
      </c>
      <c r="C640" s="86"/>
      <c r="D640" s="96"/>
      <c r="E640" s="116"/>
      <c r="F640" s="89" t="str">
        <f>VLOOKUP($B640,[1]DG!A:D,[1]DG!$C$2,)</f>
        <v>Vật liệu dựng trụ</v>
      </c>
      <c r="G640" s="88" t="str">
        <f>VLOOKUP($B640,[1]DG!A:D,[1]DG!$D$2,)</f>
        <v>trụ</v>
      </c>
      <c r="H640" s="94">
        <f>H639</f>
        <v>0</v>
      </c>
      <c r="I640" s="91">
        <f t="shared" si="33"/>
        <v>0</v>
      </c>
      <c r="J640" s="92"/>
      <c r="K640" s="92"/>
      <c r="L640" s="96"/>
      <c r="M640" s="56" t="s">
        <v>257</v>
      </c>
      <c r="N640" s="56"/>
    </row>
    <row r="641" spans="1:14" s="51" customFormat="1" ht="25.2" hidden="1" customHeight="1">
      <c r="A641" s="68">
        <f t="shared" si="31"/>
        <v>0</v>
      </c>
      <c r="B641" s="86" t="s">
        <v>71</v>
      </c>
      <c r="C641" s="86"/>
      <c r="D641" s="96"/>
      <c r="E641" s="116"/>
      <c r="F641" s="89" t="str">
        <f>VLOOKUP($B641,[1]DG!A:D,[1]DG!$C$2,)</f>
        <v>Dựng trụ BTLT 12m trong TBA bằng thủ công + cơ giới</v>
      </c>
      <c r="G641" s="88" t="str">
        <f>VLOOKUP($B641,[1]DG!A:D,[1]DG!$D$2,)</f>
        <v>trụ</v>
      </c>
      <c r="H641" s="94">
        <f>H639</f>
        <v>0</v>
      </c>
      <c r="I641" s="91">
        <f t="shared" si="33"/>
        <v>0</v>
      </c>
      <c r="J641" s="92"/>
      <c r="K641" s="92"/>
      <c r="L641" s="96"/>
      <c r="M641" s="56" t="s">
        <v>257</v>
      </c>
      <c r="N641" s="56"/>
    </row>
    <row r="642" spans="1:14" s="51" customFormat="1" ht="25.2" hidden="1" customHeight="1">
      <c r="A642" s="68">
        <f t="shared" si="31"/>
        <v>0</v>
      </c>
      <c r="B642" s="69"/>
      <c r="C642" s="69"/>
      <c r="D642" s="111">
        <f>IF(H642&gt;0,D637+1,D637)</f>
        <v>0</v>
      </c>
      <c r="E642" s="112"/>
      <c r="F642" s="113" t="s">
        <v>72</v>
      </c>
      <c r="G642" s="114" t="s">
        <v>67</v>
      </c>
      <c r="H642" s="110">
        <f>H637</f>
        <v>0</v>
      </c>
      <c r="I642" s="91">
        <f t="shared" si="33"/>
        <v>0</v>
      </c>
      <c r="J642" s="95"/>
      <c r="K642" s="95"/>
      <c r="L642" s="96"/>
      <c r="M642" s="56" t="s">
        <v>257</v>
      </c>
    </row>
    <row r="643" spans="1:14" s="51" customFormat="1" ht="25.2" hidden="1" customHeight="1">
      <c r="A643" s="68">
        <f>IF(A642&gt;0,1,0)</f>
        <v>0</v>
      </c>
      <c r="B643" s="69"/>
      <c r="C643" s="69"/>
      <c r="D643" s="114"/>
      <c r="E643" s="112"/>
      <c r="F643" s="115" t="s">
        <v>68</v>
      </c>
      <c r="G643" s="96"/>
      <c r="H643" s="94"/>
      <c r="I643" s="91">
        <f t="shared" si="33"/>
        <v>0</v>
      </c>
      <c r="J643" s="95"/>
      <c r="K643" s="95"/>
      <c r="L643" s="96"/>
      <c r="M643" s="56" t="s">
        <v>257</v>
      </c>
      <c r="N643" s="56"/>
    </row>
    <row r="644" spans="1:14" s="51" customFormat="1" ht="25.2" hidden="1" customHeight="1">
      <c r="A644" s="68">
        <f t="shared" si="31"/>
        <v>0</v>
      </c>
      <c r="B644" s="86" t="s">
        <v>73</v>
      </c>
      <c r="C644" s="86"/>
      <c r="D644" s="96"/>
      <c r="E644" s="88" t="str">
        <f>VLOOKUP($B644,[1]DG!A:D,[1]DG!$B$2,)</f>
        <v>04.4001</v>
      </c>
      <c r="F644" s="89" t="str">
        <f>VLOOKUP($B644,[1]DG!A:D,[1]DG!$C$2,)</f>
        <v>Đà cản BTCT 1,2m</v>
      </c>
      <c r="G644" s="88" t="str">
        <f>VLOOKUP($B644,[1]DG!A:D,[1]DG!$D$2,)</f>
        <v>cái</v>
      </c>
      <c r="H644" s="94">
        <f>1*H642</f>
        <v>0</v>
      </c>
      <c r="I644" s="91">
        <f t="shared" si="33"/>
        <v>0</v>
      </c>
      <c r="J644" s="92"/>
      <c r="K644" s="92"/>
      <c r="L644" s="96"/>
      <c r="M644" s="56" t="s">
        <v>257</v>
      </c>
      <c r="N644" s="56"/>
    </row>
    <row r="645" spans="1:14" s="51" customFormat="1" ht="25.2" hidden="1" customHeight="1">
      <c r="A645" s="68">
        <f t="shared" si="31"/>
        <v>0</v>
      </c>
      <c r="B645" s="86" t="s">
        <v>74</v>
      </c>
      <c r="C645" s="86"/>
      <c r="D645" s="96"/>
      <c r="E645" s="88">
        <f>VLOOKUP($B645,[1]DG!A:D,[1]DG!$B$2,)</f>
        <v>0</v>
      </c>
      <c r="F645" s="89" t="str">
        <f>VLOOKUP($B645,[1]DG!A:D,[1]DG!$C$2,)</f>
        <v>Boulon 22x650+ 2 long đền vuông D24-50x50x3/Zn</v>
      </c>
      <c r="G645" s="88" t="str">
        <f>VLOOKUP($B645,[1]DG!A:D,[1]DG!$D$2,)</f>
        <v>bộ</v>
      </c>
      <c r="H645" s="94">
        <f>H642</f>
        <v>0</v>
      </c>
      <c r="I645" s="91">
        <f t="shared" si="33"/>
        <v>0</v>
      </c>
      <c r="J645" s="92"/>
      <c r="K645" s="92"/>
      <c r="L645" s="96"/>
      <c r="M645" s="56" t="s">
        <v>257</v>
      </c>
      <c r="N645" s="56"/>
    </row>
    <row r="646" spans="1:14" s="51" customFormat="1" ht="25.2" hidden="1" customHeight="1">
      <c r="A646" s="68">
        <f t="shared" si="31"/>
        <v>0</v>
      </c>
      <c r="B646" s="86" t="str">
        <f>IF(chitiet!G5=1,"MDD1",IF(chitiet!G5=2,"MDD2",IF(chitiet!G5=3,"MDD3",IF(chitiet!G5=4,"MDD4"))))</f>
        <v>MDD3</v>
      </c>
      <c r="C646" s="86"/>
      <c r="D646" s="96"/>
      <c r="E646" s="88" t="str">
        <f>VLOOKUP($B646,[1]DG!A:D,[1]DG!$B$2,)</f>
        <v>03.1013</v>
      </c>
      <c r="F646" s="89" t="str">
        <f>VLOOKUP($B646,[1]DG!A:D,[1]DG!$C$2,)</f>
        <v>Đào hố móng đất cấp 3 sâu &gt;1m</v>
      </c>
      <c r="G646" s="88" t="str">
        <f>VLOOKUP($B646,[1]DG!A:D,[1]DG!$D$2,)</f>
        <v>m3</v>
      </c>
      <c r="H646" s="94">
        <f>H642*1.45</f>
        <v>0</v>
      </c>
      <c r="I646" s="91">
        <f t="shared" si="33"/>
        <v>0</v>
      </c>
      <c r="J646" s="92"/>
      <c r="K646" s="92"/>
      <c r="L646" s="96"/>
      <c r="M646" s="56" t="s">
        <v>257</v>
      </c>
      <c r="N646" s="56"/>
    </row>
    <row r="647" spans="1:14" s="51" customFormat="1" ht="25.2" hidden="1" customHeight="1">
      <c r="A647" s="68">
        <f t="shared" si="31"/>
        <v>0</v>
      </c>
      <c r="B647" s="86" t="str">
        <f>IF(chitiet!G5=1,"MDAP1",IF(chitiet!G5=2,"MDAP2",IF(chitiet!G5=3,"MDAP3",IF(chitiet!G5=4,"MDAP4"))))</f>
        <v>MDAP3</v>
      </c>
      <c r="C647" s="86"/>
      <c r="D647" s="96"/>
      <c r="E647" s="88" t="str">
        <f>VLOOKUP($B647,[1]DG!A:D,[1]DG!$B$2,)</f>
        <v>03.4113</v>
      </c>
      <c r="F647" s="89" t="str">
        <f>VLOOKUP($B647,[1]DG!A:D,[1]DG!$C$2,)</f>
        <v>Đắp đất hố móng, độ chặt k=0,95</v>
      </c>
      <c r="G647" s="88" t="str">
        <f>VLOOKUP($B647,[1]DG!A:D,[1]DG!$D$2,)</f>
        <v>m3</v>
      </c>
      <c r="H647" s="94">
        <f>H642*1.37</f>
        <v>0</v>
      </c>
      <c r="I647" s="91">
        <f t="shared" si="33"/>
        <v>0</v>
      </c>
      <c r="J647" s="92"/>
      <c r="K647" s="92"/>
      <c r="L647" s="96"/>
      <c r="M647" s="56" t="s">
        <v>257</v>
      </c>
      <c r="N647" s="56"/>
    </row>
    <row r="648" spans="1:14" s="51" customFormat="1" ht="25.2" hidden="1" customHeight="1">
      <c r="A648" s="68">
        <f t="shared" si="31"/>
        <v>0</v>
      </c>
      <c r="B648" s="69"/>
      <c r="C648" s="69"/>
      <c r="D648" s="114">
        <f>IF(H648&gt;0,D642+1,D642)</f>
        <v>0</v>
      </c>
      <c r="E648" s="178"/>
      <c r="F648" s="136" t="s">
        <v>260</v>
      </c>
      <c r="G648" s="114" t="s">
        <v>67</v>
      </c>
      <c r="H648" s="110">
        <f>H632</f>
        <v>0</v>
      </c>
      <c r="I648" s="91">
        <f t="shared" si="33"/>
        <v>0</v>
      </c>
      <c r="J648" s="95"/>
      <c r="K648" s="95"/>
      <c r="L648" s="117"/>
      <c r="M648" s="56" t="s">
        <v>257</v>
      </c>
    </row>
    <row r="649" spans="1:14" s="51" customFormat="1" ht="25.2" hidden="1" customHeight="1">
      <c r="A649" s="68">
        <f>IF(A648&gt;0,1,0)</f>
        <v>0</v>
      </c>
      <c r="B649" s="69"/>
      <c r="C649" s="69"/>
      <c r="D649" s="114"/>
      <c r="E649" s="178"/>
      <c r="F649" s="137" t="s">
        <v>68</v>
      </c>
      <c r="G649" s="96"/>
      <c r="H649" s="94"/>
      <c r="I649" s="91">
        <f t="shared" si="33"/>
        <v>0</v>
      </c>
      <c r="J649" s="95"/>
      <c r="K649" s="95"/>
      <c r="L649" s="117"/>
      <c r="M649" s="56" t="s">
        <v>257</v>
      </c>
    </row>
    <row r="650" spans="1:14" s="51" customFormat="1" ht="25.2" hidden="1" customHeight="1">
      <c r="A650" s="68">
        <f t="shared" si="31"/>
        <v>0</v>
      </c>
      <c r="B650" s="86" t="s">
        <v>261</v>
      </c>
      <c r="C650" s="86"/>
      <c r="D650" s="114"/>
      <c r="E650" s="88">
        <f>VLOOKUP($B650,[1]DG!A:D,[1]DG!$B$2,)</f>
        <v>0</v>
      </c>
      <c r="F650" s="89" t="str">
        <f>VLOOKUP($B650,[1]DG!A:D,[1]DG!$C$2,)</f>
        <v>Xà composite 110x800x5</v>
      </c>
      <c r="G650" s="88" t="str">
        <f>VLOOKUP($B650,[1]DG!A:D,[1]DG!$D$2,)</f>
        <v>cái</v>
      </c>
      <c r="H650" s="94">
        <f>H648*2.4</f>
        <v>0</v>
      </c>
      <c r="I650" s="91">
        <f t="shared" si="33"/>
        <v>0</v>
      </c>
      <c r="J650" s="92"/>
      <c r="K650" s="92"/>
      <c r="L650" s="117"/>
      <c r="M650" s="56" t="s">
        <v>257</v>
      </c>
    </row>
    <row r="651" spans="1:14" s="51" customFormat="1" ht="25.2" hidden="1" customHeight="1">
      <c r="A651" s="68">
        <f t="shared" si="31"/>
        <v>0</v>
      </c>
      <c r="B651" s="69" t="s">
        <v>262</v>
      </c>
      <c r="C651" s="69"/>
      <c r="D651" s="114"/>
      <c r="E651" s="88">
        <f>VLOOKUP($B651,[1]DG!A:D,[1]DG!$B$2,)</f>
        <v>0</v>
      </c>
      <c r="F651" s="89" t="str">
        <f>VLOOKUP($B651,[1]DG!A:D,[1]DG!$C$2,)</f>
        <v>Chống composite 40x10x920</v>
      </c>
      <c r="G651" s="88" t="str">
        <f>VLOOKUP($B651,[1]DG!A:D,[1]DG!$D$2,)</f>
        <v>cái</v>
      </c>
      <c r="H651" s="94">
        <f>2*H648</f>
        <v>0</v>
      </c>
      <c r="I651" s="91">
        <f t="shared" si="33"/>
        <v>0</v>
      </c>
      <c r="J651" s="92"/>
      <c r="K651" s="92"/>
      <c r="L651" s="117"/>
      <c r="M651" s="56" t="s">
        <v>257</v>
      </c>
    </row>
    <row r="652" spans="1:14" s="51" customFormat="1" ht="25.2" hidden="1" customHeight="1">
      <c r="A652" s="68">
        <f t="shared" si="31"/>
        <v>0</v>
      </c>
      <c r="B652" s="69" t="s">
        <v>263</v>
      </c>
      <c r="C652" s="69"/>
      <c r="D652" s="114"/>
      <c r="E652" s="88">
        <f>VLOOKUP($B652,[1]DG!A:D,[1]DG!$B$2,)</f>
        <v>0</v>
      </c>
      <c r="F652" s="89" t="str">
        <f>VLOOKUP($B652,[1]DG!A:D,[1]DG!$C$2,)</f>
        <v>Bass LL bắt FCO, LA</v>
      </c>
      <c r="G652" s="88" t="str">
        <f>VLOOKUP($B652,[1]DG!A:D,[1]DG!$D$2,)</f>
        <v>bộ</v>
      </c>
      <c r="H652" s="94">
        <f>H648*3</f>
        <v>0</v>
      </c>
      <c r="I652" s="91">
        <f t="shared" si="33"/>
        <v>0</v>
      </c>
      <c r="J652" s="92"/>
      <c r="K652" s="92"/>
      <c r="L652" s="117"/>
      <c r="M652" s="56" t="s">
        <v>257</v>
      </c>
    </row>
    <row r="653" spans="1:14" s="51" customFormat="1" ht="25.2" hidden="1" customHeight="1">
      <c r="A653" s="68">
        <f t="shared" si="31"/>
        <v>0</v>
      </c>
      <c r="B653" s="69" t="s">
        <v>264</v>
      </c>
      <c r="C653" s="69"/>
      <c r="D653" s="114"/>
      <c r="E653" s="88">
        <f>VLOOKUP($B653,[1]DG!A:D,[1]DG!$B$2,)</f>
        <v>0</v>
      </c>
      <c r="F653" s="89" t="str">
        <f>VLOOKUP($B653,[1]DG!A:D,[1]DG!$C$2,)</f>
        <v>Boulon 16x100+ 2 long đền vuông D18-50x50x3/Zn</v>
      </c>
      <c r="G653" s="88" t="str">
        <f>VLOOKUP($B653,[1]DG!A:D,[1]DG!$D$2,)</f>
        <v>bộ</v>
      </c>
      <c r="H653" s="94">
        <f>2*H648</f>
        <v>0</v>
      </c>
      <c r="I653" s="91">
        <f t="shared" si="33"/>
        <v>0</v>
      </c>
      <c r="J653" s="92"/>
      <c r="K653" s="92"/>
      <c r="L653" s="117"/>
      <c r="M653" s="56" t="s">
        <v>257</v>
      </c>
    </row>
    <row r="654" spans="1:14" s="51" customFormat="1" ht="25.2" hidden="1" customHeight="1">
      <c r="A654" s="68">
        <f t="shared" si="31"/>
        <v>0</v>
      </c>
      <c r="B654" s="69" t="s">
        <v>265</v>
      </c>
      <c r="C654" s="69"/>
      <c r="D654" s="114"/>
      <c r="E654" s="88">
        <f>VLOOKUP($B654,[1]DG!A:D,[1]DG!$B$2,)</f>
        <v>0</v>
      </c>
      <c r="F654" s="89" t="str">
        <f>VLOOKUP($B654,[1]DG!A:D,[1]DG!$C$2,)</f>
        <v>Boulon 16x400+ 2 long đền vuông D18-50x50x3/Zn</v>
      </c>
      <c r="G654" s="88" t="str">
        <f>VLOOKUP($B654,[1]DG!A:D,[1]DG!$D$2,)</f>
        <v>bộ</v>
      </c>
      <c r="H654" s="94">
        <f>2*H648</f>
        <v>0</v>
      </c>
      <c r="I654" s="91">
        <f t="shared" si="33"/>
        <v>0</v>
      </c>
      <c r="J654" s="92"/>
      <c r="K654" s="92"/>
      <c r="L654" s="117"/>
      <c r="M654" s="56" t="s">
        <v>257</v>
      </c>
    </row>
    <row r="655" spans="1:14" s="51" customFormat="1" ht="25.2" hidden="1" customHeight="1">
      <c r="A655" s="68">
        <f t="shared" si="31"/>
        <v>0</v>
      </c>
      <c r="B655" s="69" t="s">
        <v>266</v>
      </c>
      <c r="C655" s="69"/>
      <c r="D655" s="114"/>
      <c r="E655" s="88" t="str">
        <f>VLOOKUP($B655,[1]DG!A:D,[1]DG!$B$2,)</f>
        <v>05.6102</v>
      </c>
      <c r="F655" s="89" t="str">
        <f>VLOOKUP($B655,[1]DG!A:D,[1]DG!$C$2,)</f>
        <v>Lắp xà đỡ ≤ 50kg</v>
      </c>
      <c r="G655" s="88" t="str">
        <f>VLOOKUP($B655,[1]DG!A:D,[1]DG!$D$2,)</f>
        <v>bộ</v>
      </c>
      <c r="H655" s="94">
        <f>H648</f>
        <v>0</v>
      </c>
      <c r="I655" s="91">
        <f t="shared" si="33"/>
        <v>0</v>
      </c>
      <c r="J655" s="92"/>
      <c r="K655" s="92"/>
      <c r="L655" s="117"/>
      <c r="M655" s="56" t="s">
        <v>257</v>
      </c>
    </row>
    <row r="656" spans="1:14" s="51" customFormat="1" ht="25.2" hidden="1" customHeight="1">
      <c r="A656" s="68">
        <f t="shared" si="31"/>
        <v>0</v>
      </c>
      <c r="B656" s="69"/>
      <c r="C656" s="69"/>
      <c r="D656" s="114">
        <f>IF(H656&gt;0,D648+1,D648)</f>
        <v>0</v>
      </c>
      <c r="E656" s="178"/>
      <c r="F656" s="136" t="s">
        <v>239</v>
      </c>
      <c r="G656" s="114" t="s">
        <v>67</v>
      </c>
      <c r="H656" s="110">
        <f>H632</f>
        <v>0</v>
      </c>
      <c r="I656" s="91">
        <f t="shared" si="33"/>
        <v>0</v>
      </c>
      <c r="J656" s="95"/>
      <c r="K656" s="95"/>
      <c r="L656" s="117"/>
      <c r="M656" s="56" t="s">
        <v>257</v>
      </c>
    </row>
    <row r="657" spans="1:13" s="51" customFormat="1" ht="25.2" hidden="1" customHeight="1">
      <c r="A657" s="68">
        <f>IF(A656&gt;0,1,0)</f>
        <v>0</v>
      </c>
      <c r="B657" s="69"/>
      <c r="C657" s="69"/>
      <c r="D657" s="114"/>
      <c r="E657" s="178"/>
      <c r="F657" s="137" t="s">
        <v>68</v>
      </c>
      <c r="G657" s="96"/>
      <c r="H657" s="94"/>
      <c r="I657" s="91">
        <f t="shared" si="33"/>
        <v>0</v>
      </c>
      <c r="J657" s="95"/>
      <c r="K657" s="95"/>
      <c r="L657" s="117"/>
      <c r="M657" s="56" t="s">
        <v>257</v>
      </c>
    </row>
    <row r="658" spans="1:13" s="51" customFormat="1" ht="25.2" hidden="1" customHeight="1">
      <c r="A658" s="68">
        <f t="shared" si="31"/>
        <v>0</v>
      </c>
      <c r="B658" s="69" t="s">
        <v>127</v>
      </c>
      <c r="C658" s="69"/>
      <c r="D658" s="96"/>
      <c r="E658" s="88">
        <f>VLOOKUP($B658,[1]DG!A:D,[1]DG!$B$2,)</f>
        <v>0</v>
      </c>
      <c r="F658" s="89" t="str">
        <f>VLOOKUP($B658,[1]DG!A:D,[1]DG!$C$2,)</f>
        <v>Cáp đồng trần M25mm2</v>
      </c>
      <c r="G658" s="88" t="str">
        <f>VLOOKUP($B658,[1]DG!A:D,[1]DG!$D$2,)</f>
        <v>kg</v>
      </c>
      <c r="H658" s="94">
        <f>H656*8*0.224</f>
        <v>0</v>
      </c>
      <c r="I658" s="91">
        <f t="shared" si="33"/>
        <v>0</v>
      </c>
      <c r="J658" s="92"/>
      <c r="K658" s="92"/>
      <c r="L658" s="117"/>
      <c r="M658" s="56" t="s">
        <v>257</v>
      </c>
    </row>
    <row r="659" spans="1:13" s="51" customFormat="1" ht="25.2" hidden="1" customHeight="1">
      <c r="A659" s="68">
        <f t="shared" si="31"/>
        <v>0</v>
      </c>
      <c r="B659" s="86" t="s">
        <v>82</v>
      </c>
      <c r="C659" s="86"/>
      <c r="D659" s="96"/>
      <c r="E659" s="88">
        <f>VLOOKUP($B659,[1]DG!A:D,[1]DG!$B$2,)</f>
        <v>0</v>
      </c>
      <c r="F659" s="89" t="str">
        <f>VLOOKUP($B659,[1]DG!A:D,[1]DG!$C$2,)</f>
        <v>Cọc tiếp đất Þ 16- 2,4m + kẹp cọc mạ đồng</v>
      </c>
      <c r="G659" s="88" t="str">
        <f>VLOOKUP($B659,[1]DG!A:D,[1]DG!$D$2,)</f>
        <v>bộ</v>
      </c>
      <c r="H659" s="94">
        <f>H656*9</f>
        <v>0</v>
      </c>
      <c r="I659" s="91">
        <f t="shared" si="33"/>
        <v>0</v>
      </c>
      <c r="J659" s="92"/>
      <c r="K659" s="92"/>
      <c r="L659" s="117"/>
      <c r="M659" s="56" t="s">
        <v>257</v>
      </c>
    </row>
    <row r="660" spans="1:13" s="51" customFormat="1" ht="25.2" hidden="1" customHeight="1">
      <c r="A660" s="68">
        <f t="shared" si="31"/>
        <v>0</v>
      </c>
      <c r="B660" s="86" t="s">
        <v>181</v>
      </c>
      <c r="C660" s="86"/>
      <c r="D660" s="96"/>
      <c r="E660" s="88">
        <f>VLOOKUP($B660,[1]DG!A:D,[1]DG!$B$2,)</f>
        <v>0</v>
      </c>
      <c r="F660" s="89" t="str">
        <f>VLOOKUP($B660,[1]DG!A:D,[1]DG!$C$2,)</f>
        <v>Sắt Ø10</v>
      </c>
      <c r="G660" s="88" t="str">
        <f>VLOOKUP($B660,[1]DG!A:D,[1]DG!$D$2,)</f>
        <v>kg</v>
      </c>
      <c r="H660" s="94">
        <f>0.395*31*H656</f>
        <v>0</v>
      </c>
      <c r="I660" s="91">
        <f t="shared" si="33"/>
        <v>0</v>
      </c>
      <c r="J660" s="92"/>
      <c r="K660" s="92"/>
      <c r="L660" s="117"/>
      <c r="M660" s="56" t="s">
        <v>257</v>
      </c>
    </row>
    <row r="661" spans="1:13" s="51" customFormat="1" ht="25.2" hidden="1" customHeight="1">
      <c r="A661" s="68">
        <f t="shared" si="31"/>
        <v>0</v>
      </c>
      <c r="B661" s="86" t="s">
        <v>267</v>
      </c>
      <c r="C661" s="86"/>
      <c r="D661" s="96"/>
      <c r="E661" s="88">
        <f>VLOOKUP($B661,[1]DG!A:D,[1]DG!$B$2,)</f>
        <v>0</v>
      </c>
      <c r="F661" s="89" t="str">
        <f>VLOOKUP($B661,[1]DG!A:D,[1]DG!$C$2,)</f>
        <v>Bake D16 - 200x200</v>
      </c>
      <c r="G661" s="88" t="str">
        <f>VLOOKUP($B661,[1]DG!A:D,[1]DG!$D$2,)</f>
        <v>cái</v>
      </c>
      <c r="H661" s="94">
        <f>H656*14</f>
        <v>0</v>
      </c>
      <c r="I661" s="91">
        <f t="shared" si="33"/>
        <v>0</v>
      </c>
      <c r="J661" s="92"/>
      <c r="K661" s="92"/>
      <c r="L661" s="117"/>
      <c r="M661" s="56" t="s">
        <v>257</v>
      </c>
    </row>
    <row r="662" spans="1:13" s="51" customFormat="1" ht="25.2" hidden="1" customHeight="1">
      <c r="A662" s="68">
        <f t="shared" si="31"/>
        <v>0</v>
      </c>
      <c r="B662" s="69" t="s">
        <v>184</v>
      </c>
      <c r="C662" s="69"/>
      <c r="D662" s="96"/>
      <c r="E662" s="88">
        <f>VLOOKUP($B662,[1]DG!A:D,[1]DG!$B$2,)</f>
        <v>0</v>
      </c>
      <c r="F662" s="89" t="str">
        <f>VLOOKUP($B662,[1]DG!A:D,[1]DG!$C$2,)</f>
        <v>Kẹp ép WR cỡ dây 50mm2</v>
      </c>
      <c r="G662" s="88" t="str">
        <f>VLOOKUP($B662,[1]DG!A:D,[1]DG!$D$2,)</f>
        <v>cái</v>
      </c>
      <c r="H662" s="94">
        <f>2*H656</f>
        <v>0</v>
      </c>
      <c r="I662" s="91">
        <f t="shared" si="33"/>
        <v>0</v>
      </c>
      <c r="J662" s="92"/>
      <c r="K662" s="92"/>
      <c r="L662" s="117"/>
      <c r="M662" s="56" t="s">
        <v>257</v>
      </c>
    </row>
    <row r="663" spans="1:13" s="51" customFormat="1" ht="25.2" hidden="1" customHeight="1">
      <c r="A663" s="68">
        <f t="shared" si="31"/>
        <v>0</v>
      </c>
      <c r="B663" s="69" t="s">
        <v>85</v>
      </c>
      <c r="C663" s="69"/>
      <c r="D663" s="96"/>
      <c r="E663" s="88">
        <f>VLOOKUP($B663,[1]DG!A:D,[1]DG!$B$2,)</f>
        <v>0</v>
      </c>
      <c r="F663" s="89" t="str">
        <f>VLOOKUP($B663,[1]DG!A:D,[1]DG!$C$2,)</f>
        <v>Kẹp ép cỡ dây 25mm2</v>
      </c>
      <c r="G663" s="88" t="str">
        <f>VLOOKUP($B663,[1]DG!A:D,[1]DG!$D$2,)</f>
        <v>cái</v>
      </c>
      <c r="H663" s="94">
        <f>H656*4</f>
        <v>0</v>
      </c>
      <c r="I663" s="91">
        <f t="shared" si="33"/>
        <v>0</v>
      </c>
      <c r="J663" s="92"/>
      <c r="K663" s="92"/>
      <c r="L663" s="117"/>
      <c r="M663" s="56" t="s">
        <v>257</v>
      </c>
    </row>
    <row r="664" spans="1:13" s="51" customFormat="1" ht="25.2" hidden="1" customHeight="1">
      <c r="A664" s="68">
        <f t="shared" si="31"/>
        <v>0</v>
      </c>
      <c r="B664" s="69" t="s">
        <v>187</v>
      </c>
      <c r="C664" s="69"/>
      <c r="D664" s="96"/>
      <c r="E664" s="88" t="str">
        <f>VLOOKUP($B664,[1]DG!A:D,[1]DG!$B$2,)</f>
        <v>03.4002</v>
      </c>
      <c r="F664" s="89" t="str">
        <f>VLOOKUP($B664,[1]DG!A:D,[1]DG!$C$2,)</f>
        <v>Đầu cosse ép Cu 35mm2</v>
      </c>
      <c r="G664" s="88" t="str">
        <f>VLOOKUP($B664,[1]DG!A:D,[1]DG!$D$2,)</f>
        <v>cái</v>
      </c>
      <c r="H664" s="94">
        <f>H656*3</f>
        <v>0</v>
      </c>
      <c r="I664" s="91">
        <f t="shared" si="33"/>
        <v>0</v>
      </c>
      <c r="J664" s="92"/>
      <c r="K664" s="92"/>
      <c r="L664" s="117"/>
      <c r="M664" s="56" t="s">
        <v>257</v>
      </c>
    </row>
    <row r="665" spans="1:13" s="51" customFormat="1" ht="25.2" hidden="1" customHeight="1">
      <c r="A665" s="68">
        <f t="shared" si="31"/>
        <v>0</v>
      </c>
      <c r="B665" s="69" t="s">
        <v>188</v>
      </c>
      <c r="C665" s="69"/>
      <c r="D665" s="96"/>
      <c r="E665" s="88" t="str">
        <f>VLOOKUP($B665,[1]DG!A:D,[1]DG!$B$2,)</f>
        <v>03.4003</v>
      </c>
      <c r="F665" s="89" t="str">
        <f>VLOOKUP($B665,[1]DG!A:D,[1]DG!$C$2,)</f>
        <v>Đầu cosse ép Cu 70mm2</v>
      </c>
      <c r="G665" s="88" t="str">
        <f>VLOOKUP($B665,[1]DG!A:D,[1]DG!$D$2,)</f>
        <v>cái</v>
      </c>
      <c r="H665" s="94">
        <f>H656*2</f>
        <v>0</v>
      </c>
      <c r="I665" s="91">
        <f t="shared" si="33"/>
        <v>0</v>
      </c>
      <c r="J665" s="92"/>
      <c r="K665" s="92"/>
      <c r="L665" s="117"/>
      <c r="M665" s="56" t="s">
        <v>257</v>
      </c>
    </row>
    <row r="666" spans="1:13" s="51" customFormat="1" ht="25.2" hidden="1" customHeight="1">
      <c r="A666" s="68">
        <f t="shared" si="31"/>
        <v>0</v>
      </c>
      <c r="B666" s="86" t="s">
        <v>189</v>
      </c>
      <c r="C666" s="86"/>
      <c r="D666" s="96"/>
      <c r="E666" s="88" t="str">
        <f>VLOOKUP($B666,[1]DG!A:D,[1]DG!$B$2,)</f>
        <v>06.3231</v>
      </c>
      <c r="F666" s="89" t="str">
        <f>VLOOKUP($B666,[1]DG!A:D,[1]DG!$C$2,)</f>
        <v>Cổ dê kẹp sắt Ø 10</v>
      </c>
      <c r="G666" s="88" t="str">
        <f>VLOOKUP($B666,[1]DG!A:D,[1]DG!$D$2,)</f>
        <v>bộ</v>
      </c>
      <c r="H666" s="94">
        <f>4*H656</f>
        <v>0</v>
      </c>
      <c r="I666" s="91">
        <f t="shared" si="33"/>
        <v>0</v>
      </c>
      <c r="J666" s="92"/>
      <c r="K666" s="92"/>
      <c r="L666" s="117"/>
      <c r="M666" s="56" t="s">
        <v>257</v>
      </c>
    </row>
    <row r="667" spans="1:13" s="51" customFormat="1" ht="25.2" hidden="1" customHeight="1">
      <c r="A667" s="68">
        <f t="shared" si="31"/>
        <v>0</v>
      </c>
      <c r="B667" s="86" t="s">
        <v>157</v>
      </c>
      <c r="C667" s="86"/>
      <c r="D667" s="96"/>
      <c r="E667" s="88">
        <f>VLOOKUP($B667,[1]DG!A:D,[1]DG!$B$2,)</f>
        <v>0</v>
      </c>
      <c r="F667" s="89" t="s">
        <v>158</v>
      </c>
      <c r="G667" s="88" t="str">
        <f>VLOOKUP($B667,[1]DG!A:D,[1]DG!$D$2,)</f>
        <v>bộ</v>
      </c>
      <c r="H667" s="94">
        <f>2*H656</f>
        <v>0</v>
      </c>
      <c r="I667" s="91">
        <f t="shared" si="33"/>
        <v>0</v>
      </c>
      <c r="J667" s="92"/>
      <c r="K667" s="92"/>
      <c r="L667" s="117"/>
      <c r="M667" s="56" t="s">
        <v>257</v>
      </c>
    </row>
    <row r="668" spans="1:13" s="51" customFormat="1" ht="25.2" hidden="1" customHeight="1">
      <c r="A668" s="68">
        <f t="shared" si="31"/>
        <v>0</v>
      </c>
      <c r="B668" s="69" t="s">
        <v>90</v>
      </c>
      <c r="C668" s="69"/>
      <c r="D668" s="96"/>
      <c r="E668" s="88" t="str">
        <f>VLOOKUP($B668,[1]DG!A:D,[1]DG!$B$2,)</f>
        <v>04.7002</v>
      </c>
      <c r="F668" s="89" t="str">
        <f>VLOOKUP($B668,[1]DG!A:D,[1]DG!$C$2,)</f>
        <v>Kéo dây tiếp địa trong TBA</v>
      </c>
      <c r="G668" s="88" t="str">
        <f>VLOOKUP($B668,[1]DG!A:D,[1]DG!$D$2,)</f>
        <v>mét</v>
      </c>
      <c r="H668" s="94">
        <f>H656*31</f>
        <v>0</v>
      </c>
      <c r="I668" s="91">
        <f t="shared" si="33"/>
        <v>0</v>
      </c>
      <c r="J668" s="92"/>
      <c r="K668" s="92"/>
      <c r="L668" s="117"/>
      <c r="M668" s="56" t="s">
        <v>257</v>
      </c>
    </row>
    <row r="669" spans="1:13" s="51" customFormat="1" ht="25.2" hidden="1" customHeight="1">
      <c r="A669" s="68">
        <f t="shared" si="31"/>
        <v>0</v>
      </c>
      <c r="B669" s="86" t="s">
        <v>89</v>
      </c>
      <c r="C669" s="86"/>
      <c r="D669" s="96"/>
      <c r="E669" s="88" t="str">
        <f>VLOOKUP($B669,[1]DG!A:D,[1]DG!$B$2,)</f>
        <v>04.7001</v>
      </c>
      <c r="F669" s="89" t="str">
        <f>VLOOKUP($B669,[1]DG!A:D,[1]DG!$C$2,)</f>
        <v>Đóng cọc tiếp địa trong TBA</v>
      </c>
      <c r="G669" s="88" t="str">
        <f>VLOOKUP($B669,[1]DG!A:D,[1]DG!$D$2,)</f>
        <v>cọc</v>
      </c>
      <c r="H669" s="94">
        <f>H659</f>
        <v>0</v>
      </c>
      <c r="I669" s="91">
        <f t="shared" si="33"/>
        <v>0</v>
      </c>
      <c r="J669" s="92"/>
      <c r="K669" s="92"/>
      <c r="L669" s="117"/>
      <c r="M669" s="56" t="s">
        <v>257</v>
      </c>
    </row>
    <row r="670" spans="1:13" s="51" customFormat="1" ht="25.2" hidden="1" customHeight="1">
      <c r="A670" s="68">
        <f t="shared" si="31"/>
        <v>0</v>
      </c>
      <c r="B670" s="69" t="str">
        <f>"dtd"&amp;chitiet!G5</f>
        <v>dtd3</v>
      </c>
      <c r="C670" s="69"/>
      <c r="D670" s="96"/>
      <c r="E670" s="88" t="str">
        <f>VLOOKUP($B670,[1]DG!A:D,[1]DG!$B$2,)</f>
        <v>03.3123</v>
      </c>
      <c r="F670" s="89" t="str">
        <f>VLOOKUP($B670,[1]DG!A:D,[1]DG!$C$2,)</f>
        <v>Đào rãnh tiếp địa đất cấp 3</v>
      </c>
      <c r="G670" s="88" t="str">
        <f>VLOOKUP($B670,[1]DG!A:D,[1]DG!$D$2,)</f>
        <v>m3</v>
      </c>
      <c r="H670" s="94">
        <f>H656*11*0.3*0.5</f>
        <v>0</v>
      </c>
      <c r="I670" s="91">
        <f t="shared" si="33"/>
        <v>0</v>
      </c>
      <c r="J670" s="92"/>
      <c r="K670" s="92"/>
      <c r="L670" s="117"/>
      <c r="M670" s="56" t="s">
        <v>257</v>
      </c>
    </row>
    <row r="671" spans="1:13" s="51" customFormat="1" ht="25.2" hidden="1" customHeight="1">
      <c r="A671" s="68">
        <f t="shared" ref="A671:A734" si="34">IF(I671&gt;0,1,0)</f>
        <v>0</v>
      </c>
      <c r="B671" s="86" t="str">
        <f>"datd"&amp;chitiet!G5</f>
        <v>datd3</v>
      </c>
      <c r="C671" s="86"/>
      <c r="D671" s="96"/>
      <c r="E671" s="88" t="str">
        <f>VLOOKUP($B671,[1]DG!A:D,[1]DG!$B$2,)</f>
        <v>03.4123</v>
      </c>
      <c r="F671" s="89" t="str">
        <f>VLOOKUP($B671,[1]DG!A:D,[1]DG!$C$2,)</f>
        <v>Đắp đất rãnh tiếp độ chặt k=0,85</v>
      </c>
      <c r="G671" s="88" t="str">
        <f>VLOOKUP($B671,[1]DG!A:D,[1]DG!$D$2,)</f>
        <v>m3</v>
      </c>
      <c r="H671" s="94">
        <f>H670</f>
        <v>0</v>
      </c>
      <c r="I671" s="91">
        <f t="shared" si="33"/>
        <v>0</v>
      </c>
      <c r="J671" s="92"/>
      <c r="K671" s="92"/>
      <c r="L671" s="117"/>
      <c r="M671" s="56" t="s">
        <v>257</v>
      </c>
    </row>
    <row r="672" spans="1:13" s="51" customFormat="1" ht="25.2" hidden="1" customHeight="1">
      <c r="A672" s="68">
        <f t="shared" si="34"/>
        <v>0</v>
      </c>
      <c r="B672" s="69"/>
      <c r="C672" s="69"/>
      <c r="D672" s="114">
        <f>IF(H672&gt;0,D656+1,D656)</f>
        <v>0</v>
      </c>
      <c r="E672" s="178"/>
      <c r="F672" s="113" t="s">
        <v>268</v>
      </c>
      <c r="G672" s="114" t="s">
        <v>67</v>
      </c>
      <c r="H672" s="110">
        <f>H656</f>
        <v>0</v>
      </c>
      <c r="I672" s="91">
        <f t="shared" si="33"/>
        <v>0</v>
      </c>
      <c r="J672" s="95"/>
      <c r="K672" s="95"/>
      <c r="L672" s="117"/>
      <c r="M672" s="56" t="s">
        <v>257</v>
      </c>
    </row>
    <row r="673" spans="1:13" s="51" customFormat="1" ht="25.2" hidden="1" customHeight="1">
      <c r="A673" s="68">
        <f>IF(A672&gt;0,1,0)</f>
        <v>0</v>
      </c>
      <c r="B673" s="69"/>
      <c r="C673" s="69"/>
      <c r="D673" s="114"/>
      <c r="E673" s="178"/>
      <c r="F673" s="137" t="s">
        <v>68</v>
      </c>
      <c r="G673" s="96"/>
      <c r="H673" s="94"/>
      <c r="I673" s="91">
        <f t="shared" si="33"/>
        <v>0</v>
      </c>
      <c r="J673" s="95"/>
      <c r="K673" s="95"/>
      <c r="L673" s="117"/>
      <c r="M673" s="56" t="s">
        <v>257</v>
      </c>
    </row>
    <row r="674" spans="1:13" s="51" customFormat="1" ht="25.2" hidden="1" customHeight="1">
      <c r="A674" s="68">
        <f t="shared" si="34"/>
        <v>0</v>
      </c>
      <c r="B674" s="86" t="s">
        <v>269</v>
      </c>
      <c r="C674" s="86"/>
      <c r="D674" s="96"/>
      <c r="E674" s="88" t="str">
        <f>VLOOKUP($B674,[1]DG!A:D,[1]DG!$B$2,)</f>
        <v>05.1102</v>
      </c>
      <c r="F674" s="89" t="str">
        <f>VLOOKUP($B674,[1]DG!A:D,[1]DG!$C$2,)</f>
        <v>Vỏ tủ + khóa tủ</v>
      </c>
      <c r="G674" s="88" t="str">
        <f>VLOOKUP($B674,[1]DG!A:D,[1]DG!$D$2,)</f>
        <v>cái</v>
      </c>
      <c r="H674" s="94">
        <f>H672</f>
        <v>0</v>
      </c>
      <c r="I674" s="91">
        <f t="shared" si="33"/>
        <v>0</v>
      </c>
      <c r="J674" s="92"/>
      <c r="K674" s="92"/>
      <c r="L674" s="117"/>
      <c r="M674" s="56" t="s">
        <v>257</v>
      </c>
    </row>
    <row r="675" spans="1:13" s="51" customFormat="1" ht="25.2" hidden="1" customHeight="1">
      <c r="A675" s="68">
        <f t="shared" si="34"/>
        <v>0</v>
      </c>
      <c r="B675" s="69" t="s">
        <v>95</v>
      </c>
      <c r="C675" s="69"/>
      <c r="D675" s="96"/>
      <c r="E675" s="182"/>
      <c r="F675" s="89" t="str">
        <f>VLOOKUP($B675,[1]DG!A:D,[1]DG!$C$2,)</f>
        <v>Cổ dê bắt tủ</v>
      </c>
      <c r="G675" s="88" t="str">
        <f>VLOOKUP($B675,[1]DG!A:D,[1]DG!$D$2,)</f>
        <v>bộ</v>
      </c>
      <c r="H675" s="94">
        <f>7.018*H672</f>
        <v>0</v>
      </c>
      <c r="I675" s="91">
        <f t="shared" si="33"/>
        <v>0</v>
      </c>
      <c r="J675" s="92"/>
      <c r="K675" s="92"/>
      <c r="L675" s="117"/>
      <c r="M675" s="56" t="s">
        <v>257</v>
      </c>
    </row>
    <row r="676" spans="1:13" s="51" customFormat="1" ht="25.2" hidden="1" customHeight="1">
      <c r="A676" s="68">
        <f t="shared" si="34"/>
        <v>0</v>
      </c>
      <c r="B676" s="69" t="s">
        <v>96</v>
      </c>
      <c r="C676" s="69"/>
      <c r="D676" s="96"/>
      <c r="E676" s="182"/>
      <c r="F676" s="89" t="str">
        <f>VLOOKUP($B676,[1]DG!A:D,[1]DG!$C$2,)</f>
        <v xml:space="preserve">Bakelit 550x450 dầy 10mm </v>
      </c>
      <c r="G676" s="88" t="str">
        <f>VLOOKUP($B676,[1]DG!A:D,[1]DG!$D$2,)</f>
        <v>cái</v>
      </c>
      <c r="H676" s="94">
        <f>H672</f>
        <v>0</v>
      </c>
      <c r="I676" s="91">
        <f t="shared" si="33"/>
        <v>0</v>
      </c>
      <c r="J676" s="92"/>
      <c r="K676" s="92"/>
      <c r="L676" s="117"/>
      <c r="M676" s="56" t="s">
        <v>257</v>
      </c>
    </row>
    <row r="677" spans="1:13" s="51" customFormat="1" ht="25.2" hidden="1" customHeight="1">
      <c r="A677" s="68">
        <f t="shared" si="34"/>
        <v>0</v>
      </c>
      <c r="B677" s="69"/>
      <c r="C677" s="69"/>
      <c r="D677" s="114">
        <f>IF(H677&gt;0,D672+1,D672)</f>
        <v>0</v>
      </c>
      <c r="E677" s="178"/>
      <c r="F677" s="136" t="s">
        <v>270</v>
      </c>
      <c r="G677" s="114" t="s">
        <v>67</v>
      </c>
      <c r="H677" s="110">
        <f>H632</f>
        <v>0</v>
      </c>
      <c r="I677" s="91">
        <f t="shared" si="33"/>
        <v>0</v>
      </c>
      <c r="J677" s="95"/>
      <c r="K677" s="95"/>
      <c r="L677" s="117"/>
      <c r="M677" s="56" t="s">
        <v>257</v>
      </c>
    </row>
    <row r="678" spans="1:13" s="51" customFormat="1" ht="25.2" hidden="1" customHeight="1">
      <c r="A678" s="68">
        <f>IF(A677&gt;0,1,0)</f>
        <v>0</v>
      </c>
      <c r="B678" s="69"/>
      <c r="C678" s="69"/>
      <c r="D678" s="114"/>
      <c r="E678" s="178"/>
      <c r="F678" s="137" t="s">
        <v>68</v>
      </c>
      <c r="G678" s="96"/>
      <c r="H678" s="94"/>
      <c r="I678" s="91">
        <f t="shared" si="33"/>
        <v>0</v>
      </c>
      <c r="J678" s="95"/>
      <c r="K678" s="95"/>
      <c r="L678" s="117"/>
      <c r="M678" s="56" t="s">
        <v>257</v>
      </c>
    </row>
    <row r="679" spans="1:13" s="51" customFormat="1" ht="25.2" hidden="1" customHeight="1">
      <c r="A679" s="68">
        <f t="shared" si="34"/>
        <v>0</v>
      </c>
      <c r="B679" s="98" t="s">
        <v>133</v>
      </c>
      <c r="C679" s="98"/>
      <c r="D679" s="96"/>
      <c r="E679" s="88">
        <f>VLOOKUP($B679,[1]DG!A:D,[1]DG!$B$2,)</f>
        <v>0</v>
      </c>
      <c r="F679" s="89" t="str">
        <f>VLOOKUP($B679,[1]DG!A:D,[1]DG!$C$2,)</f>
        <v>Cáp 24KV CX-25mm2</v>
      </c>
      <c r="G679" s="88" t="str">
        <f>VLOOKUP($B679,[1]DG!A:D,[1]DG!$D$2,)</f>
        <v>mét</v>
      </c>
      <c r="H679" s="94">
        <f>9*H677</f>
        <v>0</v>
      </c>
      <c r="I679" s="91">
        <f t="shared" si="33"/>
        <v>0</v>
      </c>
      <c r="J679" s="92"/>
      <c r="K679" s="92"/>
      <c r="L679" s="117"/>
      <c r="M679" s="56" t="s">
        <v>257</v>
      </c>
    </row>
    <row r="680" spans="1:13" s="51" customFormat="1" ht="25.2" hidden="1" customHeight="1">
      <c r="A680" s="68">
        <f t="shared" si="34"/>
        <v>0</v>
      </c>
      <c r="B680" s="86" t="s">
        <v>99</v>
      </c>
      <c r="C680" s="86"/>
      <c r="D680" s="96"/>
      <c r="E680" s="88" t="str">
        <f>VLOOKUP($B680,[1]DG!A:D,[1]DG!$B$2,)</f>
        <v>04.3007</v>
      </c>
      <c r="F680" s="89" t="str">
        <f>VLOOKUP($B680,[1]DG!A:D,[1]DG!$C$2,)</f>
        <v>Kẹp quai 2/0</v>
      </c>
      <c r="G680" s="88" t="str">
        <f>VLOOKUP($B680,[1]DG!A:D,[1]DG!$D$2,)</f>
        <v>cái</v>
      </c>
      <c r="H680" s="94">
        <f>3*H677</f>
        <v>0</v>
      </c>
      <c r="I680" s="91">
        <f t="shared" si="33"/>
        <v>0</v>
      </c>
      <c r="J680" s="92"/>
      <c r="K680" s="92"/>
      <c r="L680" s="117"/>
      <c r="M680" s="56" t="s">
        <v>257</v>
      </c>
    </row>
    <row r="681" spans="1:13" s="51" customFormat="1" ht="25.2" hidden="1" customHeight="1">
      <c r="A681" s="68">
        <f t="shared" si="34"/>
        <v>0</v>
      </c>
      <c r="B681" s="86" t="s">
        <v>100</v>
      </c>
      <c r="C681" s="86"/>
      <c r="D681" s="96"/>
      <c r="E681" s="88" t="str">
        <f>VLOOKUP($B681,[1]DG!A:D,[1]DG!$B$2,)</f>
        <v>04.3007</v>
      </c>
      <c r="F681" s="89" t="str">
        <f>VLOOKUP($B681,[1]DG!A:D,[1]DG!$C$2,)</f>
        <v>Kẹp hotline 2/0</v>
      </c>
      <c r="G681" s="88" t="str">
        <f>VLOOKUP($B681,[1]DG!A:D,[1]DG!$D$2,)</f>
        <v>cái</v>
      </c>
      <c r="H681" s="94">
        <f>3*H677</f>
        <v>0</v>
      </c>
      <c r="I681" s="91">
        <f t="shared" si="33"/>
        <v>0</v>
      </c>
      <c r="J681" s="92"/>
      <c r="K681" s="92"/>
      <c r="L681" s="117"/>
      <c r="M681" s="56" t="s">
        <v>257</v>
      </c>
    </row>
    <row r="682" spans="1:13" s="51" customFormat="1" ht="25.2" hidden="1" customHeight="1">
      <c r="A682" s="68">
        <f t="shared" si="34"/>
        <v>0</v>
      </c>
      <c r="B682" s="86" t="s">
        <v>191</v>
      </c>
      <c r="C682" s="86"/>
      <c r="D682" s="96"/>
      <c r="E682" s="88">
        <f>VLOOKUP($B682,[1]DG!A:D,[1]DG!$B$2,)</f>
        <v>0</v>
      </c>
      <c r="F682" s="89" t="str">
        <f>VLOOKUP($B682,[1]DG!A:D,[1]DG!$C$2,)</f>
        <v>Chụp đầu cực FCO (bộ 2 cái)</v>
      </c>
      <c r="G682" s="88" t="str">
        <f>VLOOKUP($B682,[1]DG!A:D,[1]DG!$D$2,)</f>
        <v>bộ</v>
      </c>
      <c r="H682" s="94">
        <f>H624</f>
        <v>0</v>
      </c>
      <c r="I682" s="91">
        <f t="shared" si="33"/>
        <v>0</v>
      </c>
      <c r="J682" s="92"/>
      <c r="K682" s="92"/>
      <c r="L682" s="117"/>
      <c r="M682" s="56" t="s">
        <v>257</v>
      </c>
    </row>
    <row r="683" spans="1:13" s="51" customFormat="1" ht="25.2" hidden="1" customHeight="1">
      <c r="A683" s="68">
        <f t="shared" si="34"/>
        <v>0</v>
      </c>
      <c r="B683" s="86" t="s">
        <v>192</v>
      </c>
      <c r="C683" s="86"/>
      <c r="D683" s="96"/>
      <c r="E683" s="88">
        <f>VLOOKUP($B683,[1]DG!A:D,[1]DG!$B$2,)</f>
        <v>0</v>
      </c>
      <c r="F683" s="89" t="str">
        <f>VLOOKUP($B683,[1]DG!A:D,[1]DG!$C$2,)</f>
        <v>Chụp đầu cực LA</v>
      </c>
      <c r="G683" s="88" t="str">
        <f>VLOOKUP($B683,[1]DG!A:D,[1]DG!$D$2,)</f>
        <v>cái</v>
      </c>
      <c r="H683" s="94">
        <f>H626</f>
        <v>0</v>
      </c>
      <c r="I683" s="91">
        <f t="shared" si="33"/>
        <v>0</v>
      </c>
      <c r="J683" s="92"/>
      <c r="K683" s="92"/>
      <c r="L683" s="117"/>
      <c r="M683" s="56" t="s">
        <v>257</v>
      </c>
    </row>
    <row r="684" spans="1:13" s="51" customFormat="1" ht="25.2" hidden="1" customHeight="1">
      <c r="A684" s="68">
        <f t="shared" si="34"/>
        <v>0</v>
      </c>
      <c r="B684" s="86" t="s">
        <v>193</v>
      </c>
      <c r="C684" s="86"/>
      <c r="D684" s="96"/>
      <c r="E684" s="88">
        <f>VLOOKUP($B684,[1]DG!A:D,[1]DG!$B$2,)</f>
        <v>0</v>
      </c>
      <c r="F684" s="89" t="str">
        <f>VLOOKUP($B684,[1]DG!A:D,[1]DG!$C$2,)</f>
        <v>Chụp đầu MBA</v>
      </c>
      <c r="G684" s="88" t="str">
        <f>VLOOKUP($B684,[1]DG!A:D,[1]DG!$D$2,)</f>
        <v>cái</v>
      </c>
      <c r="H684" s="94">
        <f>H623</f>
        <v>0</v>
      </c>
      <c r="I684" s="91">
        <f t="shared" si="33"/>
        <v>0</v>
      </c>
      <c r="J684" s="92"/>
      <c r="K684" s="92"/>
      <c r="L684" s="117"/>
      <c r="M684" s="56" t="s">
        <v>257</v>
      </c>
    </row>
    <row r="685" spans="1:13" s="51" customFormat="1" ht="25.2" hidden="1" customHeight="1">
      <c r="A685" s="68">
        <f t="shared" si="34"/>
        <v>0</v>
      </c>
      <c r="B685" s="86" t="s">
        <v>101</v>
      </c>
      <c r="C685" s="86"/>
      <c r="D685" s="96"/>
      <c r="E685" s="88" t="str">
        <f>VLOOKUP($B685,[1]DG!A:D,[1]DG!$B$2,)</f>
        <v>04.4201</v>
      </c>
      <c r="F685" s="89" t="str">
        <f>VLOOKUP($B685,[1]DG!A:D,[1]DG!$C$2,)</f>
        <v>Lắp cáp đồng xuống thiết bị D ≤ 95mm2</v>
      </c>
      <c r="G685" s="88" t="str">
        <f>VLOOKUP($B685,[1]DG!A:D,[1]DG!$D$2,)</f>
        <v>m</v>
      </c>
      <c r="H685" s="94">
        <f>H679</f>
        <v>0</v>
      </c>
      <c r="I685" s="91">
        <f t="shared" si="33"/>
        <v>0</v>
      </c>
      <c r="J685" s="92"/>
      <c r="K685" s="92"/>
      <c r="L685" s="117"/>
      <c r="M685" s="56" t="s">
        <v>257</v>
      </c>
    </row>
    <row r="686" spans="1:13" s="51" customFormat="1" ht="25.2" hidden="1" customHeight="1">
      <c r="A686" s="68">
        <f t="shared" si="34"/>
        <v>0</v>
      </c>
      <c r="B686" s="69"/>
      <c r="C686" s="69"/>
      <c r="D686" s="114">
        <f>IF(H686&gt;0,D677+1,D677)</f>
        <v>0</v>
      </c>
      <c r="E686" s="178"/>
      <c r="F686" s="136" t="s">
        <v>271</v>
      </c>
      <c r="G686" s="114" t="s">
        <v>67</v>
      </c>
      <c r="H686" s="110">
        <f>+H632</f>
        <v>0</v>
      </c>
      <c r="I686" s="91">
        <f t="shared" si="33"/>
        <v>0</v>
      </c>
      <c r="J686" s="95"/>
      <c r="K686" s="95"/>
      <c r="L686" s="117"/>
      <c r="M686" s="56" t="s">
        <v>257</v>
      </c>
    </row>
    <row r="687" spans="1:13" s="51" customFormat="1" ht="25.2" hidden="1" customHeight="1">
      <c r="A687" s="68">
        <f>IF(A686&gt;0,1,0)</f>
        <v>0</v>
      </c>
      <c r="B687" s="69"/>
      <c r="C687" s="69"/>
      <c r="D687" s="114"/>
      <c r="E687" s="178"/>
      <c r="F687" s="137" t="s">
        <v>68</v>
      </c>
      <c r="G687" s="114"/>
      <c r="H687" s="110"/>
      <c r="I687" s="91">
        <f t="shared" si="33"/>
        <v>0</v>
      </c>
      <c r="J687" s="95"/>
      <c r="K687" s="95"/>
      <c r="L687" s="117"/>
      <c r="M687" s="56" t="s">
        <v>257</v>
      </c>
    </row>
    <row r="688" spans="1:13" s="51" customFormat="1" ht="25.2" hidden="1" customHeight="1">
      <c r="A688" s="68">
        <f t="shared" si="34"/>
        <v>0</v>
      </c>
      <c r="B688" s="69" t="s">
        <v>272</v>
      </c>
      <c r="C688" s="69"/>
      <c r="D688" s="96"/>
      <c r="E688" s="88">
        <f>VLOOKUP($B688,[1]DG!A:D,[1]DG!$B$2,)</f>
        <v>0</v>
      </c>
      <c r="F688" s="89" t="str">
        <f>VLOOKUP($B688,[1]DG!A:D,[1]DG!$C$2,)&amp;": 9m/1pha"</f>
        <v>Cáp đồng bọc CV70: 9m/1pha</v>
      </c>
      <c r="G688" s="88" t="str">
        <f>VLOOKUP($B688,[1]DG!A:D,[1]DG!$D$2,)</f>
        <v>mét</v>
      </c>
      <c r="H688" s="94">
        <f>9*H686*3</f>
        <v>0</v>
      </c>
      <c r="I688" s="91">
        <f t="shared" si="33"/>
        <v>0</v>
      </c>
      <c r="J688" s="92"/>
      <c r="K688" s="92"/>
      <c r="L688" s="117"/>
      <c r="M688" s="56" t="s">
        <v>257</v>
      </c>
    </row>
    <row r="689" spans="1:13" s="51" customFormat="1" ht="25.2" hidden="1" customHeight="1">
      <c r="A689" s="68">
        <f t="shared" si="34"/>
        <v>0</v>
      </c>
      <c r="B689" s="69">
        <f>[1]Solieu!$L$62</f>
        <v>0</v>
      </c>
      <c r="C689" s="69"/>
      <c r="D689" s="96"/>
      <c r="E689" s="88" t="e">
        <f>VLOOKUP($B689,[1]DG!A:D,[1]DG!$B$2,)</f>
        <v>#N/A</v>
      </c>
      <c r="F689" s="89" t="e">
        <f>VLOOKUP($B689,[1]DG!A:D,[1]DG!$C$2,)&amp;": 10m/trung hòa"</f>
        <v>#N/A</v>
      </c>
      <c r="G689" s="88" t="e">
        <f>VLOOKUP($B689,[1]DG!A:D,[1]DG!$D$2,)</f>
        <v>#N/A</v>
      </c>
      <c r="H689" s="145">
        <f>10*H686</f>
        <v>0</v>
      </c>
      <c r="I689" s="91">
        <f t="shared" si="33"/>
        <v>0</v>
      </c>
      <c r="J689" s="92"/>
      <c r="K689" s="92"/>
      <c r="L689" s="117"/>
      <c r="M689" s="56" t="s">
        <v>257</v>
      </c>
    </row>
    <row r="690" spans="1:13" s="51" customFormat="1" ht="25.2" hidden="1" customHeight="1">
      <c r="A690" s="68">
        <f t="shared" si="34"/>
        <v>0</v>
      </c>
      <c r="B690" s="69" t="s">
        <v>273</v>
      </c>
      <c r="C690" s="69"/>
      <c r="D690" s="96"/>
      <c r="E690" s="88" t="str">
        <f>VLOOKUP($B690,[1]DG!A:D,[1]DG!$B$2,)</f>
        <v>03.1401</v>
      </c>
      <c r="F690" s="89" t="str">
        <f>VLOOKUP($B690,[1]DG!A:D,[1]DG!$C$2,)</f>
        <v xml:space="preserve">Cáp CVV 4x2,5mm2  </v>
      </c>
      <c r="G690" s="88" t="str">
        <f>VLOOKUP($B690,[1]DG!A:D,[1]DG!$D$2,)</f>
        <v>mét</v>
      </c>
      <c r="H690" s="94">
        <f>2*H686</f>
        <v>0</v>
      </c>
      <c r="I690" s="91">
        <f t="shared" si="33"/>
        <v>0</v>
      </c>
      <c r="J690" s="92"/>
      <c r="K690" s="92"/>
      <c r="L690" s="117"/>
      <c r="M690" s="56" t="s">
        <v>257</v>
      </c>
    </row>
    <row r="691" spans="1:13" s="51" customFormat="1" ht="25.2" hidden="1" customHeight="1">
      <c r="A691" s="68">
        <f t="shared" si="34"/>
        <v>0</v>
      </c>
      <c r="B691" s="69" t="s">
        <v>155</v>
      </c>
      <c r="C691" s="69"/>
      <c r="D691" s="96"/>
      <c r="E691" s="88" t="str">
        <f>VLOOKUP($B691,[1]DG!A:D,[1]DG!$B$2,)</f>
        <v>03.4003</v>
      </c>
      <c r="F691" s="89" t="str">
        <f>VLOOKUP($B691,[1]DG!A:D,[1]DG!$C$2,)</f>
        <v>Đầu cosse ép Cu 70mm2</v>
      </c>
      <c r="G691" s="88" t="str">
        <f>VLOOKUP($B691,[1]DG!A:D,[1]DG!$D$2,)</f>
        <v>cái</v>
      </c>
      <c r="H691" s="145">
        <f>6*H686</f>
        <v>0</v>
      </c>
      <c r="I691" s="91">
        <f t="shared" si="33"/>
        <v>0</v>
      </c>
      <c r="J691" s="92"/>
      <c r="K691" s="92"/>
      <c r="L691" s="117"/>
      <c r="M691" s="56" t="s">
        <v>257</v>
      </c>
    </row>
    <row r="692" spans="1:13" s="51" customFormat="1" ht="25.2" hidden="1" customHeight="1">
      <c r="A692" s="68">
        <f t="shared" si="34"/>
        <v>0</v>
      </c>
      <c r="B692" s="69" t="s">
        <v>156</v>
      </c>
      <c r="C692" s="69"/>
      <c r="D692" s="96"/>
      <c r="E692" s="88" t="str">
        <f>VLOOKUP($B692,[1]DG!A:D,[1]DG!$B$2,)</f>
        <v>03.4002</v>
      </c>
      <c r="F692" s="89" t="str">
        <f>VLOOKUP($B692,[1]DG!A:D,[1]DG!$C$2,)</f>
        <v>Đầu cosse ép Cu 50mm2</v>
      </c>
      <c r="G692" s="88" t="str">
        <f>VLOOKUP($B692,[1]DG!A:D,[1]DG!$D$2,)</f>
        <v>cái</v>
      </c>
      <c r="H692" s="94">
        <f>H686*2</f>
        <v>0</v>
      </c>
      <c r="I692" s="91">
        <f t="shared" si="33"/>
        <v>0</v>
      </c>
      <c r="J692" s="92"/>
      <c r="K692" s="92"/>
      <c r="L692" s="117"/>
      <c r="M692" s="56" t="s">
        <v>257</v>
      </c>
    </row>
    <row r="693" spans="1:13" s="51" customFormat="1" ht="25.2" hidden="1" customHeight="1">
      <c r="A693" s="68">
        <f t="shared" si="34"/>
        <v>0</v>
      </c>
      <c r="B693" s="69" t="s">
        <v>216</v>
      </c>
      <c r="C693" s="69"/>
      <c r="D693" s="96"/>
      <c r="E693" s="88">
        <f>VLOOKUP($B693,[1]DG!A:D,[1]DG!$B$2,)</f>
        <v>0</v>
      </c>
      <c r="F693" s="89" t="str">
        <f>VLOOKUP($B693,[1]DG!A:D,[1]DG!$C$2,)</f>
        <v>Chụp đầu cosse  70mm2</v>
      </c>
      <c r="G693" s="88" t="str">
        <f>VLOOKUP($B693,[1]DG!A:D,[1]DG!$D$2,)</f>
        <v>cái</v>
      </c>
      <c r="H693" s="94">
        <f>H691</f>
        <v>0</v>
      </c>
      <c r="I693" s="91">
        <f t="shared" si="33"/>
        <v>0</v>
      </c>
      <c r="J693" s="92"/>
      <c r="K693" s="92"/>
      <c r="L693" s="117"/>
      <c r="M693" s="56" t="s">
        <v>257</v>
      </c>
    </row>
    <row r="694" spans="1:13" s="51" customFormat="1" ht="25.2" hidden="1" customHeight="1">
      <c r="A694" s="68">
        <f t="shared" si="34"/>
        <v>0</v>
      </c>
      <c r="B694" s="69" t="s">
        <v>274</v>
      </c>
      <c r="C694" s="69"/>
      <c r="D694" s="96"/>
      <c r="E694" s="88">
        <f>VLOOKUP($B694,[1]DG!A:D,[1]DG!$B$2,)</f>
        <v>0</v>
      </c>
      <c r="F694" s="89" t="str">
        <f>VLOOKUP($B694,[1]DG!A:D,[1]DG!$C$2,)</f>
        <v>Chụp đầu cosse  50mm2</v>
      </c>
      <c r="G694" s="88" t="str">
        <f>VLOOKUP($B694,[1]DG!A:D,[1]DG!$D$2,)</f>
        <v>cái</v>
      </c>
      <c r="H694" s="94">
        <f>H692</f>
        <v>0</v>
      </c>
      <c r="I694" s="91">
        <f t="shared" si="33"/>
        <v>0</v>
      </c>
      <c r="J694" s="92"/>
      <c r="K694" s="92"/>
      <c r="L694" s="117"/>
      <c r="M694" s="56" t="s">
        <v>257</v>
      </c>
    </row>
    <row r="695" spans="1:13" s="51" customFormat="1" ht="25.2" hidden="1" customHeight="1">
      <c r="A695" s="68">
        <f t="shared" si="34"/>
        <v>0</v>
      </c>
      <c r="B695" s="69" t="s">
        <v>110</v>
      </c>
      <c r="C695" s="69"/>
      <c r="D695" s="96"/>
      <c r="E695" s="88" t="str">
        <f>VLOOKUP($B695,[1]DG!A:D,[1]DG!$B$2,)</f>
        <v>04.8003</v>
      </c>
      <c r="F695" s="89" t="str">
        <f>VLOOKUP($B695,[1]DG!A:D,[1]DG!$C$2,)</f>
        <v xml:space="preserve">Ống PVC D90x3,8mm </v>
      </c>
      <c r="G695" s="88" t="str">
        <f>VLOOKUP($B695,[1]DG!A:D,[1]DG!$D$2,)</f>
        <v>m</v>
      </c>
      <c r="H695" s="94">
        <f>8*H686</f>
        <v>0</v>
      </c>
      <c r="I695" s="91">
        <f t="shared" ref="I695:I758" si="35">IF(M695=$M$23,H695+J695-K695,0)</f>
        <v>0</v>
      </c>
      <c r="J695" s="92"/>
      <c r="K695" s="92"/>
      <c r="L695" s="117"/>
      <c r="M695" s="56" t="s">
        <v>257</v>
      </c>
    </row>
    <row r="696" spans="1:13" s="51" customFormat="1" ht="25.2" hidden="1" customHeight="1">
      <c r="A696" s="68">
        <f t="shared" si="34"/>
        <v>0</v>
      </c>
      <c r="B696" s="86" t="s">
        <v>250</v>
      </c>
      <c r="C696" s="86"/>
      <c r="D696" s="96"/>
      <c r="E696" s="88" t="str">
        <f>VLOOKUP($B696,[1]DG!A:D,[1]DG!$B$2,)</f>
        <v>06.3231</v>
      </c>
      <c r="F696" s="89" t="str">
        <f>VLOOKUP($B696,[1]DG!A:D,[1]DG!$C$2,)</f>
        <v>Cổ dê kẹp ống PVC Ø 90</v>
      </c>
      <c r="G696" s="88" t="str">
        <f>VLOOKUP($B696,[1]DG!A:D,[1]DG!$D$2,)</f>
        <v>bộ</v>
      </c>
      <c r="H696" s="94">
        <f>3*H686</f>
        <v>0</v>
      </c>
      <c r="I696" s="91">
        <f t="shared" si="35"/>
        <v>0</v>
      </c>
      <c r="J696" s="92"/>
      <c r="K696" s="92"/>
      <c r="L696" s="117"/>
      <c r="M696" s="56" t="s">
        <v>257</v>
      </c>
    </row>
    <row r="697" spans="1:13" s="51" customFormat="1" ht="25.2" hidden="1" customHeight="1">
      <c r="A697" s="68">
        <f t="shared" si="34"/>
        <v>0</v>
      </c>
      <c r="B697" s="86" t="s">
        <v>87</v>
      </c>
      <c r="C697" s="86"/>
      <c r="D697" s="96"/>
      <c r="E697" s="88" t="str">
        <f>VLOOKUP($B697,[1]DG!A:D,[1]DG!$B$2,)</f>
        <v>06.2110</v>
      </c>
      <c r="F697" s="89" t="str">
        <f>VLOOKUP($B697,[1]DG!A:D,[1]DG!$C$2,)&amp;": CD-320"</f>
        <v>Lắp cổ dề: CD-320</v>
      </c>
      <c r="G697" s="88" t="str">
        <f>VLOOKUP($B697,[1]DG!A:D,[1]DG!$D$2,)</f>
        <v>bộ</v>
      </c>
      <c r="H697" s="94">
        <f>1.12*H687</f>
        <v>0</v>
      </c>
      <c r="I697" s="91">
        <f t="shared" si="35"/>
        <v>0</v>
      </c>
      <c r="J697" s="92"/>
      <c r="K697" s="92"/>
      <c r="L697" s="117"/>
      <c r="M697" s="56" t="s">
        <v>257</v>
      </c>
    </row>
    <row r="698" spans="1:13" s="51" customFormat="1" ht="25.2" hidden="1" customHeight="1">
      <c r="A698" s="68">
        <f t="shared" si="34"/>
        <v>0</v>
      </c>
      <c r="B698" s="69" t="s">
        <v>112</v>
      </c>
      <c r="C698" s="69"/>
      <c r="D698" s="96"/>
      <c r="E698" s="88">
        <f>VLOOKUP($B698,[1]DG!A:D,[1]DG!$B$2,)</f>
        <v>0</v>
      </c>
      <c r="F698" s="89" t="str">
        <f>VLOOKUP($B698,[1]DG!A:D,[1]DG!$C$2,)</f>
        <v>Co  90 độ PVC 90</v>
      </c>
      <c r="G698" s="88" t="str">
        <f>VLOOKUP($B698,[1]DG!A:D,[1]DG!$D$2,)</f>
        <v>cái</v>
      </c>
      <c r="H698" s="94">
        <f>2*H686</f>
        <v>0</v>
      </c>
      <c r="I698" s="91">
        <f t="shared" si="35"/>
        <v>0</v>
      </c>
      <c r="J698" s="92"/>
      <c r="K698" s="92"/>
      <c r="L698" s="117"/>
      <c r="M698" s="56" t="s">
        <v>257</v>
      </c>
    </row>
    <row r="699" spans="1:13" s="51" customFormat="1" ht="25.2" hidden="1" customHeight="1">
      <c r="A699" s="68">
        <f t="shared" si="34"/>
        <v>0</v>
      </c>
      <c r="B699" s="69" t="s">
        <v>113</v>
      </c>
      <c r="C699" s="69"/>
      <c r="D699" s="96"/>
      <c r="E699" s="88">
        <f>VLOOKUP($B699,[1]DG!A:D,[1]DG!$B$2,)</f>
        <v>0</v>
      </c>
      <c r="F699" s="89" t="str">
        <f>VLOOKUP($B699,[1]DG!A:D,[1]DG!$C$2,)</f>
        <v xml:space="preserve">Nối thẳng ống PVC 90 </v>
      </c>
      <c r="G699" s="88" t="str">
        <f>VLOOKUP($B699,[1]DG!A:D,[1]DG!$D$2,)</f>
        <v>cái</v>
      </c>
      <c r="H699" s="145">
        <f>1*H686*0</f>
        <v>0</v>
      </c>
      <c r="I699" s="91">
        <f t="shared" si="35"/>
        <v>0</v>
      </c>
      <c r="J699" s="92"/>
      <c r="K699" s="92"/>
      <c r="L699" s="117"/>
      <c r="M699" s="56" t="s">
        <v>257</v>
      </c>
    </row>
    <row r="700" spans="1:13" s="51" customFormat="1" ht="25.2" hidden="1" customHeight="1">
      <c r="A700" s="68">
        <f t="shared" si="34"/>
        <v>0</v>
      </c>
      <c r="B700" s="69" t="s">
        <v>254</v>
      </c>
      <c r="C700" s="69"/>
      <c r="D700" s="96"/>
      <c r="E700" s="88">
        <f>VLOOKUP($B700,[1]DG!A:D,[1]DG!$B$2,)</f>
        <v>0</v>
      </c>
      <c r="F700" s="89" t="str">
        <f>VLOOKUP($B700,[1]DG!A:D,[1]DG!$C$2,)</f>
        <v>Keo dán ống PVC (100gr)</v>
      </c>
      <c r="G700" s="88" t="str">
        <f>VLOOKUP($B700,[1]DG!A:D,[1]DG!$D$2,)</f>
        <v>tuýp</v>
      </c>
      <c r="H700" s="94">
        <f>H686</f>
        <v>0</v>
      </c>
      <c r="I700" s="91">
        <f t="shared" si="35"/>
        <v>0</v>
      </c>
      <c r="J700" s="92"/>
      <c r="K700" s="92"/>
      <c r="L700" s="117"/>
      <c r="M700" s="56" t="s">
        <v>257</v>
      </c>
    </row>
    <row r="701" spans="1:13" s="51" customFormat="1" ht="25.2" hidden="1" customHeight="1">
      <c r="A701" s="68">
        <f t="shared" si="34"/>
        <v>0</v>
      </c>
      <c r="B701" s="69" t="s">
        <v>255</v>
      </c>
      <c r="C701" s="69"/>
      <c r="D701" s="96"/>
      <c r="E701" s="88">
        <f>VLOOKUP($B701,[1]DG!A:D,[1]DG!$B$2,)</f>
        <v>0</v>
      </c>
      <c r="F701" s="89" t="str">
        <f>VLOOKUP($B701,[1]DG!A:D,[1]DG!$C$2,)</f>
        <v>Keo silicon bít miệng ống</v>
      </c>
      <c r="G701" s="88" t="str">
        <f>VLOOKUP($B701,[1]DG!A:D,[1]DG!$D$2,)</f>
        <v>ống</v>
      </c>
      <c r="H701" s="94">
        <f>H686</f>
        <v>0</v>
      </c>
      <c r="I701" s="91">
        <f t="shared" si="35"/>
        <v>0</v>
      </c>
      <c r="J701" s="92"/>
      <c r="K701" s="92"/>
      <c r="L701" s="117"/>
      <c r="M701" s="56" t="s">
        <v>257</v>
      </c>
    </row>
    <row r="702" spans="1:13" s="51" customFormat="1" ht="25.2" hidden="1" customHeight="1">
      <c r="A702" s="68">
        <f t="shared" si="34"/>
        <v>0</v>
      </c>
      <c r="B702" s="86" t="s">
        <v>148</v>
      </c>
      <c r="C702" s="86"/>
      <c r="D702" s="96"/>
      <c r="E702" s="88">
        <f>VLOOKUP($B702,[1]DG!A:D,[1]DG!$B$2,)</f>
        <v>0</v>
      </c>
      <c r="F702" s="89" t="str">
        <f>VLOOKUP($B702,[1]DG!A:D,[1]DG!$C$2,)</f>
        <v>Băng keo cách điện</v>
      </c>
      <c r="G702" s="88" t="str">
        <f>VLOOKUP($B702,[1]DG!A:D,[1]DG!$D$2,)</f>
        <v>cuộn</v>
      </c>
      <c r="H702" s="94">
        <f>H686*2</f>
        <v>0</v>
      </c>
      <c r="I702" s="91">
        <f t="shared" si="35"/>
        <v>0</v>
      </c>
      <c r="J702" s="92"/>
      <c r="K702" s="92"/>
      <c r="L702" s="117"/>
      <c r="M702" s="56" t="s">
        <v>257</v>
      </c>
    </row>
    <row r="703" spans="1:13" s="51" customFormat="1" ht="25.2" hidden="1" customHeight="1">
      <c r="A703" s="68">
        <f t="shared" si="34"/>
        <v>0</v>
      </c>
      <c r="B703" s="69" t="s">
        <v>116</v>
      </c>
      <c r="C703" s="69"/>
      <c r="D703" s="96"/>
      <c r="E703" s="88" t="str">
        <f>VLOOKUP($B703,[1]DG!A:D,[1]DG!$B$2,)</f>
        <v>07.2415</v>
      </c>
      <c r="F703" s="89" t="str">
        <f>VLOOKUP($B703,[1]DG!A:D,[1]DG!$C$2,)</f>
        <v>Lắp ống nhựa PVC D90</v>
      </c>
      <c r="G703" s="88" t="str">
        <f>VLOOKUP($B703,[1]DG!A:D,[1]DG!$D$2,)</f>
        <v>mét</v>
      </c>
      <c r="H703" s="94">
        <f>H695</f>
        <v>0</v>
      </c>
      <c r="I703" s="91">
        <f t="shared" si="35"/>
        <v>0</v>
      </c>
      <c r="J703" s="92"/>
      <c r="K703" s="92"/>
      <c r="L703" s="117"/>
      <c r="M703" s="56" t="s">
        <v>257</v>
      </c>
    </row>
    <row r="704" spans="1:13" s="51" customFormat="1" ht="25.2" hidden="1" customHeight="1">
      <c r="A704" s="68">
        <f t="shared" si="34"/>
        <v>0</v>
      </c>
      <c r="B704" s="86" t="s">
        <v>101</v>
      </c>
      <c r="C704" s="86"/>
      <c r="D704" s="96"/>
      <c r="E704" s="88" t="str">
        <f>VLOOKUP($B704,[1]DG!A:D,[1]DG!$B$2,)</f>
        <v>04.4201</v>
      </c>
      <c r="F704" s="89" t="str">
        <f>VLOOKUP($B704,[1]DG!A:D,[1]DG!$C$2,)</f>
        <v>Lắp cáp đồng xuống thiết bị D ≤ 95mm2</v>
      </c>
      <c r="G704" s="88" t="str">
        <f>VLOOKUP($B704,[1]DG!A:D,[1]DG!$D$2,)</f>
        <v>m</v>
      </c>
      <c r="H704" s="94">
        <f>H688+H689</f>
        <v>0</v>
      </c>
      <c r="I704" s="91">
        <f t="shared" si="35"/>
        <v>0</v>
      </c>
      <c r="J704" s="92"/>
      <c r="K704" s="92"/>
      <c r="L704" s="117"/>
      <c r="M704" s="56" t="s">
        <v>257</v>
      </c>
    </row>
    <row r="705" spans="1:13" s="51" customFormat="1" ht="25.2" hidden="1" customHeight="1">
      <c r="A705" s="68">
        <f t="shared" si="34"/>
        <v>0</v>
      </c>
      <c r="B705" s="69" t="s">
        <v>117</v>
      </c>
      <c r="C705" s="69"/>
      <c r="D705" s="118">
        <f>IF(H705&gt;0,D686+1,D686)</f>
        <v>0</v>
      </c>
      <c r="E705" s="119"/>
      <c r="F705" s="183" t="s">
        <v>275</v>
      </c>
      <c r="G705" s="88" t="str">
        <f>VLOOKUP($B705,[1]DG!A:D,[1]DG!$D$2,)</f>
        <v>bộ</v>
      </c>
      <c r="H705" s="120">
        <f>H648</f>
        <v>0</v>
      </c>
      <c r="I705" s="91">
        <f t="shared" si="35"/>
        <v>0</v>
      </c>
      <c r="J705" s="92"/>
      <c r="K705" s="92"/>
      <c r="L705" s="141"/>
      <c r="M705" s="56" t="s">
        <v>257</v>
      </c>
    </row>
    <row r="706" spans="1:13" s="51" customFormat="1" ht="25.2" hidden="1" customHeight="1">
      <c r="A706" s="68">
        <f t="shared" si="34"/>
        <v>0</v>
      </c>
      <c r="B706" s="52"/>
      <c r="C706" s="52"/>
      <c r="D706" s="122"/>
      <c r="E706" s="123"/>
      <c r="F706" s="107"/>
      <c r="G706" s="124"/>
      <c r="H706" s="125"/>
      <c r="I706" s="91">
        <f t="shared" si="35"/>
        <v>0</v>
      </c>
      <c r="J706" s="126"/>
      <c r="K706" s="127"/>
      <c r="L706" s="133"/>
      <c r="M706" s="56"/>
    </row>
    <row r="707" spans="1:13" s="51" customFormat="1" ht="25.2" hidden="1" customHeight="1">
      <c r="A707" s="68">
        <f t="shared" si="34"/>
        <v>0</v>
      </c>
      <c r="B707" s="184"/>
      <c r="C707" s="184"/>
      <c r="D707" s="185" t="str">
        <f>"Địa Điểm: "&amp;[1]Solieu!C7</f>
        <v>Địa Điểm: 04</v>
      </c>
      <c r="E707" s="185"/>
      <c r="F707" s="185"/>
      <c r="G707" s="185"/>
      <c r="H707" s="186"/>
      <c r="I707" s="91">
        <f t="shared" si="35"/>
        <v>0</v>
      </c>
      <c r="J707" s="185"/>
      <c r="K707" s="185"/>
      <c r="L707" s="185"/>
      <c r="M707" s="56"/>
    </row>
    <row r="708" spans="1:13" s="51" customFormat="1" ht="25.2" hidden="1" customHeight="1">
      <c r="A708" s="68">
        <f t="shared" si="34"/>
        <v>0</v>
      </c>
      <c r="B708" s="184"/>
      <c r="C708" s="184"/>
      <c r="D708" s="131"/>
      <c r="E708" s="130"/>
      <c r="F708" s="187"/>
      <c r="G708" s="187"/>
      <c r="H708" s="188"/>
      <c r="I708" s="91">
        <f t="shared" si="35"/>
        <v>0</v>
      </c>
      <c r="J708" s="187"/>
      <c r="K708" s="187"/>
      <c r="L708" s="56"/>
      <c r="M708" s="56"/>
    </row>
    <row r="709" spans="1:13" s="51" customFormat="1" ht="25.2" hidden="1" customHeight="1">
      <c r="A709" s="68">
        <f t="shared" si="34"/>
        <v>0</v>
      </c>
      <c r="B709" s="69"/>
      <c r="C709" s="69"/>
      <c r="D709" s="183"/>
      <c r="E709" s="183"/>
      <c r="F709" s="189" t="s">
        <v>276</v>
      </c>
      <c r="G709" s="190"/>
      <c r="H709" s="191"/>
      <c r="I709" s="91">
        <f t="shared" si="35"/>
        <v>0</v>
      </c>
      <c r="J709" s="190"/>
      <c r="K709" s="190"/>
      <c r="L709" s="135"/>
      <c r="M709" s="56" t="s">
        <v>277</v>
      </c>
    </row>
    <row r="710" spans="1:13" s="51" customFormat="1" ht="25.2" hidden="1" customHeight="1">
      <c r="A710" s="68">
        <f>IF(I710&gt;0,1,0)</f>
        <v>0</v>
      </c>
      <c r="B710" s="86" t="s">
        <v>150</v>
      </c>
      <c r="C710" s="86"/>
      <c r="D710" s="87">
        <f>IF(H710&gt;0,1,0)</f>
        <v>0</v>
      </c>
      <c r="E710" s="88" t="str">
        <f>VLOOKUP($B710,[1]DG!A:D,[1]DG!$B$2,)</f>
        <v>01.1412</v>
      </c>
      <c r="F710" s="89" t="str">
        <f>VLOOKUP($B710,[1]DG!A:D,[1]DG!$C$2,)</f>
        <v>Máy biến áp 12,7/0,22-0,44kV  37,5kVA</v>
      </c>
      <c r="G710" s="88" t="str">
        <f>VLOOKUP($B710,[1]DG!A:D,[1]DG!$D$2,)</f>
        <v>máy</v>
      </c>
      <c r="H710" s="192">
        <f>L8*3</f>
        <v>0</v>
      </c>
      <c r="I710" s="91">
        <f t="shared" si="35"/>
        <v>0</v>
      </c>
      <c r="J710" s="92"/>
      <c r="K710" s="92"/>
      <c r="L710" s="117"/>
      <c r="M710" s="56" t="s">
        <v>277</v>
      </c>
    </row>
    <row r="711" spans="1:13" s="51" customFormat="1" ht="25.2" hidden="1" customHeight="1">
      <c r="A711" s="68">
        <f t="shared" si="34"/>
        <v>0</v>
      </c>
      <c r="B711" s="86" t="s">
        <v>150</v>
      </c>
      <c r="C711" s="86"/>
      <c r="D711" s="87">
        <f>IF(H711&gt;0,D710+1,D710)</f>
        <v>0</v>
      </c>
      <c r="E711" s="88" t="str">
        <f>VLOOKUP($B711,[1]DG!A:D,[1]DG!$B$2,)</f>
        <v>01.1412</v>
      </c>
      <c r="F711" s="89" t="str">
        <f>VLOOKUP($B711,[1]DG!A:D,[1]DG!$C$2,)&amp;" : Thaùo + laép"</f>
        <v>Máy biến áp 12,7/0,22-0,44kV  37,5kVA : Thaùo + laép</v>
      </c>
      <c r="G711" s="88" t="str">
        <f>VLOOKUP($B711,[1]DG!A:D,[1]DG!$D$2,)</f>
        <v>máy</v>
      </c>
      <c r="H711" s="192"/>
      <c r="I711" s="91">
        <f t="shared" si="35"/>
        <v>0</v>
      </c>
      <c r="J711" s="92"/>
      <c r="K711" s="92"/>
      <c r="L711" s="117"/>
      <c r="M711" s="56" t="s">
        <v>277</v>
      </c>
    </row>
    <row r="712" spans="1:13" s="51" customFormat="1" ht="25.2" hidden="1" customHeight="1">
      <c r="A712" s="68">
        <f t="shared" si="34"/>
        <v>0</v>
      </c>
      <c r="B712" s="86" t="s">
        <v>56</v>
      </c>
      <c r="C712" s="86"/>
      <c r="D712" s="87">
        <f t="shared" ref="D712:D723" si="36">IF(H712&gt;0,D711+1,D711)</f>
        <v>0</v>
      </c>
      <c r="E712" s="88" t="str">
        <f>VLOOKUP($B712,[1]DG!A:D,[1]DG!$B$2,)</f>
        <v>02.3155</v>
      </c>
      <c r="F712" s="89" t="str">
        <f>VLOOKUP($B712,[1]DG!A:D,[1]DG!$C$2,)</f>
        <v>FCO 27kV - 100A</v>
      </c>
      <c r="G712" s="88" t="str">
        <f>VLOOKUP($B712,[1]DG!A:D,[1]DG!$D$2,)</f>
        <v>cái</v>
      </c>
      <c r="H712" s="193">
        <f>+H710</f>
        <v>0</v>
      </c>
      <c r="I712" s="91">
        <f t="shared" si="35"/>
        <v>0</v>
      </c>
      <c r="J712" s="92"/>
      <c r="K712" s="92"/>
      <c r="L712" s="117"/>
      <c r="M712" s="56" t="s">
        <v>277</v>
      </c>
    </row>
    <row r="713" spans="1:13" s="51" customFormat="1" ht="25.2" hidden="1" customHeight="1">
      <c r="A713" s="68">
        <f t="shared" si="34"/>
        <v>0</v>
      </c>
      <c r="B713" s="69" t="s">
        <v>57</v>
      </c>
      <c r="C713" s="69"/>
      <c r="D713" s="87">
        <f t="shared" si="36"/>
        <v>0</v>
      </c>
      <c r="E713" s="88">
        <f>VLOOKUP($B713,[1]DG!A:D,[1]DG!$B$2,)</f>
        <v>0</v>
      </c>
      <c r="F713" s="89" t="str">
        <f>VLOOKUP($B713,[1]DG!A:D,[1]DG!$C$2,)</f>
        <v>Dây chảy 3K</v>
      </c>
      <c r="G713" s="88" t="str">
        <f>VLOOKUP($B713,[1]DG!A:D,[1]DG!$D$2,)</f>
        <v>Sợi</v>
      </c>
      <c r="H713" s="193"/>
      <c r="I713" s="91">
        <f t="shared" si="35"/>
        <v>0</v>
      </c>
      <c r="J713" s="92"/>
      <c r="K713" s="92"/>
      <c r="L713" s="117"/>
      <c r="M713" s="56" t="s">
        <v>277</v>
      </c>
    </row>
    <row r="714" spans="1:13" s="51" customFormat="1" ht="25.2" hidden="1" customHeight="1">
      <c r="A714" s="68">
        <f t="shared" si="34"/>
        <v>0</v>
      </c>
      <c r="B714" s="52" t="s">
        <v>58</v>
      </c>
      <c r="C714" s="52"/>
      <c r="D714" s="87">
        <f t="shared" si="36"/>
        <v>0</v>
      </c>
      <c r="E714" s="88" t="str">
        <f>VLOOKUP($B714,[1]DG!A:D,[1]DG!$B$2,)</f>
        <v>02.5114</v>
      </c>
      <c r="F714" s="89" t="str">
        <f>VLOOKUP($B714,[1]DG!A:D,[1]DG!$C$2,)</f>
        <v>Chống sét van LA-18KV-10KA</v>
      </c>
      <c r="G714" s="88" t="str">
        <f>VLOOKUP($B714,[1]DG!A:D,[1]DG!$D$2,)</f>
        <v>cái</v>
      </c>
      <c r="H714" s="193">
        <f>H712</f>
        <v>0</v>
      </c>
      <c r="I714" s="91">
        <f t="shared" si="35"/>
        <v>0</v>
      </c>
      <c r="J714" s="92"/>
      <c r="K714" s="92"/>
      <c r="L714" s="117"/>
      <c r="M714" s="56" t="s">
        <v>277</v>
      </c>
    </row>
    <row r="715" spans="1:13" s="51" customFormat="1" ht="25.2" hidden="1" customHeight="1">
      <c r="A715" s="68">
        <f t="shared" si="34"/>
        <v>0</v>
      </c>
      <c r="B715" s="52" t="s">
        <v>278</v>
      </c>
      <c r="C715" s="52"/>
      <c r="D715" s="87">
        <f t="shared" si="36"/>
        <v>0</v>
      </c>
      <c r="E715" s="88" t="str">
        <f>VLOOKUP($B715,[1]DG!A:D,[1]DG!$B$2,)</f>
        <v>02.5114</v>
      </c>
      <c r="F715" s="89" t="str">
        <f>VLOOKUP($B715,[1]DG!A:D,[1]DG!$C$2,)&amp;": Thaùo + laép"</f>
        <v>LA 12kV 10kA: Thaùo + laép</v>
      </c>
      <c r="G715" s="88" t="str">
        <f>VLOOKUP($B715,[1]DG!A:D,[1]DG!$D$2,)</f>
        <v>cái</v>
      </c>
      <c r="H715" s="193">
        <f>H712</f>
        <v>0</v>
      </c>
      <c r="I715" s="91">
        <f t="shared" si="35"/>
        <v>0</v>
      </c>
      <c r="J715" s="92"/>
      <c r="K715" s="92"/>
      <c r="L715" s="117"/>
      <c r="M715" s="56" t="s">
        <v>277</v>
      </c>
    </row>
    <row r="716" spans="1:13" s="51" customFormat="1" ht="25.2" hidden="1" customHeight="1">
      <c r="A716" s="68">
        <f t="shared" si="34"/>
        <v>0</v>
      </c>
      <c r="B716" s="98" t="s">
        <v>279</v>
      </c>
      <c r="C716" s="98"/>
      <c r="D716" s="87">
        <f t="shared" si="36"/>
        <v>0</v>
      </c>
      <c r="E716" s="88" t="str">
        <f>VLOOKUP($B716,[1]DG!A:D,[1]DG!$B$2,)</f>
        <v>02.8401</v>
      </c>
      <c r="F716" s="89" t="str">
        <f>VLOOKUP($B716,[1]DG!A:D,[1]DG!$C$2,)</f>
        <v>MCCB 3 cực 400V -200A - 35KA</v>
      </c>
      <c r="G716" s="88" t="str">
        <f>VLOOKUP($B716,[1]DG!A:D,[1]DG!$D$2,)</f>
        <v>cái</v>
      </c>
      <c r="H716" s="193"/>
      <c r="I716" s="91">
        <f t="shared" si="35"/>
        <v>0</v>
      </c>
      <c r="J716" s="92"/>
      <c r="K716" s="92"/>
      <c r="L716" s="117"/>
      <c r="M716" s="56" t="s">
        <v>277</v>
      </c>
    </row>
    <row r="717" spans="1:13" s="51" customFormat="1" ht="25.2" hidden="1" customHeight="1">
      <c r="A717" s="68">
        <f t="shared" si="34"/>
        <v>0</v>
      </c>
      <c r="B717" s="98" t="s">
        <v>280</v>
      </c>
      <c r="C717" s="98"/>
      <c r="D717" s="87">
        <f t="shared" si="36"/>
        <v>0</v>
      </c>
      <c r="E717" s="88" t="str">
        <f>VLOOKUP($B717,[1]DG!A:D,[1]DG!$B$2,)</f>
        <v>02.8534</v>
      </c>
      <c r="F717" s="89" t="str">
        <f>VLOOKUP($B717,[1]DG!A:D,[1]DG!$C$2,)</f>
        <v>Tụ bù 1 pha 30Kvar</v>
      </c>
      <c r="G717" s="88" t="str">
        <f>VLOOKUP($B717,[1]DG!A:D,[1]DG!$D$2,)</f>
        <v>tủ</v>
      </c>
      <c r="H717" s="194"/>
      <c r="I717" s="91">
        <f t="shared" si="35"/>
        <v>0</v>
      </c>
      <c r="J717" s="92"/>
      <c r="K717" s="92"/>
      <c r="L717" s="117"/>
      <c r="M717" s="56" t="s">
        <v>277</v>
      </c>
    </row>
    <row r="718" spans="1:13" s="51" customFormat="1" ht="25.2" hidden="1" customHeight="1">
      <c r="A718" s="68">
        <f t="shared" si="34"/>
        <v>0</v>
      </c>
      <c r="B718" s="98" t="s">
        <v>280</v>
      </c>
      <c r="C718" s="98"/>
      <c r="D718" s="87">
        <f t="shared" si="36"/>
        <v>0</v>
      </c>
      <c r="E718" s="88" t="str">
        <f>VLOOKUP($B718,[1]DG!A:D,[1]DG!$B$2,)</f>
        <v>02.8534</v>
      </c>
      <c r="F718" s="89" t="s">
        <v>281</v>
      </c>
      <c r="G718" s="88" t="str">
        <f>VLOOKUP($B718,[1]DG!A:D,[1]DG!$D$2,)</f>
        <v>tủ</v>
      </c>
      <c r="H718" s="194"/>
      <c r="I718" s="91">
        <f t="shared" si="35"/>
        <v>0</v>
      </c>
      <c r="J718" s="92"/>
      <c r="K718" s="92"/>
      <c r="L718" s="117"/>
      <c r="M718" s="56" t="s">
        <v>277</v>
      </c>
    </row>
    <row r="719" spans="1:13" s="51" customFormat="1" ht="25.2" hidden="1" customHeight="1">
      <c r="A719" s="68">
        <f t="shared" si="34"/>
        <v>0</v>
      </c>
      <c r="B719" s="98" t="s">
        <v>119</v>
      </c>
      <c r="C719" s="98"/>
      <c r="D719" s="87">
        <f t="shared" si="36"/>
        <v>0</v>
      </c>
      <c r="E719" s="88">
        <f>VLOOKUP($B719,[1]DG!A:D,[1]DG!$B$2,)</f>
        <v>0</v>
      </c>
      <c r="F719" s="195" t="str">
        <f>VLOOKUP($B719,[1]DG!A:D,[1]DG!$C$2,)</f>
        <v>Biến dòng 600V - 100/5A</v>
      </c>
      <c r="G719" s="88" t="str">
        <f>VLOOKUP($B719,[1]DG!A:D,[1]DG!$D$2,)</f>
        <v>cái</v>
      </c>
      <c r="H719" s="194"/>
      <c r="I719" s="91">
        <f t="shared" si="35"/>
        <v>0</v>
      </c>
      <c r="J719" s="92"/>
      <c r="K719" s="92"/>
      <c r="L719" s="96"/>
      <c r="M719" s="56" t="s">
        <v>277</v>
      </c>
    </row>
    <row r="720" spans="1:13" s="51" customFormat="1" ht="25.2" hidden="1" customHeight="1">
      <c r="A720" s="68">
        <f t="shared" si="34"/>
        <v>0</v>
      </c>
      <c r="B720" s="86" t="s">
        <v>258</v>
      </c>
      <c r="C720" s="86"/>
      <c r="D720" s="87">
        <f t="shared" si="36"/>
        <v>0</v>
      </c>
      <c r="E720" s="88" t="str">
        <f>VLOOKUP($B720,[1]DG!A:D,[1]DG!$B$2,)</f>
        <v>05.5104</v>
      </c>
      <c r="F720" s="195" t="str">
        <f>VLOOKUP($B720,[1]DG!A:D,[1]DG!$C$2,)</f>
        <v>Điện kế 3 pha 4 dây 220/380V-5A</v>
      </c>
      <c r="G720" s="88" t="str">
        <f>VLOOKUP($B720,[1]DG!A:D,[1]DG!$D$2,)</f>
        <v>cái</v>
      </c>
      <c r="H720" s="196">
        <f>+H710</f>
        <v>0</v>
      </c>
      <c r="I720" s="91">
        <f t="shared" si="35"/>
        <v>0</v>
      </c>
      <c r="J720" s="92"/>
      <c r="K720" s="92"/>
      <c r="L720" s="96"/>
      <c r="M720" s="56" t="s">
        <v>277</v>
      </c>
    </row>
    <row r="721" spans="1:13" s="51" customFormat="1" ht="25.2" hidden="1" customHeight="1">
      <c r="A721" s="68">
        <f t="shared" si="34"/>
        <v>0</v>
      </c>
      <c r="B721" s="69" t="s">
        <v>62</v>
      </c>
      <c r="C721" s="69"/>
      <c r="D721" s="87">
        <f t="shared" si="36"/>
        <v>0</v>
      </c>
      <c r="E721" s="88">
        <f>VLOOKUP($B721,[1]DG!A:D,[1]DG!$B$2,)</f>
        <v>0</v>
      </c>
      <c r="F721" s="89" t="str">
        <f>VLOOKUP($B721,[1]DG!A:D,[1]DG!$C$2,)</f>
        <v xml:space="preserve">Ampe kế 100/5A-600v +AS </v>
      </c>
      <c r="G721" s="88" t="str">
        <f>VLOOKUP($B721,[1]DG!A:D,[1]DG!$D$2,)</f>
        <v>Bộ</v>
      </c>
      <c r="H721" s="193"/>
      <c r="I721" s="91">
        <f t="shared" si="35"/>
        <v>0</v>
      </c>
      <c r="J721" s="92"/>
      <c r="K721" s="92"/>
      <c r="L721" s="117"/>
      <c r="M721" s="56" t="s">
        <v>277</v>
      </c>
    </row>
    <row r="722" spans="1:13" s="51" customFormat="1" ht="25.2" hidden="1" customHeight="1">
      <c r="A722" s="68">
        <f t="shared" si="34"/>
        <v>0</v>
      </c>
      <c r="B722" s="69" t="s">
        <v>63</v>
      </c>
      <c r="C722" s="69"/>
      <c r="D722" s="87">
        <f t="shared" si="36"/>
        <v>0</v>
      </c>
      <c r="E722" s="88">
        <f>VLOOKUP($B722,[1]DG!A:D,[1]DG!$B$2,)</f>
        <v>0</v>
      </c>
      <c r="F722" s="89" t="str">
        <f>VLOOKUP($B722,[1]DG!A:D,[1]DG!$C$2,)</f>
        <v>Volt kế 500V + VS + 2xChì ống 1A-230V</v>
      </c>
      <c r="G722" s="88" t="str">
        <f>VLOOKUP($B722,[1]DG!A:D,[1]DG!$D$2,)</f>
        <v>Bộ</v>
      </c>
      <c r="H722" s="196">
        <f>+H714*0</f>
        <v>0</v>
      </c>
      <c r="I722" s="91">
        <f t="shared" si="35"/>
        <v>0</v>
      </c>
      <c r="J722" s="92"/>
      <c r="K722" s="92"/>
      <c r="L722" s="141"/>
      <c r="M722" s="56" t="s">
        <v>277</v>
      </c>
    </row>
    <row r="723" spans="1:13" s="51" customFormat="1" ht="25.2" hidden="1" customHeight="1">
      <c r="A723" s="68">
        <f t="shared" si="34"/>
        <v>0</v>
      </c>
      <c r="B723" s="69"/>
      <c r="C723" s="69"/>
      <c r="D723" s="87">
        <f t="shared" si="36"/>
        <v>0</v>
      </c>
      <c r="E723" s="88"/>
      <c r="F723" s="197" t="s">
        <v>282</v>
      </c>
      <c r="G723" s="198"/>
      <c r="H723" s="199">
        <f>H712/3*0</f>
        <v>0</v>
      </c>
      <c r="I723" s="91">
        <f t="shared" si="35"/>
        <v>0</v>
      </c>
      <c r="J723" s="92"/>
      <c r="K723" s="92"/>
      <c r="L723" s="200"/>
      <c r="M723" s="56" t="s">
        <v>277</v>
      </c>
    </row>
    <row r="724" spans="1:13" s="51" customFormat="1" ht="25.2" hidden="1" customHeight="1">
      <c r="A724" s="68">
        <f t="shared" si="34"/>
        <v>0</v>
      </c>
      <c r="B724" s="69" t="s">
        <v>283</v>
      </c>
      <c r="C724" s="69"/>
      <c r="D724" s="87">
        <f>IF(H724&gt;0,D723+1,D723)</f>
        <v>0</v>
      </c>
      <c r="E724" s="88" t="str">
        <f>VLOOKUP($B724,[1]DG!A:D,[1]DG!$B$2,)</f>
        <v>01.1162</v>
      </c>
      <c r="F724" s="89" t="str">
        <f>VLOOKUP($B724,[1]DG!A:D,[1]DG!$C$2,)&amp;": thaùo"</f>
        <v>Máy biến áp 8,6(12,7)/0,22-0,44kV- 37,5kVA: thaùo</v>
      </c>
      <c r="G724" s="88" t="str">
        <f>VLOOKUP($B724,[1]DG!A:D,[1]DG!$D$2,)</f>
        <v>máy</v>
      </c>
      <c r="H724" s="94"/>
      <c r="I724" s="91">
        <f t="shared" si="35"/>
        <v>0</v>
      </c>
      <c r="J724" s="92"/>
      <c r="K724" s="92"/>
      <c r="L724" s="121"/>
      <c r="M724" s="56" t="s">
        <v>277</v>
      </c>
    </row>
    <row r="725" spans="1:13" s="51" customFormat="1" ht="25.2" hidden="1" customHeight="1">
      <c r="A725" s="68">
        <f t="shared" si="34"/>
        <v>0</v>
      </c>
      <c r="B725" s="69" t="s">
        <v>283</v>
      </c>
      <c r="C725" s="69"/>
      <c r="D725" s="87">
        <f>IF(H725&gt;0,D724+1,D724)</f>
        <v>0</v>
      </c>
      <c r="E725" s="88" t="str">
        <f>VLOOKUP($B725,[1]DG!A:D,[1]DG!$B$2,)</f>
        <v>01.1162</v>
      </c>
      <c r="F725" s="89" t="str">
        <f>VLOOKUP($B725,[1]DG!A:D,[1]DG!$C$2,)&amp;": laép"</f>
        <v>Máy biến áp 8,6(12,7)/0,22-0,44kV- 37,5kVA: laép</v>
      </c>
      <c r="G725" s="88" t="str">
        <f>VLOOKUP($B725,[1]DG!A:D,[1]DG!$D$2,)</f>
        <v>máy</v>
      </c>
      <c r="H725" s="94"/>
      <c r="I725" s="91">
        <f t="shared" si="35"/>
        <v>0</v>
      </c>
      <c r="J725" s="92"/>
      <c r="K725" s="92"/>
      <c r="L725" s="121"/>
      <c r="M725" s="56" t="s">
        <v>277</v>
      </c>
    </row>
    <row r="726" spans="1:13" s="51" customFormat="1" ht="25.2" hidden="1" customHeight="1">
      <c r="A726" s="68">
        <f t="shared" si="34"/>
        <v>0</v>
      </c>
      <c r="B726" s="86" t="s">
        <v>56</v>
      </c>
      <c r="C726" s="86"/>
      <c r="D726" s="87">
        <f>IF(H726&gt;0,D724+1,D724)</f>
        <v>0</v>
      </c>
      <c r="E726" s="88" t="str">
        <f>VLOOKUP($B726,[1]DG!A:D,[1]DG!$B$2,)</f>
        <v>02.3155</v>
      </c>
      <c r="F726" s="89" t="str">
        <f>VLOOKUP($B726,[1]DG!A:D,[1]DG!$C$2,)&amp;": thaùo"</f>
        <v>FCO 27kV - 100A: thaùo</v>
      </c>
      <c r="G726" s="88" t="str">
        <f>VLOOKUP($B726,[1]DG!A:D,[1]DG!$D$2,)</f>
        <v>cái</v>
      </c>
      <c r="H726" s="94"/>
      <c r="I726" s="91">
        <f t="shared" si="35"/>
        <v>0</v>
      </c>
      <c r="J726" s="92"/>
      <c r="K726" s="92"/>
      <c r="L726" s="121"/>
      <c r="M726" s="56" t="s">
        <v>277</v>
      </c>
    </row>
    <row r="727" spans="1:13" s="51" customFormat="1" ht="25.2" hidden="1" customHeight="1">
      <c r="A727" s="68">
        <f t="shared" si="34"/>
        <v>0</v>
      </c>
      <c r="B727" s="86" t="s">
        <v>56</v>
      </c>
      <c r="C727" s="86"/>
      <c r="D727" s="87">
        <f>IF(H727&gt;0,D725+1,D725)</f>
        <v>0</v>
      </c>
      <c r="E727" s="88" t="str">
        <f>VLOOKUP($B727,[1]DG!A:D,[1]DG!$B$2,)</f>
        <v>02.3155</v>
      </c>
      <c r="F727" s="89" t="str">
        <f>VLOOKUP($B727,[1]DG!A:D,[1]DG!$C$2,)&amp;": laép"</f>
        <v>FCO 27kV - 100A: laép</v>
      </c>
      <c r="G727" s="88" t="str">
        <f>VLOOKUP($B727,[1]DG!A:D,[1]DG!$D$2,)</f>
        <v>cái</v>
      </c>
      <c r="H727" s="94"/>
      <c r="I727" s="91">
        <f t="shared" si="35"/>
        <v>0</v>
      </c>
      <c r="J727" s="92"/>
      <c r="K727" s="92"/>
      <c r="L727" s="121"/>
      <c r="M727" s="56" t="s">
        <v>277</v>
      </c>
    </row>
    <row r="728" spans="1:13" s="51" customFormat="1" ht="25.2" hidden="1" customHeight="1">
      <c r="A728" s="68">
        <f t="shared" si="34"/>
        <v>0</v>
      </c>
      <c r="B728" s="69" t="s">
        <v>58</v>
      </c>
      <c r="C728" s="69"/>
      <c r="D728" s="87">
        <f>IF(H728&gt;0,D726+1,D726)</f>
        <v>0</v>
      </c>
      <c r="E728" s="88" t="str">
        <f>VLOOKUP($B728,[1]DG!A:D,[1]DG!$B$2,)</f>
        <v>02.5114</v>
      </c>
      <c r="F728" s="89" t="str">
        <f>VLOOKUP($B728,[1]DG!A:D,[1]DG!$C$2,)&amp;": thaùo"</f>
        <v>Chống sét van LA-18KV-10KA: thaùo</v>
      </c>
      <c r="G728" s="88" t="str">
        <f>VLOOKUP($B728,[1]DG!A:D,[1]DG!$D$2,)</f>
        <v>cái</v>
      </c>
      <c r="H728" s="94"/>
      <c r="I728" s="91">
        <f t="shared" si="35"/>
        <v>0</v>
      </c>
      <c r="J728" s="92"/>
      <c r="K728" s="92"/>
      <c r="L728" s="121"/>
      <c r="M728" s="56" t="s">
        <v>277</v>
      </c>
    </row>
    <row r="729" spans="1:13" s="51" customFormat="1" ht="25.2" hidden="1" customHeight="1">
      <c r="A729" s="68">
        <f t="shared" si="34"/>
        <v>0</v>
      </c>
      <c r="B729" s="69" t="s">
        <v>58</v>
      </c>
      <c r="C729" s="69"/>
      <c r="D729" s="87">
        <f>IF(H729&gt;0,D727+1,D727)</f>
        <v>0</v>
      </c>
      <c r="E729" s="88" t="str">
        <f>VLOOKUP($B729,[1]DG!A:D,[1]DG!$B$2,)</f>
        <v>02.5114</v>
      </c>
      <c r="F729" s="89" t="str">
        <f>VLOOKUP($B729,[1]DG!A:D,[1]DG!$C$2,)&amp;": laép"</f>
        <v>Chống sét van LA-18KV-10KA: laép</v>
      </c>
      <c r="G729" s="88" t="str">
        <f>VLOOKUP($B729,[1]DG!A:D,[1]DG!$D$2,)</f>
        <v>cái</v>
      </c>
      <c r="H729" s="94"/>
      <c r="I729" s="91">
        <f t="shared" si="35"/>
        <v>0</v>
      </c>
      <c r="J729" s="92"/>
      <c r="K729" s="92"/>
      <c r="L729" s="121"/>
      <c r="M729" s="56" t="s">
        <v>277</v>
      </c>
    </row>
    <row r="730" spans="1:13" s="51" customFormat="1" ht="25.2" hidden="1" customHeight="1">
      <c r="A730" s="68">
        <f t="shared" si="34"/>
        <v>0</v>
      </c>
      <c r="B730" s="69" t="s">
        <v>78</v>
      </c>
      <c r="C730" s="69"/>
      <c r="D730" s="87">
        <f>IF(H730&gt;0,D728+1,D728)</f>
        <v>0</v>
      </c>
      <c r="E730" s="88" t="str">
        <f>VLOOKUP($B730,[1]DG!A:D,[1]DG!$B$2,)</f>
        <v>05.6001</v>
      </c>
      <c r="F730" s="89" t="str">
        <f>VLOOKUP($B730,[1]DG!A:D,[1]DG!$C$2,)</f>
        <v>Giá chữ "T" lắp FCO, LA (V50x50x5)</v>
      </c>
      <c r="G730" s="88" t="str">
        <f>VLOOKUP($B730,[1]DG!A:D,[1]DG!$D$2,)</f>
        <v>Kg</v>
      </c>
      <c r="H730" s="94"/>
      <c r="I730" s="91">
        <f t="shared" si="35"/>
        <v>0</v>
      </c>
      <c r="J730" s="92"/>
      <c r="K730" s="92"/>
      <c r="L730" s="121"/>
      <c r="M730" s="56" t="s">
        <v>277</v>
      </c>
    </row>
    <row r="731" spans="1:13" s="51" customFormat="1" ht="25.2" hidden="1" customHeight="1">
      <c r="A731" s="68">
        <f t="shared" si="34"/>
        <v>0</v>
      </c>
      <c r="B731" s="69"/>
      <c r="C731" s="69"/>
      <c r="D731" s="201"/>
      <c r="E731" s="202"/>
      <c r="F731" s="203"/>
      <c r="G731" s="202"/>
      <c r="H731" s="204"/>
      <c r="I731" s="91">
        <f t="shared" si="35"/>
        <v>0</v>
      </c>
      <c r="J731" s="92"/>
      <c r="K731" s="92"/>
      <c r="L731" s="141"/>
      <c r="M731" s="56" t="s">
        <v>277</v>
      </c>
    </row>
    <row r="732" spans="1:13" s="51" customFormat="1" ht="25.2" hidden="1" customHeight="1">
      <c r="A732" s="68">
        <f t="shared" si="34"/>
        <v>0</v>
      </c>
      <c r="B732" s="69"/>
      <c r="C732" s="69"/>
      <c r="D732" s="84"/>
      <c r="E732" s="103"/>
      <c r="F732" s="205"/>
      <c r="G732" s="206"/>
      <c r="H732" s="207"/>
      <c r="I732" s="91">
        <f t="shared" si="35"/>
        <v>0</v>
      </c>
      <c r="J732" s="92"/>
      <c r="K732" s="92"/>
      <c r="L732" s="133"/>
      <c r="M732" s="56" t="s">
        <v>277</v>
      </c>
    </row>
    <row r="733" spans="1:13" s="51" customFormat="1" ht="25.2" hidden="1" customHeight="1">
      <c r="A733" s="68">
        <f t="shared" si="34"/>
        <v>0</v>
      </c>
      <c r="B733" s="69"/>
      <c r="C733" s="69"/>
      <c r="D733" s="151"/>
      <c r="E733" s="152"/>
      <c r="F733" s="208" t="s">
        <v>64</v>
      </c>
      <c r="G733" s="208"/>
      <c r="H733" s="209"/>
      <c r="I733" s="91">
        <f t="shared" si="35"/>
        <v>0</v>
      </c>
      <c r="J733" s="210"/>
      <c r="K733" s="210"/>
      <c r="L733" s="154"/>
      <c r="M733" s="56" t="s">
        <v>277</v>
      </c>
    </row>
    <row r="734" spans="1:13" s="51" customFormat="1" ht="25.2" hidden="1" customHeight="1">
      <c r="A734" s="68">
        <f t="shared" si="34"/>
        <v>0</v>
      </c>
      <c r="B734" s="69"/>
      <c r="C734" s="69"/>
      <c r="D734" s="211">
        <f>IF(H734&gt;0,1,0)</f>
        <v>0</v>
      </c>
      <c r="E734" s="212"/>
      <c r="F734" s="213" t="s">
        <v>229</v>
      </c>
      <c r="G734" s="214" t="s">
        <v>67</v>
      </c>
      <c r="H734" s="215"/>
      <c r="I734" s="215">
        <f t="shared" si="35"/>
        <v>0</v>
      </c>
      <c r="J734" s="214"/>
      <c r="K734" s="214"/>
      <c r="L734" s="214"/>
      <c r="M734" s="56" t="s">
        <v>277</v>
      </c>
    </row>
    <row r="735" spans="1:13" s="51" customFormat="1" ht="25.2" hidden="1" customHeight="1">
      <c r="A735" s="68">
        <f>IF(A734&gt;0,1,0)</f>
        <v>0</v>
      </c>
      <c r="B735" s="69"/>
      <c r="C735" s="69"/>
      <c r="D735" s="216"/>
      <c r="E735" s="161"/>
      <c r="F735" s="217" t="s">
        <v>68</v>
      </c>
      <c r="G735" s="218"/>
      <c r="H735" s="219"/>
      <c r="I735" s="91">
        <f t="shared" si="35"/>
        <v>0</v>
      </c>
      <c r="J735" s="163"/>
      <c r="K735" s="163"/>
      <c r="L735" s="135"/>
      <c r="M735" s="56" t="s">
        <v>277</v>
      </c>
    </row>
    <row r="736" spans="1:13" s="51" customFormat="1" ht="25.2" hidden="1" customHeight="1">
      <c r="A736" s="68">
        <f t="shared" ref="A736:A799" si="37">IF(I736&gt;0,1,0)</f>
        <v>0</v>
      </c>
      <c r="B736" s="86" t="s">
        <v>284</v>
      </c>
      <c r="C736" s="86"/>
      <c r="D736" s="114"/>
      <c r="E736" s="88" t="str">
        <f>VLOOKUP($B736,[1]DG!A:D,[1]DG!$B$2,)</f>
        <v>05.6100</v>
      </c>
      <c r="F736" s="89" t="str">
        <f>VLOOKUP($B736,[1]DG!A:D,[1]DG!$C$2,)</f>
        <v>Giá chùm treo máy biến áp 3x37,5</v>
      </c>
      <c r="G736" s="88" t="str">
        <f>VLOOKUP($B736,[1]DG!A:D,[1]DG!$D$2,)</f>
        <v>cái</v>
      </c>
      <c r="H736" s="193">
        <f>H734*41</f>
        <v>0</v>
      </c>
      <c r="I736" s="91">
        <f t="shared" si="35"/>
        <v>0</v>
      </c>
      <c r="J736" s="92"/>
      <c r="K736" s="92"/>
      <c r="L736" s="117"/>
      <c r="M736" s="56" t="s">
        <v>277</v>
      </c>
    </row>
    <row r="737" spans="1:14" s="51" customFormat="1" ht="25.2" hidden="1" customHeight="1">
      <c r="A737" s="68">
        <f t="shared" si="37"/>
        <v>0</v>
      </c>
      <c r="B737" s="69" t="s">
        <v>231</v>
      </c>
      <c r="C737" s="69"/>
      <c r="D737" s="114"/>
      <c r="E737" s="94"/>
      <c r="F737" s="89" t="str">
        <f>VLOOKUP($B737,[1]DG!A:D,[1]DG!$C$2,)</f>
        <v>Boulon 16x50+ 2 long đền vuông D18-50x50x3/Zn</v>
      </c>
      <c r="G737" s="88" t="str">
        <f>VLOOKUP($B737,[1]DG!A:D,[1]DG!$D$2,)</f>
        <v>bộ</v>
      </c>
      <c r="H737" s="193">
        <f>6*H734</f>
        <v>0</v>
      </c>
      <c r="I737" s="91">
        <f t="shared" si="35"/>
        <v>0</v>
      </c>
      <c r="J737" s="92"/>
      <c r="K737" s="92"/>
      <c r="L737" s="117"/>
      <c r="M737" s="56" t="s">
        <v>277</v>
      </c>
    </row>
    <row r="738" spans="1:14" s="51" customFormat="1" ht="25.2" hidden="1" customHeight="1">
      <c r="A738" s="68">
        <f t="shared" si="37"/>
        <v>0</v>
      </c>
      <c r="B738" s="69" t="s">
        <v>65</v>
      </c>
      <c r="C738" s="69"/>
      <c r="D738" s="114"/>
      <c r="E738" s="94"/>
      <c r="F738" s="89" t="str">
        <f>VLOOKUP($B738,[1]DG!A:D,[1]DG!$C$2,)</f>
        <v>Boulon 16x300+ 2 long đền vuông D18-50x50x3/Zn</v>
      </c>
      <c r="G738" s="88" t="str">
        <f>VLOOKUP($B738,[1]DG!A:D,[1]DG!$D$2,)</f>
        <v>bộ</v>
      </c>
      <c r="H738" s="193">
        <f>2*H734</f>
        <v>0</v>
      </c>
      <c r="I738" s="91">
        <f t="shared" si="35"/>
        <v>0</v>
      </c>
      <c r="J738" s="92"/>
      <c r="K738" s="92"/>
      <c r="L738" s="117"/>
      <c r="M738" s="56" t="s">
        <v>277</v>
      </c>
    </row>
    <row r="739" spans="1:14" s="51" customFormat="1" ht="25.2" hidden="1" customHeight="1">
      <c r="A739" s="68">
        <f t="shared" si="37"/>
        <v>0</v>
      </c>
      <c r="B739" s="69" t="s">
        <v>238</v>
      </c>
      <c r="C739" s="69"/>
      <c r="D739" s="114"/>
      <c r="E739" s="94"/>
      <c r="F739" s="195" t="str">
        <f>VLOOKUP($B739,[1]DG!A:D,[1]DG!$C$2,)</f>
        <v>Lắp xà đỡ ≤ 50kg</v>
      </c>
      <c r="G739" s="88" t="str">
        <f>VLOOKUP($B739,[1]DG!A:D,[1]DG!$D$2,)</f>
        <v>bộ</v>
      </c>
      <c r="H739" s="193">
        <f>H734</f>
        <v>0</v>
      </c>
      <c r="I739" s="91">
        <f t="shared" si="35"/>
        <v>0</v>
      </c>
      <c r="J739" s="92"/>
      <c r="K739" s="92"/>
      <c r="L739" s="117"/>
      <c r="M739" s="56" t="s">
        <v>277</v>
      </c>
    </row>
    <row r="740" spans="1:14" s="51" customFormat="1" ht="25.2" hidden="1" customHeight="1">
      <c r="A740" s="68">
        <f t="shared" si="37"/>
        <v>0</v>
      </c>
      <c r="B740" s="69"/>
      <c r="C740" s="69"/>
      <c r="D740" s="220">
        <f>IF(H740&gt;0,D734+1,D734)</f>
        <v>0</v>
      </c>
      <c r="E740" s="221"/>
      <c r="F740" s="222" t="s">
        <v>66</v>
      </c>
      <c r="G740" s="223" t="s">
        <v>67</v>
      </c>
      <c r="H740" s="224"/>
      <c r="I740" s="215">
        <f t="shared" si="35"/>
        <v>0</v>
      </c>
      <c r="J740" s="225"/>
      <c r="K740" s="225"/>
      <c r="L740" s="225"/>
      <c r="M740" s="56" t="s">
        <v>277</v>
      </c>
    </row>
    <row r="741" spans="1:14" s="51" customFormat="1" ht="25.2" hidden="1" customHeight="1">
      <c r="A741" s="68">
        <f>IF(A740&gt;0,1,0)</f>
        <v>0</v>
      </c>
      <c r="B741" s="69"/>
      <c r="C741" s="69"/>
      <c r="D741" s="114"/>
      <c r="E741" s="112"/>
      <c r="F741" s="115" t="s">
        <v>68</v>
      </c>
      <c r="G741" s="96"/>
      <c r="H741" s="199"/>
      <c r="I741" s="91">
        <f t="shared" si="35"/>
        <v>0</v>
      </c>
      <c r="J741" s="92"/>
      <c r="K741" s="92"/>
      <c r="L741" s="96"/>
      <c r="M741" s="56" t="s">
        <v>277</v>
      </c>
      <c r="N741" s="56"/>
    </row>
    <row r="742" spans="1:14" s="51" customFormat="1" ht="25.2" hidden="1" customHeight="1">
      <c r="A742" s="68">
        <f t="shared" si="37"/>
        <v>0</v>
      </c>
      <c r="B742" s="86" t="s">
        <v>69</v>
      </c>
      <c r="C742" s="86"/>
      <c r="D742" s="96"/>
      <c r="E742" s="88">
        <f>VLOOKUP($B742,[1]DG!A:D,[1]DG!$B$2,)</f>
        <v>0</v>
      </c>
      <c r="F742" s="89" t="str">
        <f>VLOOKUP($B742,[1]DG!A:D,[1]DG!$C$2,)</f>
        <v>Trụ BTLT 12m F350 dự ứng lực</v>
      </c>
      <c r="G742" s="88" t="str">
        <f>VLOOKUP($B742,[1]DG!A:D,[1]DG!$D$2,)</f>
        <v>trụ</v>
      </c>
      <c r="H742" s="199">
        <f>1*H740</f>
        <v>0</v>
      </c>
      <c r="I742" s="91">
        <f t="shared" si="35"/>
        <v>0</v>
      </c>
      <c r="J742" s="92"/>
      <c r="K742" s="92"/>
      <c r="L742" s="96"/>
      <c r="M742" s="56" t="s">
        <v>277</v>
      </c>
      <c r="N742" s="56"/>
    </row>
    <row r="743" spans="1:14" s="51" customFormat="1" ht="25.2" hidden="1" customHeight="1">
      <c r="A743" s="68">
        <f t="shared" si="37"/>
        <v>0</v>
      </c>
      <c r="B743" s="86" t="s">
        <v>70</v>
      </c>
      <c r="C743" s="86"/>
      <c r="D743" s="96"/>
      <c r="E743" s="116"/>
      <c r="F743" s="89" t="str">
        <f>VLOOKUP($B743,[1]DG!A:D,[1]DG!$C$2,)</f>
        <v>Vật liệu dựng trụ</v>
      </c>
      <c r="G743" s="88" t="str">
        <f>VLOOKUP($B743,[1]DG!A:D,[1]DG!$D$2,)</f>
        <v>trụ</v>
      </c>
      <c r="H743" s="199">
        <f>H742</f>
        <v>0</v>
      </c>
      <c r="I743" s="91">
        <f t="shared" si="35"/>
        <v>0</v>
      </c>
      <c r="J743" s="92"/>
      <c r="K743" s="92"/>
      <c r="L743" s="96"/>
      <c r="M743" s="56" t="s">
        <v>277</v>
      </c>
      <c r="N743" s="56"/>
    </row>
    <row r="744" spans="1:14" s="51" customFormat="1" ht="25.2" hidden="1" customHeight="1">
      <c r="A744" s="68">
        <f t="shared" si="37"/>
        <v>0</v>
      </c>
      <c r="B744" s="86" t="s">
        <v>71</v>
      </c>
      <c r="C744" s="86"/>
      <c r="D744" s="96"/>
      <c r="E744" s="116"/>
      <c r="F744" s="89" t="str">
        <f>VLOOKUP($B744,[1]DG!A:D,[1]DG!$C$2,)</f>
        <v>Dựng trụ BTLT 12m trong TBA bằng thủ công + cơ giới</v>
      </c>
      <c r="G744" s="88" t="str">
        <f>VLOOKUP($B744,[1]DG!A:D,[1]DG!$D$2,)</f>
        <v>trụ</v>
      </c>
      <c r="H744" s="199">
        <f>H742</f>
        <v>0</v>
      </c>
      <c r="I744" s="91">
        <f t="shared" si="35"/>
        <v>0</v>
      </c>
      <c r="J744" s="92"/>
      <c r="K744" s="92"/>
      <c r="L744" s="96"/>
      <c r="M744" s="56" t="s">
        <v>277</v>
      </c>
      <c r="N744" s="56"/>
    </row>
    <row r="745" spans="1:14" s="51" customFormat="1" ht="25.2" hidden="1" customHeight="1">
      <c r="A745" s="68">
        <f t="shared" si="37"/>
        <v>0</v>
      </c>
      <c r="B745" s="69"/>
      <c r="C745" s="69"/>
      <c r="D745" s="220">
        <f>IF(H745&gt;0,D740+1,D740)</f>
        <v>0</v>
      </c>
      <c r="E745" s="221"/>
      <c r="F745" s="222" t="s">
        <v>72</v>
      </c>
      <c r="G745" s="223" t="s">
        <v>67</v>
      </c>
      <c r="H745" s="226">
        <f>H740</f>
        <v>0</v>
      </c>
      <c r="I745" s="215">
        <f t="shared" si="35"/>
        <v>0</v>
      </c>
      <c r="J745" s="225"/>
      <c r="K745" s="225"/>
      <c r="L745" s="225"/>
      <c r="M745" s="56" t="s">
        <v>277</v>
      </c>
    </row>
    <row r="746" spans="1:14" s="51" customFormat="1" ht="25.2" hidden="1" customHeight="1">
      <c r="A746" s="68">
        <f>IF(A745&gt;0,1,0)</f>
        <v>0</v>
      </c>
      <c r="B746" s="69"/>
      <c r="C746" s="69"/>
      <c r="D746" s="114"/>
      <c r="E746" s="112"/>
      <c r="F746" s="115" t="s">
        <v>68</v>
      </c>
      <c r="G746" s="96"/>
      <c r="H746" s="199"/>
      <c r="I746" s="91">
        <f t="shared" si="35"/>
        <v>0</v>
      </c>
      <c r="J746" s="92"/>
      <c r="K746" s="92"/>
      <c r="L746" s="96"/>
      <c r="M746" s="56" t="s">
        <v>277</v>
      </c>
      <c r="N746" s="56"/>
    </row>
    <row r="747" spans="1:14" s="51" customFormat="1" ht="25.2" hidden="1" customHeight="1">
      <c r="A747" s="68">
        <f t="shared" si="37"/>
        <v>0</v>
      </c>
      <c r="B747" s="86" t="s">
        <v>73</v>
      </c>
      <c r="C747" s="86"/>
      <c r="D747" s="96"/>
      <c r="E747" s="88" t="str">
        <f>VLOOKUP($B747,[1]DG!A:D,[1]DG!$B$2,)</f>
        <v>04.4001</v>
      </c>
      <c r="F747" s="89" t="str">
        <f>VLOOKUP($B747,[1]DG!A:D,[1]DG!$C$2,)</f>
        <v>Đà cản BTCT 1,2m</v>
      </c>
      <c r="G747" s="88" t="str">
        <f>VLOOKUP($B747,[1]DG!A:D,[1]DG!$D$2,)</f>
        <v>cái</v>
      </c>
      <c r="H747" s="199">
        <f>1*H745</f>
        <v>0</v>
      </c>
      <c r="I747" s="91">
        <f t="shared" si="35"/>
        <v>0</v>
      </c>
      <c r="J747" s="92"/>
      <c r="K747" s="92"/>
      <c r="L747" s="96"/>
      <c r="M747" s="56" t="s">
        <v>277</v>
      </c>
      <c r="N747" s="56"/>
    </row>
    <row r="748" spans="1:14" s="51" customFormat="1" ht="25.2" hidden="1" customHeight="1">
      <c r="A748" s="68">
        <f t="shared" si="37"/>
        <v>0</v>
      </c>
      <c r="B748" s="86" t="s">
        <v>74</v>
      </c>
      <c r="C748" s="86"/>
      <c r="D748" s="96"/>
      <c r="E748" s="88">
        <f>VLOOKUP($B748,[1]DG!A:D,[1]DG!$B$2,)</f>
        <v>0</v>
      </c>
      <c r="F748" s="89" t="str">
        <f>VLOOKUP($B748,[1]DG!A:D,[1]DG!$C$2,)</f>
        <v>Boulon 22x650+ 2 long đền vuông D24-50x50x3/Zn</v>
      </c>
      <c r="G748" s="88" t="str">
        <f>VLOOKUP($B748,[1]DG!A:D,[1]DG!$D$2,)</f>
        <v>bộ</v>
      </c>
      <c r="H748" s="199">
        <f>H745</f>
        <v>0</v>
      </c>
      <c r="I748" s="91">
        <f t="shared" si="35"/>
        <v>0</v>
      </c>
      <c r="J748" s="92"/>
      <c r="K748" s="92"/>
      <c r="L748" s="96"/>
      <c r="M748" s="56" t="s">
        <v>277</v>
      </c>
      <c r="N748" s="56"/>
    </row>
    <row r="749" spans="1:14" s="51" customFormat="1" ht="25.2" hidden="1" customHeight="1">
      <c r="A749" s="68">
        <f t="shared" si="37"/>
        <v>0</v>
      </c>
      <c r="B749" s="86" t="str">
        <f>IF(chitiet!G5=1,"MDD1",IF(chitiet!G5=2,"MDD2",IF(chitiet!G5=3,"MDD3",IF(chitiet!G5=4,"MDD4"))))</f>
        <v>MDD3</v>
      </c>
      <c r="C749" s="86"/>
      <c r="D749" s="96"/>
      <c r="E749" s="88" t="str">
        <f>VLOOKUP($B749,[1]DG!A:D,[1]DG!$B$2,)</f>
        <v>03.1013</v>
      </c>
      <c r="F749" s="89" t="str">
        <f>VLOOKUP($B749,[1]DG!A:D,[1]DG!$C$2,)</f>
        <v>Đào hố móng đất cấp 3 sâu &gt;1m</v>
      </c>
      <c r="G749" s="88" t="str">
        <f>VLOOKUP($B749,[1]DG!A:D,[1]DG!$D$2,)</f>
        <v>m3</v>
      </c>
      <c r="H749" s="199">
        <f>H745*1.45</f>
        <v>0</v>
      </c>
      <c r="I749" s="91">
        <f t="shared" si="35"/>
        <v>0</v>
      </c>
      <c r="J749" s="92"/>
      <c r="K749" s="92"/>
      <c r="L749" s="96"/>
      <c r="M749" s="56" t="s">
        <v>277</v>
      </c>
      <c r="N749" s="56"/>
    </row>
    <row r="750" spans="1:14" s="51" customFormat="1" ht="25.2" hidden="1" customHeight="1">
      <c r="A750" s="68">
        <f t="shared" si="37"/>
        <v>0</v>
      </c>
      <c r="B750" s="86" t="str">
        <f>IF(chitiet!G5=1,"MDAP1",IF(chitiet!G5=2,"MDAP2",IF(chitiet!G5=3,"MDAP3",IF(chitiet!G5=4,"MDAP4"))))</f>
        <v>MDAP3</v>
      </c>
      <c r="C750" s="86"/>
      <c r="D750" s="121"/>
      <c r="E750" s="227" t="str">
        <f>VLOOKUP($B750,[1]DG!A:D,[1]DG!$B$2,)</f>
        <v>03.4113</v>
      </c>
      <c r="F750" s="228" t="str">
        <f>VLOOKUP($B750,[1]DG!A:D,[1]DG!$C$2,)</f>
        <v>Đắp đất hố móng, độ chặt k=0,95</v>
      </c>
      <c r="G750" s="227" t="str">
        <f>VLOOKUP($B750,[1]DG!A:D,[1]DG!$D$2,)</f>
        <v>m3</v>
      </c>
      <c r="H750" s="199">
        <f>H745*1.37</f>
        <v>0</v>
      </c>
      <c r="I750" s="91">
        <f t="shared" si="35"/>
        <v>0</v>
      </c>
      <c r="J750" s="210"/>
      <c r="K750" s="210"/>
      <c r="L750" s="121"/>
      <c r="M750" s="56" t="s">
        <v>277</v>
      </c>
      <c r="N750" s="56"/>
    </row>
    <row r="751" spans="1:14" s="51" customFormat="1" ht="25.2" hidden="1" customHeight="1">
      <c r="A751" s="68">
        <f t="shared" si="37"/>
        <v>0</v>
      </c>
      <c r="B751" s="69"/>
      <c r="C751" s="69"/>
      <c r="D751" s="211">
        <f>IF(H751&gt;0,D745+1,D745)</f>
        <v>0</v>
      </c>
      <c r="E751" s="229"/>
      <c r="F751" s="230" t="s">
        <v>285</v>
      </c>
      <c r="G751" s="214" t="s">
        <v>67</v>
      </c>
      <c r="H751" s="231">
        <f>H734</f>
        <v>0</v>
      </c>
      <c r="I751" s="215">
        <f t="shared" si="35"/>
        <v>0</v>
      </c>
      <c r="J751" s="214"/>
      <c r="K751" s="214"/>
      <c r="L751" s="214"/>
      <c r="M751" s="56" t="s">
        <v>277</v>
      </c>
    </row>
    <row r="752" spans="1:14" s="51" customFormat="1" ht="25.2" hidden="1" customHeight="1">
      <c r="A752" s="68">
        <f>IF(A751&gt;0,1,0)</f>
        <v>0</v>
      </c>
      <c r="B752" s="69"/>
      <c r="C752" s="69"/>
      <c r="D752" s="216"/>
      <c r="E752" s="161"/>
      <c r="F752" s="217" t="s">
        <v>68</v>
      </c>
      <c r="G752" s="218"/>
      <c r="H752" s="193"/>
      <c r="I752" s="91">
        <f t="shared" si="35"/>
        <v>0</v>
      </c>
      <c r="J752" s="163"/>
      <c r="K752" s="163"/>
      <c r="L752" s="135"/>
      <c r="M752" s="56" t="s">
        <v>277</v>
      </c>
    </row>
    <row r="753" spans="1:13" s="51" customFormat="1" ht="25.2" hidden="1" customHeight="1">
      <c r="A753" s="68">
        <f t="shared" si="37"/>
        <v>0</v>
      </c>
      <c r="B753" s="86" t="s">
        <v>286</v>
      </c>
      <c r="C753" s="86"/>
      <c r="D753" s="114"/>
      <c r="E753" s="88">
        <f>VLOOKUP($B753,[1]DG!A:D,[1]DG!$B$2,)</f>
        <v>0</v>
      </c>
      <c r="F753" s="89" t="str">
        <f>VLOOKUP($B753,[1]DG!A:D,[1]DG!$C$2,)</f>
        <v>Xà composite 110x800x5 dài 2,4m</v>
      </c>
      <c r="G753" s="88" t="str">
        <f>VLOOKUP($B753,[1]DG!A:D,[1]DG!$D$2,)</f>
        <v>cái</v>
      </c>
      <c r="H753" s="193">
        <f>H751*9.02*(2.2+4*0.07)</f>
        <v>0</v>
      </c>
      <c r="I753" s="91">
        <f t="shared" si="35"/>
        <v>0</v>
      </c>
      <c r="J753" s="92"/>
      <c r="K753" s="92"/>
      <c r="L753" s="117"/>
      <c r="M753" s="56" t="s">
        <v>277</v>
      </c>
    </row>
    <row r="754" spans="1:13" s="51" customFormat="1" ht="25.2" hidden="1" customHeight="1">
      <c r="A754" s="68">
        <f t="shared" si="37"/>
        <v>0</v>
      </c>
      <c r="B754" s="86" t="s">
        <v>262</v>
      </c>
      <c r="C754" s="86"/>
      <c r="D754" s="114"/>
      <c r="E754" s="88">
        <f>VLOOKUP($B754,[1]DG!A:D,[1]DG!$B$2,)</f>
        <v>0</v>
      </c>
      <c r="F754" s="89" t="str">
        <f>VLOOKUP($B754,[1]DG!A:D,[1]DG!$C$2,)</f>
        <v>Chống composite 40x10x920</v>
      </c>
      <c r="G754" s="88" t="str">
        <f>VLOOKUP($B754,[1]DG!A:D,[1]DG!$D$2,)</f>
        <v>cái</v>
      </c>
      <c r="H754" s="193">
        <f>H751*2*3.77*0.81</f>
        <v>0</v>
      </c>
      <c r="I754" s="91">
        <f t="shared" si="35"/>
        <v>0</v>
      </c>
      <c r="J754" s="92"/>
      <c r="K754" s="92"/>
      <c r="L754" s="117"/>
      <c r="M754" s="56" t="s">
        <v>277</v>
      </c>
    </row>
    <row r="755" spans="1:13" s="51" customFormat="1" ht="25.2" hidden="1" customHeight="1">
      <c r="A755" s="68">
        <f t="shared" si="37"/>
        <v>0</v>
      </c>
      <c r="B755" s="86" t="s">
        <v>123</v>
      </c>
      <c r="C755" s="86"/>
      <c r="D755" s="114"/>
      <c r="E755" s="88">
        <f>VLOOKUP($B755,[1]DG!A:D,[1]DG!$B$2,)</f>
        <v>0</v>
      </c>
      <c r="F755" s="89" t="str">
        <f>VLOOKUP($B755,[1]DG!A:D,[1]DG!$C$2,)</f>
        <v>Boulon 16x350+ 2 long đền vuông D18-50x50x3/Zn</v>
      </c>
      <c r="G755" s="88" t="str">
        <f>VLOOKUP($B755,[1]DG!A:D,[1]DG!$D$2,)</f>
        <v>bộ</v>
      </c>
      <c r="H755" s="193">
        <f>H751*3</f>
        <v>0</v>
      </c>
      <c r="I755" s="91">
        <f t="shared" si="35"/>
        <v>0</v>
      </c>
      <c r="J755" s="92"/>
      <c r="K755" s="92"/>
      <c r="L755" s="117"/>
      <c r="M755" s="56" t="s">
        <v>277</v>
      </c>
    </row>
    <row r="756" spans="1:13" s="51" customFormat="1" ht="25.2" hidden="1" customHeight="1">
      <c r="A756" s="68">
        <f t="shared" si="37"/>
        <v>0</v>
      </c>
      <c r="B756" s="86" t="s">
        <v>287</v>
      </c>
      <c r="C756" s="86"/>
      <c r="D756" s="114"/>
      <c r="E756" s="88">
        <f>VLOOKUP($B756,[1]DG!A:D,[1]DG!$B$2,)</f>
        <v>0</v>
      </c>
      <c r="F756" s="89" t="str">
        <f>VLOOKUP($B756,[1]DG!A:D,[1]DG!$C$2,)</f>
        <v>Boulon 16x150+ 2 long đền vuông D18-50x50x3/Zn</v>
      </c>
      <c r="G756" s="88" t="str">
        <f>VLOOKUP($B756,[1]DG!A:D,[1]DG!$D$2,)</f>
        <v>bộ</v>
      </c>
      <c r="H756" s="193">
        <f>4*H751</f>
        <v>0</v>
      </c>
      <c r="I756" s="91">
        <f t="shared" si="35"/>
        <v>0</v>
      </c>
      <c r="J756" s="92"/>
      <c r="K756" s="92"/>
      <c r="L756" s="117"/>
      <c r="M756" s="56" t="s">
        <v>277</v>
      </c>
    </row>
    <row r="757" spans="1:13" s="51" customFormat="1" ht="25.2" hidden="1" customHeight="1">
      <c r="A757" s="68">
        <f t="shared" si="37"/>
        <v>0</v>
      </c>
      <c r="B757" s="232" t="s">
        <v>125</v>
      </c>
      <c r="C757" s="232"/>
      <c r="D757" s="114"/>
      <c r="E757" s="88">
        <f>VLOOKUP($B757,[1]DG!A:D,[1]DG!$B$2,)</f>
        <v>0</v>
      </c>
      <c r="F757" s="89" t="str">
        <f>VLOOKUP($B757,[1]DG!A:D,[1]DG!$C$2,)</f>
        <v>Bass LL bắt FCO, LA</v>
      </c>
      <c r="G757" s="88" t="str">
        <f>VLOOKUP($B757,[1]DG!A:D,[1]DG!$D$2,)</f>
        <v>bộ</v>
      </c>
      <c r="H757" s="193">
        <f>2*H751</f>
        <v>0</v>
      </c>
      <c r="I757" s="91">
        <f t="shared" si="35"/>
        <v>0</v>
      </c>
      <c r="J757" s="92"/>
      <c r="K757" s="92"/>
      <c r="L757" s="117"/>
      <c r="M757" s="56" t="s">
        <v>277</v>
      </c>
    </row>
    <row r="758" spans="1:13" s="51" customFormat="1" ht="25.2" hidden="1" customHeight="1">
      <c r="A758" s="68">
        <f t="shared" si="37"/>
        <v>0</v>
      </c>
      <c r="B758" s="69" t="s">
        <v>238</v>
      </c>
      <c r="C758" s="69"/>
      <c r="D758" s="118"/>
      <c r="E758" s="227" t="str">
        <f>VLOOKUP($B758,[1]DG!A:D,[1]DG!$B$2,)</f>
        <v>05.6102</v>
      </c>
      <c r="F758" s="195" t="str">
        <f>VLOOKUP($B758,[1]DG!A:D,[1]DG!$C$2,)</f>
        <v>Lắp xà đỡ ≤ 50kg</v>
      </c>
      <c r="G758" s="227" t="str">
        <f>VLOOKUP($B758,[1]DG!A:D,[1]DG!$D$2,)</f>
        <v>bộ</v>
      </c>
      <c r="H758" s="193">
        <f>H751</f>
        <v>0</v>
      </c>
      <c r="I758" s="91">
        <f t="shared" si="35"/>
        <v>0</v>
      </c>
      <c r="J758" s="210"/>
      <c r="K758" s="210"/>
      <c r="L758" s="141"/>
      <c r="M758" s="56" t="s">
        <v>277</v>
      </c>
    </row>
    <row r="759" spans="1:13" s="51" customFormat="1" ht="25.2" hidden="1" customHeight="1">
      <c r="A759" s="68">
        <f t="shared" si="37"/>
        <v>0</v>
      </c>
      <c r="B759" s="69"/>
      <c r="C759" s="69"/>
      <c r="D759" s="211">
        <f>IF(H759&gt;0,D751+1,D751)</f>
        <v>0</v>
      </c>
      <c r="E759" s="212"/>
      <c r="F759" s="213" t="s">
        <v>288</v>
      </c>
      <c r="G759" s="214" t="s">
        <v>67</v>
      </c>
      <c r="H759" s="231"/>
      <c r="I759" s="215">
        <f t="shared" ref="I759:I822" si="38">IF(M759=$M$23,H759+J759-K759,0)</f>
        <v>0</v>
      </c>
      <c r="J759" s="214"/>
      <c r="K759" s="214"/>
      <c r="L759" s="214"/>
      <c r="M759" s="56" t="s">
        <v>277</v>
      </c>
    </row>
    <row r="760" spans="1:13" s="51" customFormat="1" ht="25.2" hidden="1" customHeight="1">
      <c r="A760" s="68">
        <f>IF(A759&gt;0,1,0)</f>
        <v>0</v>
      </c>
      <c r="B760" s="69"/>
      <c r="C760" s="69"/>
      <c r="D760" s="216"/>
      <c r="E760" s="233"/>
      <c r="F760" s="217" t="s">
        <v>68</v>
      </c>
      <c r="G760" s="218"/>
      <c r="H760" s="193"/>
      <c r="I760" s="91">
        <f t="shared" si="38"/>
        <v>0</v>
      </c>
      <c r="J760" s="163"/>
      <c r="K760" s="163"/>
      <c r="L760" s="135"/>
      <c r="M760" s="56" t="s">
        <v>277</v>
      </c>
    </row>
    <row r="761" spans="1:13" s="51" customFormat="1" ht="25.2" hidden="1" customHeight="1">
      <c r="A761" s="68">
        <f t="shared" si="37"/>
        <v>0</v>
      </c>
      <c r="B761" s="69" t="s">
        <v>81</v>
      </c>
      <c r="C761" s="69"/>
      <c r="D761" s="114"/>
      <c r="E761" s="88"/>
      <c r="F761" s="89" t="str">
        <f>VLOOKUP($B761,[1]DG!A:D,[1]DG!$C$2,)</f>
        <v>Cáp đồng trần M25mm2</v>
      </c>
      <c r="G761" s="88" t="str">
        <f>VLOOKUP($B761,[1]DG!A:D,[1]DG!$D$2,)</f>
        <v>kg</v>
      </c>
      <c r="H761" s="199">
        <f>H759*0.224*30</f>
        <v>0</v>
      </c>
      <c r="I761" s="91">
        <f t="shared" si="38"/>
        <v>0</v>
      </c>
      <c r="J761" s="92"/>
      <c r="K761" s="92"/>
      <c r="L761" s="117"/>
      <c r="M761" s="56" t="s">
        <v>277</v>
      </c>
    </row>
    <row r="762" spans="1:13" s="51" customFormat="1" ht="25.2" hidden="1" customHeight="1">
      <c r="A762" s="68">
        <f t="shared" si="37"/>
        <v>0</v>
      </c>
      <c r="B762" s="86" t="s">
        <v>82</v>
      </c>
      <c r="C762" s="86"/>
      <c r="D762" s="114"/>
      <c r="E762" s="88">
        <f>VLOOKUP($B762,[1]DG!A:D,[1]DG!$B$2,)</f>
        <v>0</v>
      </c>
      <c r="F762" s="89" t="str">
        <f>VLOOKUP($B762,[1]DG!A:D,[1]DG!$C$2,)</f>
        <v>Cọc tiếp đất Þ 16- 2,4m + kẹp cọc mạ đồng</v>
      </c>
      <c r="G762" s="88" t="str">
        <f>VLOOKUP($B762,[1]DG!A:D,[1]DG!$D$2,)</f>
        <v>bộ</v>
      </c>
      <c r="H762" s="199"/>
      <c r="I762" s="91">
        <f t="shared" si="38"/>
        <v>0</v>
      </c>
      <c r="J762" s="92"/>
      <c r="K762" s="92"/>
      <c r="L762" s="117"/>
      <c r="M762" s="56" t="s">
        <v>277</v>
      </c>
    </row>
    <row r="763" spans="1:13" s="51" customFormat="1" ht="25.2" hidden="1" customHeight="1">
      <c r="A763" s="68">
        <f t="shared" si="37"/>
        <v>0</v>
      </c>
      <c r="B763" s="86" t="s">
        <v>83</v>
      </c>
      <c r="C763" s="86"/>
      <c r="D763" s="96"/>
      <c r="E763" s="88" t="str">
        <f>VLOOKUP($B763,[1]DG!A:D,[1]DG!$B$2,)</f>
        <v>07.2403</v>
      </c>
      <c r="F763" s="89" t="str">
        <f>VLOOKUP($B763,[1]DG!A:D,[1]DG!$C$2,)</f>
        <v xml:space="preserve">Ống PVC D21x1,6mm </v>
      </c>
      <c r="G763" s="88" t="str">
        <f>VLOOKUP($B763,[1]DG!A:D,[1]DG!$D$2,)</f>
        <v>m</v>
      </c>
      <c r="H763" s="193">
        <f>6*H759</f>
        <v>0</v>
      </c>
      <c r="I763" s="91">
        <f t="shared" si="38"/>
        <v>0</v>
      </c>
      <c r="J763" s="92"/>
      <c r="K763" s="92"/>
      <c r="L763" s="117"/>
      <c r="M763" s="56" t="s">
        <v>277</v>
      </c>
    </row>
    <row r="764" spans="1:13" s="51" customFormat="1" ht="25.2" hidden="1" customHeight="1">
      <c r="A764" s="68">
        <f t="shared" si="37"/>
        <v>0</v>
      </c>
      <c r="B764" s="69" t="s">
        <v>184</v>
      </c>
      <c r="C764" s="69"/>
      <c r="D764" s="114"/>
      <c r="E764" s="88">
        <f>VLOOKUP($B764,[1]DG!A:D,[1]DG!$B$2,)</f>
        <v>0</v>
      </c>
      <c r="F764" s="89" t="str">
        <f>VLOOKUP($B764,[1]DG!A:D,[1]DG!$C$2,)</f>
        <v>Kẹp ép WR cỡ dây 50mm2</v>
      </c>
      <c r="G764" s="88" t="str">
        <f>VLOOKUP($B764,[1]DG!A:D,[1]DG!$D$2,)</f>
        <v>cái</v>
      </c>
      <c r="H764" s="193">
        <f>H759*2</f>
        <v>0</v>
      </c>
      <c r="I764" s="91">
        <f t="shared" si="38"/>
        <v>0</v>
      </c>
      <c r="J764" s="92"/>
      <c r="K764" s="92"/>
      <c r="L764" s="117"/>
      <c r="M764" s="56" t="s">
        <v>277</v>
      </c>
    </row>
    <row r="765" spans="1:13" s="51" customFormat="1" ht="25.2" hidden="1" customHeight="1">
      <c r="A765" s="68">
        <f t="shared" si="37"/>
        <v>0</v>
      </c>
      <c r="B765" s="234" t="s">
        <v>289</v>
      </c>
      <c r="C765" s="234"/>
      <c r="D765" s="114"/>
      <c r="E765" s="88" t="str">
        <f>VLOOKUP($B765,[1]DG!A:D,[1]DG!$B$2,)</f>
        <v>04.3107</v>
      </c>
      <c r="F765" s="89" t="str">
        <f>VLOOKUP($B765,[1]DG!A:D,[1]DG!$C$2,)</f>
        <v>Ốc siết cáp cỡ 25mm2</v>
      </c>
      <c r="G765" s="88" t="str">
        <f>VLOOKUP($B765,[1]DG!A:D,[1]DG!$D$2,)</f>
        <v>cái</v>
      </c>
      <c r="H765" s="193">
        <f>2*H759</f>
        <v>0</v>
      </c>
      <c r="I765" s="91">
        <f t="shared" si="38"/>
        <v>0</v>
      </c>
      <c r="J765" s="92"/>
      <c r="K765" s="92"/>
      <c r="L765" s="117"/>
      <c r="M765" s="56" t="s">
        <v>277</v>
      </c>
    </row>
    <row r="766" spans="1:13" s="51" customFormat="1" ht="25.2" hidden="1" customHeight="1">
      <c r="A766" s="68">
        <f t="shared" si="37"/>
        <v>0</v>
      </c>
      <c r="B766" s="86" t="s">
        <v>86</v>
      </c>
      <c r="C766" s="86"/>
      <c r="D766" s="114"/>
      <c r="E766" s="88" t="str">
        <f>VLOOKUP($B766,[1]DG!A:D,[1]DG!$B$2,)</f>
        <v>06.3231</v>
      </c>
      <c r="F766" s="89" t="str">
        <f>VLOOKUP($B766,[1]DG!A:D,[1]DG!$C$2,)</f>
        <v>Cổ dê kẹp ống PVC  21</v>
      </c>
      <c r="G766" s="88" t="str">
        <f>VLOOKUP($B766,[1]DG!A:D,[1]DG!$D$2,)</f>
        <v>bộ</v>
      </c>
      <c r="H766" s="193">
        <f>3*H759*0</f>
        <v>0</v>
      </c>
      <c r="I766" s="91">
        <f t="shared" si="38"/>
        <v>0</v>
      </c>
      <c r="J766" s="92"/>
      <c r="K766" s="92"/>
      <c r="L766" s="117"/>
      <c r="M766" s="56" t="s">
        <v>277</v>
      </c>
    </row>
    <row r="767" spans="1:13" s="51" customFormat="1" ht="25.2" hidden="1" customHeight="1">
      <c r="A767" s="68">
        <f t="shared" si="37"/>
        <v>0</v>
      </c>
      <c r="B767" s="69" t="s">
        <v>90</v>
      </c>
      <c r="C767" s="69"/>
      <c r="D767" s="96"/>
      <c r="E767" s="88" t="str">
        <f>VLOOKUP($B767,[1]DG!A:D,[1]DG!$B$2,)</f>
        <v>04.7002</v>
      </c>
      <c r="F767" s="195" t="str">
        <f>VLOOKUP($B767,[1]DG!A:D,[1]DG!$C$2,)</f>
        <v>Kéo dây tiếp địa trong TBA</v>
      </c>
      <c r="G767" s="88" t="str">
        <f>VLOOKUP($B767,[1]DG!A:D,[1]DG!$D$2,)</f>
        <v>mét</v>
      </c>
      <c r="H767" s="199">
        <f>H759*$I$3</f>
        <v>0</v>
      </c>
      <c r="I767" s="91">
        <f t="shared" si="38"/>
        <v>0</v>
      </c>
      <c r="J767" s="92"/>
      <c r="K767" s="92"/>
      <c r="L767" s="117"/>
      <c r="M767" s="56" t="s">
        <v>277</v>
      </c>
    </row>
    <row r="768" spans="1:13" s="51" customFormat="1" ht="25.2" hidden="1" customHeight="1">
      <c r="A768" s="68">
        <f t="shared" si="37"/>
        <v>0</v>
      </c>
      <c r="B768" s="86" t="s">
        <v>89</v>
      </c>
      <c r="C768" s="86"/>
      <c r="D768" s="96"/>
      <c r="E768" s="88" t="str">
        <f>VLOOKUP($B768,[1]DG!A:D,[1]DG!$B$2,)</f>
        <v>04.7001</v>
      </c>
      <c r="F768" s="195" t="str">
        <f>VLOOKUP($B768,[1]DG!A:D,[1]DG!$C$2,)</f>
        <v>Đóng cọc tiếp địa trong TBA</v>
      </c>
      <c r="G768" s="88" t="str">
        <f>VLOOKUP($B768,[1]DG!A:D,[1]DG!$D$2,)</f>
        <v>cọc</v>
      </c>
      <c r="H768" s="199"/>
      <c r="I768" s="91">
        <f t="shared" si="38"/>
        <v>0</v>
      </c>
      <c r="J768" s="92"/>
      <c r="K768" s="92"/>
      <c r="L768" s="117"/>
      <c r="M768" s="56" t="s">
        <v>277</v>
      </c>
    </row>
    <row r="769" spans="1:16" s="51" customFormat="1" ht="25.2" hidden="1" customHeight="1">
      <c r="A769" s="68">
        <f t="shared" si="37"/>
        <v>0</v>
      </c>
      <c r="B769" s="86" t="s">
        <v>290</v>
      </c>
      <c r="C769" s="86"/>
      <c r="D769" s="96"/>
      <c r="E769" s="88">
        <f>VLOOKUP($B769,[1]DG!A:D,[1]DG!$B$2,)</f>
        <v>0</v>
      </c>
      <c r="F769" s="89" t="str">
        <f>VLOOKUP($B769,[1]DG!A:D,[1]DG!$C$2,)</f>
        <v>Giếng tiếp địa khoan đất</v>
      </c>
      <c r="G769" s="88" t="str">
        <f>VLOOKUP($B769,[1]DG!A:D,[1]DG!$D$2,)</f>
        <v>Cái</v>
      </c>
      <c r="H769" s="199"/>
      <c r="I769" s="91">
        <f t="shared" si="38"/>
        <v>0</v>
      </c>
      <c r="J769" s="92"/>
      <c r="K769" s="92"/>
      <c r="L769" s="117"/>
      <c r="M769" s="56" t="s">
        <v>277</v>
      </c>
    </row>
    <row r="770" spans="1:16" s="51" customFormat="1" ht="25.2" hidden="1" customHeight="1">
      <c r="A770" s="68">
        <f t="shared" si="37"/>
        <v>0</v>
      </c>
      <c r="B770" s="69" t="s">
        <v>91</v>
      </c>
      <c r="C770" s="69"/>
      <c r="D770" s="96"/>
      <c r="E770" s="88" t="str">
        <f>VLOOKUP($B770,[1]DG!A:D,[1]DG!$B$2,)</f>
        <v>03.3123</v>
      </c>
      <c r="F770" s="195" t="str">
        <f>VLOOKUP($B770,[1]DG!A:D,[1]DG!$C$2,)</f>
        <v>Đào rãnh tiếp địa đất cấp 3</v>
      </c>
      <c r="G770" s="88" t="str">
        <f>VLOOKUP($B770,[1]DG!A:D,[1]DG!$D$2,)</f>
        <v>m3</v>
      </c>
      <c r="H770" s="94"/>
      <c r="I770" s="91">
        <f t="shared" si="38"/>
        <v>0</v>
      </c>
      <c r="J770" s="92"/>
      <c r="K770" s="92"/>
      <c r="L770" s="117"/>
      <c r="M770" s="56" t="s">
        <v>277</v>
      </c>
    </row>
    <row r="771" spans="1:16" s="51" customFormat="1" ht="25.2" hidden="1" customHeight="1">
      <c r="A771" s="68">
        <f t="shared" si="37"/>
        <v>0</v>
      </c>
      <c r="B771" s="86" t="s">
        <v>92</v>
      </c>
      <c r="C771" s="86"/>
      <c r="D771" s="121"/>
      <c r="E771" s="227" t="str">
        <f>VLOOKUP($B771,[1]DG!A:D,[1]DG!$B$2,)</f>
        <v>03.4123</v>
      </c>
      <c r="F771" s="195" t="str">
        <f>VLOOKUP($B771,[1]DG!A:D,[1]DG!$C$2,)</f>
        <v>Đắp đất rãnh tiếp độ chặt k=0,85</v>
      </c>
      <c r="G771" s="227" t="str">
        <f>VLOOKUP($B771,[1]DG!A:D,[1]DG!$D$2,)</f>
        <v>m3</v>
      </c>
      <c r="H771" s="180"/>
      <c r="I771" s="91">
        <f t="shared" si="38"/>
        <v>0</v>
      </c>
      <c r="J771" s="210"/>
      <c r="K771" s="210"/>
      <c r="L771" s="141"/>
      <c r="M771" s="56" t="s">
        <v>277</v>
      </c>
    </row>
    <row r="772" spans="1:16" s="51" customFormat="1" ht="25.2" hidden="1" customHeight="1">
      <c r="A772" s="68">
        <f t="shared" si="37"/>
        <v>0</v>
      </c>
      <c r="B772" s="69"/>
      <c r="C772" s="69"/>
      <c r="D772" s="235">
        <f>IF(H772&gt;0,D759+1,D759)</f>
        <v>0</v>
      </c>
      <c r="E772" s="236"/>
      <c r="F772" s="237" t="s">
        <v>268</v>
      </c>
      <c r="G772" s="235" t="s">
        <v>67</v>
      </c>
      <c r="H772" s="215"/>
      <c r="I772" s="215">
        <f t="shared" si="38"/>
        <v>0</v>
      </c>
      <c r="J772" s="214"/>
      <c r="K772" s="214"/>
      <c r="L772" s="214"/>
      <c r="M772" s="56" t="s">
        <v>277</v>
      </c>
    </row>
    <row r="773" spans="1:16" s="51" customFormat="1" ht="25.2" hidden="1" customHeight="1">
      <c r="A773" s="68">
        <f>IF(A772&gt;0,1,0)</f>
        <v>0</v>
      </c>
      <c r="B773" s="69"/>
      <c r="C773" s="69"/>
      <c r="D773" s="216"/>
      <c r="E773" s="233"/>
      <c r="F773" s="217" t="s">
        <v>68</v>
      </c>
      <c r="G773" s="218"/>
      <c r="H773" s="193"/>
      <c r="I773" s="91">
        <f t="shared" si="38"/>
        <v>0</v>
      </c>
      <c r="J773" s="163"/>
      <c r="K773" s="163"/>
      <c r="L773" s="135"/>
      <c r="M773" s="56" t="s">
        <v>277</v>
      </c>
    </row>
    <row r="774" spans="1:16" s="51" customFormat="1" ht="25.2" hidden="1" customHeight="1">
      <c r="A774" s="68">
        <f t="shared" si="37"/>
        <v>0</v>
      </c>
      <c r="B774" s="86" t="s">
        <v>269</v>
      </c>
      <c r="C774" s="86"/>
      <c r="D774" s="114"/>
      <c r="E774" s="88" t="str">
        <f>VLOOKUP($B774,[1]DG!A:D,[1]DG!$B$2,)</f>
        <v>05.1102</v>
      </c>
      <c r="F774" s="89" t="str">
        <f>VLOOKUP($B774,[1]DG!A:D,[1]DG!$C$2,)</f>
        <v>Vỏ tủ + khóa tủ</v>
      </c>
      <c r="G774" s="88" t="str">
        <f>VLOOKUP($B774,[1]DG!A:D,[1]DG!$D$2,)</f>
        <v>cái</v>
      </c>
      <c r="H774" s="193">
        <f>H772*0</f>
        <v>0</v>
      </c>
      <c r="I774" s="91">
        <f t="shared" si="38"/>
        <v>0</v>
      </c>
      <c r="J774" s="92"/>
      <c r="K774" s="92"/>
      <c r="L774" s="117"/>
      <c r="M774" s="56" t="s">
        <v>277</v>
      </c>
    </row>
    <row r="775" spans="1:16" s="51" customFormat="1" ht="25.2" hidden="1" customHeight="1">
      <c r="A775" s="68">
        <f t="shared" si="37"/>
        <v>0</v>
      </c>
      <c r="B775" s="69" t="s">
        <v>291</v>
      </c>
      <c r="C775" s="69"/>
      <c r="D775" s="114"/>
      <c r="E775" s="94"/>
      <c r="F775" s="89" t="str">
        <f>VLOOKUP($B775,[1]DG!A:D,[1]DG!$C$2,)</f>
        <v>Cổ dê bắt tủ</v>
      </c>
      <c r="G775" s="88" t="str">
        <f>VLOOKUP($B775,[1]DG!A:D,[1]DG!$D$2,)</f>
        <v>bộ</v>
      </c>
      <c r="H775" s="193">
        <f>2*H772*0</f>
        <v>0</v>
      </c>
      <c r="I775" s="91">
        <f t="shared" si="38"/>
        <v>0</v>
      </c>
      <c r="J775" s="92"/>
      <c r="K775" s="92"/>
      <c r="L775" s="117"/>
      <c r="M775" s="56" t="s">
        <v>277</v>
      </c>
    </row>
    <row r="776" spans="1:16" s="51" customFormat="1" ht="25.2" hidden="1" customHeight="1">
      <c r="A776" s="68">
        <f t="shared" si="37"/>
        <v>0</v>
      </c>
      <c r="B776" s="69" t="s">
        <v>88</v>
      </c>
      <c r="C776" s="69"/>
      <c r="D776" s="114"/>
      <c r="E776" s="94"/>
      <c r="F776" s="89" t="str">
        <f>VLOOKUP($B776,[1]DG!A:D,[1]DG!$C$2,)</f>
        <v>Boulon 12x40+ 2 long đền vuông D14-50x50x3/Zn</v>
      </c>
      <c r="G776" s="88" t="str">
        <f>VLOOKUP($B776,[1]DG!A:D,[1]DG!$D$2,)</f>
        <v>bộ</v>
      </c>
      <c r="H776" s="193">
        <f>H772*4</f>
        <v>0</v>
      </c>
      <c r="I776" s="91">
        <f t="shared" si="38"/>
        <v>0</v>
      </c>
      <c r="J776" s="92"/>
      <c r="K776" s="92"/>
      <c r="L776" s="117"/>
      <c r="M776" s="56" t="s">
        <v>277</v>
      </c>
    </row>
    <row r="777" spans="1:16" s="51" customFormat="1" ht="25.2" hidden="1" customHeight="1">
      <c r="A777" s="68">
        <f t="shared" si="37"/>
        <v>0</v>
      </c>
      <c r="B777" s="69" t="s">
        <v>96</v>
      </c>
      <c r="C777" s="69"/>
      <c r="D777" s="114"/>
      <c r="E777" s="94"/>
      <c r="F777" s="89" t="str">
        <f>VLOOKUP($B777,[1]DG!A:D,[1]DG!$C$2,)</f>
        <v xml:space="preserve">Bakelit 550x450 dầy 10mm </v>
      </c>
      <c r="G777" s="88" t="str">
        <f>VLOOKUP($B777,[1]DG!A:D,[1]DG!$D$2,)</f>
        <v>cái</v>
      </c>
      <c r="H777" s="145"/>
      <c r="I777" s="91">
        <f t="shared" si="38"/>
        <v>0</v>
      </c>
      <c r="J777" s="92"/>
      <c r="K777" s="92"/>
      <c r="L777" s="117"/>
      <c r="M777" s="56" t="s">
        <v>277</v>
      </c>
    </row>
    <row r="778" spans="1:16" s="51" customFormat="1" ht="25.2" hidden="1" customHeight="1">
      <c r="A778" s="68">
        <f t="shared" si="37"/>
        <v>0</v>
      </c>
      <c r="B778" s="69"/>
      <c r="C778" s="69"/>
      <c r="D778" s="220">
        <f>IF(H778&gt;0,D772+1,D772)</f>
        <v>0</v>
      </c>
      <c r="E778" s="238"/>
      <c r="F778" s="239" t="s">
        <v>292</v>
      </c>
      <c r="G778" s="220" t="s">
        <v>67</v>
      </c>
      <c r="H778" s="240"/>
      <c r="I778" s="215">
        <f t="shared" si="38"/>
        <v>0</v>
      </c>
      <c r="J778" s="241"/>
      <c r="K778" s="241"/>
      <c r="L778" s="241"/>
      <c r="M778" s="56" t="s">
        <v>277</v>
      </c>
    </row>
    <row r="779" spans="1:16" s="51" customFormat="1" ht="25.2" hidden="1" customHeight="1">
      <c r="A779" s="68">
        <f>IF(A778&gt;0,1,0)</f>
        <v>0</v>
      </c>
      <c r="B779" s="69"/>
      <c r="C779" s="69"/>
      <c r="D779" s="111"/>
      <c r="E779" s="242"/>
      <c r="F779" s="243" t="s">
        <v>68</v>
      </c>
      <c r="G779" s="87"/>
      <c r="H779" s="145"/>
      <c r="I779" s="91">
        <f t="shared" si="38"/>
        <v>0</v>
      </c>
      <c r="J779" s="92"/>
      <c r="K779" s="92"/>
      <c r="L779" s="117"/>
      <c r="M779" s="56" t="s">
        <v>277</v>
      </c>
    </row>
    <row r="780" spans="1:16" s="51" customFormat="1" ht="25.2" hidden="1" customHeight="1">
      <c r="A780" s="68">
        <f t="shared" si="37"/>
        <v>0</v>
      </c>
      <c r="B780" s="69" t="s">
        <v>293</v>
      </c>
      <c r="C780" s="69"/>
      <c r="D780" s="87"/>
      <c r="E780" s="88">
        <f>VLOOKUP($B780,[1]DG!A:D,[1]DG!$B$2,)</f>
        <v>0</v>
      </c>
      <c r="F780" s="89" t="str">
        <f>VLOOKUP($B780,[1]DG!A:D,[1]DG!$C$2,)</f>
        <v>Ximăng (PC40)</v>
      </c>
      <c r="G780" s="88" t="str">
        <f>VLOOKUP($B780,[1]DG!A:D,[1]DG!$D$2,)</f>
        <v>kg</v>
      </c>
      <c r="H780" s="145"/>
      <c r="I780" s="91">
        <f t="shared" si="38"/>
        <v>0</v>
      </c>
      <c r="J780" s="92"/>
      <c r="K780" s="92"/>
      <c r="L780" s="117"/>
      <c r="M780" s="56" t="s">
        <v>277</v>
      </c>
    </row>
    <row r="781" spans="1:16" s="51" customFormat="1" ht="25.2" hidden="1" customHeight="1">
      <c r="A781" s="68">
        <f t="shared" si="37"/>
        <v>0</v>
      </c>
      <c r="B781" s="69" t="s">
        <v>294</v>
      </c>
      <c r="C781" s="69"/>
      <c r="D781" s="111"/>
      <c r="E781" s="88">
        <f>VLOOKUP($B781,[1]DG!A:D,[1]DG!$B$2,)</f>
        <v>0</v>
      </c>
      <c r="F781" s="89" t="str">
        <f>VLOOKUP($B781,[1]DG!A:D,[1]DG!$C$2,)</f>
        <v>Cát vàng</v>
      </c>
      <c r="G781" s="88" t="str">
        <f>VLOOKUP($B781,[1]DG!A:D,[1]DG!$D$2,)</f>
        <v>m3</v>
      </c>
      <c r="H781" s="244"/>
      <c r="I781" s="91">
        <f t="shared" si="38"/>
        <v>0</v>
      </c>
      <c r="J781" s="92"/>
      <c r="K781" s="92"/>
      <c r="L781" s="117"/>
      <c r="M781" s="56" t="s">
        <v>277</v>
      </c>
    </row>
    <row r="782" spans="1:16" s="51" customFormat="1" ht="25.2" hidden="1" customHeight="1">
      <c r="A782" s="68">
        <f t="shared" si="37"/>
        <v>0</v>
      </c>
      <c r="B782" s="69" t="s">
        <v>295</v>
      </c>
      <c r="C782" s="69"/>
      <c r="D782" s="111"/>
      <c r="E782" s="88">
        <f>VLOOKUP($B782,[1]DG!A:D,[1]DG!$B$2,)</f>
        <v>0</v>
      </c>
      <c r="F782" s="89" t="str">
        <f>VLOOKUP($B782,[1]DG!A:D,[1]DG!$C$2,)</f>
        <v>Đá 1x2</v>
      </c>
      <c r="G782" s="88" t="str">
        <f>VLOOKUP($B782,[1]DG!A:D,[1]DG!$D$2,)</f>
        <v>m3</v>
      </c>
      <c r="H782" s="244"/>
      <c r="I782" s="91">
        <f t="shared" si="38"/>
        <v>0</v>
      </c>
      <c r="J782" s="92"/>
      <c r="K782" s="92"/>
      <c r="L782" s="117"/>
      <c r="M782" s="56" t="s">
        <v>277</v>
      </c>
    </row>
    <row r="783" spans="1:16" s="51" customFormat="1" ht="25.2" hidden="1" customHeight="1">
      <c r="A783" s="68">
        <f t="shared" si="37"/>
        <v>0</v>
      </c>
      <c r="B783" s="69" t="s">
        <v>296</v>
      </c>
      <c r="C783" s="69"/>
      <c r="D783" s="87"/>
      <c r="E783" s="88" t="str">
        <f>VLOOKUP($B783,[1]DG!A:D,[1]DG!$B$2,)</f>
        <v>04.1203c</v>
      </c>
      <c r="F783" s="89" t="str">
        <f>VLOOKUP($B783,[1]DG!A:D,[1]DG!$C$2,)</f>
        <v>Đổ bê tông móng trụ &lt;=250cm-M200 đá 1x2</v>
      </c>
      <c r="G783" s="88" t="str">
        <f>VLOOKUP($B783,[1]DG!A:D,[1]DG!$D$2,)</f>
        <v>m3</v>
      </c>
      <c r="H783" s="145"/>
      <c r="I783" s="91">
        <f t="shared" si="38"/>
        <v>0</v>
      </c>
      <c r="J783" s="92"/>
      <c r="K783" s="92"/>
      <c r="L783" s="117"/>
      <c r="M783" s="56" t="s">
        <v>277</v>
      </c>
      <c r="N783" s="245">
        <f>1.025*0.45</f>
        <v>0.46124999999999999</v>
      </c>
      <c r="O783" s="245">
        <f>1.025*0.866</f>
        <v>0.88764999999999994</v>
      </c>
      <c r="P783" s="246"/>
    </row>
    <row r="784" spans="1:16" s="51" customFormat="1" ht="25.2" hidden="1" customHeight="1">
      <c r="A784" s="68">
        <f t="shared" si="37"/>
        <v>0</v>
      </c>
      <c r="B784" s="69"/>
      <c r="C784" s="69"/>
      <c r="D784" s="220">
        <f>IF(H784&gt;0,D778+1,D778)</f>
        <v>0</v>
      </c>
      <c r="E784" s="238"/>
      <c r="F784" s="247" t="s">
        <v>297</v>
      </c>
      <c r="G784" s="220" t="s">
        <v>67</v>
      </c>
      <c r="H784" s="240"/>
      <c r="I784" s="215">
        <f t="shared" si="38"/>
        <v>0</v>
      </c>
      <c r="J784" s="241"/>
      <c r="K784" s="241"/>
      <c r="L784" s="241"/>
      <c r="M784" s="56" t="s">
        <v>277</v>
      </c>
    </row>
    <row r="785" spans="1:13" s="51" customFormat="1" ht="25.2" hidden="1" customHeight="1">
      <c r="A785" s="68">
        <f>IF(A784&gt;0,1,0)</f>
        <v>0</v>
      </c>
      <c r="B785" s="69"/>
      <c r="C785" s="69"/>
      <c r="D785" s="111"/>
      <c r="E785" s="242"/>
      <c r="F785" s="248" t="s">
        <v>68</v>
      </c>
      <c r="G785" s="111"/>
      <c r="H785" s="244"/>
      <c r="I785" s="91">
        <f t="shared" si="38"/>
        <v>0</v>
      </c>
      <c r="J785" s="92"/>
      <c r="K785" s="92"/>
      <c r="L785" s="117"/>
      <c r="M785" s="56" t="s">
        <v>277</v>
      </c>
    </row>
    <row r="786" spans="1:13" s="51" customFormat="1" ht="25.2" hidden="1" customHeight="1">
      <c r="A786" s="68">
        <f t="shared" si="37"/>
        <v>0</v>
      </c>
      <c r="B786" s="69" t="s">
        <v>298</v>
      </c>
      <c r="C786" s="69"/>
      <c r="D786" s="87"/>
      <c r="E786" s="88" t="str">
        <f>VLOOKUP($B786,[1]DG!A:D,[1]DG!$B$2,)</f>
        <v>04.8003</v>
      </c>
      <c r="F786" s="89" t="str">
        <f>VLOOKUP($B786,[1]DG!A:D,[1]DG!$C$2,)</f>
        <v xml:space="preserve">Ống PVC D90x3,8mm </v>
      </c>
      <c r="G786" s="88" t="str">
        <f>VLOOKUP($B786,[1]DG!A:D,[1]DG!$D$2,)</f>
        <v>m</v>
      </c>
      <c r="H786" s="145"/>
      <c r="I786" s="91">
        <f t="shared" si="38"/>
        <v>0</v>
      </c>
      <c r="J786" s="92"/>
      <c r="K786" s="92"/>
      <c r="L786" s="117"/>
      <c r="M786" s="56" t="s">
        <v>277</v>
      </c>
    </row>
    <row r="787" spans="1:13" s="51" customFormat="1" ht="25.2" hidden="1" customHeight="1">
      <c r="A787" s="68">
        <f t="shared" si="37"/>
        <v>0</v>
      </c>
      <c r="B787" s="69" t="s">
        <v>299</v>
      </c>
      <c r="C787" s="69"/>
      <c r="D787" s="249"/>
      <c r="E787" s="227">
        <f>VLOOKUP($B787,[1]DG!A:D,[1]DG!$B$2,)</f>
        <v>0</v>
      </c>
      <c r="F787" s="228" t="str">
        <f>VLOOKUP($B787,[1]DG!A:D,[1]DG!$C$2,)</f>
        <v>Co  90 độ PVC 90</v>
      </c>
      <c r="G787" s="227" t="str">
        <f>VLOOKUP($B787,[1]DG!A:D,[1]DG!$D$2,)</f>
        <v>cái</v>
      </c>
      <c r="H787" s="250"/>
      <c r="I787" s="91">
        <f t="shared" si="38"/>
        <v>0</v>
      </c>
      <c r="J787" s="210"/>
      <c r="K787" s="210"/>
      <c r="L787" s="141"/>
      <c r="M787" s="56" t="s">
        <v>277</v>
      </c>
    </row>
    <row r="788" spans="1:13" s="51" customFormat="1" ht="25.2" hidden="1" customHeight="1">
      <c r="A788" s="68">
        <f t="shared" si="37"/>
        <v>0</v>
      </c>
      <c r="B788" s="69"/>
      <c r="C788" s="69"/>
      <c r="D788" s="211">
        <f>IF(H788&gt;0,D784+1,D784)</f>
        <v>0</v>
      </c>
      <c r="E788" s="212"/>
      <c r="F788" s="213" t="s">
        <v>270</v>
      </c>
      <c r="G788" s="214" t="s">
        <v>67</v>
      </c>
      <c r="H788" s="215"/>
      <c r="I788" s="215">
        <f t="shared" si="38"/>
        <v>0</v>
      </c>
      <c r="J788" s="214"/>
      <c r="K788" s="214"/>
      <c r="L788" s="214"/>
      <c r="M788" s="56" t="s">
        <v>277</v>
      </c>
    </row>
    <row r="789" spans="1:13" s="51" customFormat="1" ht="25.2" hidden="1" customHeight="1">
      <c r="A789" s="68">
        <f>IF(A788&gt;0,1,0)</f>
        <v>0</v>
      </c>
      <c r="B789" s="69"/>
      <c r="C789" s="69"/>
      <c r="D789" s="216"/>
      <c r="E789" s="233"/>
      <c r="F789" s="217" t="s">
        <v>68</v>
      </c>
      <c r="G789" s="218"/>
      <c r="H789" s="219"/>
      <c r="I789" s="91">
        <f t="shared" si="38"/>
        <v>0</v>
      </c>
      <c r="J789" s="163"/>
      <c r="K789" s="163"/>
      <c r="L789" s="135"/>
      <c r="M789" s="56" t="s">
        <v>277</v>
      </c>
    </row>
    <row r="790" spans="1:13" s="51" customFormat="1" ht="25.2" hidden="1" customHeight="1">
      <c r="A790" s="68">
        <f t="shared" si="37"/>
        <v>0</v>
      </c>
      <c r="B790" s="98" t="s">
        <v>98</v>
      </c>
      <c r="C790" s="98"/>
      <c r="D790" s="114"/>
      <c r="E790" s="88">
        <f>VLOOKUP($B790,[1]DG!A:D,[1]DG!$B$2,)</f>
        <v>0</v>
      </c>
      <c r="F790" s="89" t="str">
        <f>VLOOKUP($B790,[1]DG!A:D,[1]DG!$C$2,)</f>
        <v>Cáp 24KV CX-25mm2</v>
      </c>
      <c r="G790" s="88" t="str">
        <f>VLOOKUP($B790,[1]DG!A:D,[1]DG!$D$2,)</f>
        <v>mét</v>
      </c>
      <c r="H790" s="193">
        <f>9*H788</f>
        <v>0</v>
      </c>
      <c r="I790" s="91">
        <f t="shared" si="38"/>
        <v>0</v>
      </c>
      <c r="J790" s="92"/>
      <c r="K790" s="92"/>
      <c r="L790" s="117"/>
      <c r="M790" s="56" t="s">
        <v>277</v>
      </c>
    </row>
    <row r="791" spans="1:13" s="51" customFormat="1" ht="25.2" hidden="1" customHeight="1">
      <c r="A791" s="68">
        <f t="shared" si="37"/>
        <v>0</v>
      </c>
      <c r="B791" s="86" t="s">
        <v>99</v>
      </c>
      <c r="C791" s="86"/>
      <c r="D791" s="114"/>
      <c r="E791" s="88" t="str">
        <f>VLOOKUP($B791,[1]DG!A:D,[1]DG!$B$2,)</f>
        <v>04.3007</v>
      </c>
      <c r="F791" s="89" t="str">
        <f>VLOOKUP($B791,[1]DG!A:D,[1]DG!$C$2,)</f>
        <v>Kẹp quai 2/0</v>
      </c>
      <c r="G791" s="88" t="str">
        <f>VLOOKUP($B791,[1]DG!A:D,[1]DG!$D$2,)</f>
        <v>cái</v>
      </c>
      <c r="H791" s="193">
        <f>H788*2</f>
        <v>0</v>
      </c>
      <c r="I791" s="91">
        <f t="shared" si="38"/>
        <v>0</v>
      </c>
      <c r="J791" s="92"/>
      <c r="K791" s="92"/>
      <c r="L791" s="117"/>
      <c r="M791" s="56" t="s">
        <v>277</v>
      </c>
    </row>
    <row r="792" spans="1:13" s="51" customFormat="1" ht="25.2" hidden="1" customHeight="1">
      <c r="A792" s="68">
        <f t="shared" si="37"/>
        <v>0</v>
      </c>
      <c r="B792" s="86" t="s">
        <v>100</v>
      </c>
      <c r="C792" s="86"/>
      <c r="D792" s="114"/>
      <c r="E792" s="88" t="str">
        <f>VLOOKUP($B792,[1]DG!A:D,[1]DG!$B$2,)</f>
        <v>04.3007</v>
      </c>
      <c r="F792" s="89" t="str">
        <f>VLOOKUP($B792,[1]DG!A:D,[1]DG!$C$2,)</f>
        <v>Kẹp hotline 2/0</v>
      </c>
      <c r="G792" s="88" t="str">
        <f>VLOOKUP($B792,[1]DG!A:D,[1]DG!$D$2,)</f>
        <v>cái</v>
      </c>
      <c r="H792" s="193">
        <f>H791</f>
        <v>0</v>
      </c>
      <c r="I792" s="91">
        <f t="shared" si="38"/>
        <v>0</v>
      </c>
      <c r="J792" s="92"/>
      <c r="K792" s="92"/>
      <c r="L792" s="117"/>
      <c r="M792" s="56" t="s">
        <v>277</v>
      </c>
    </row>
    <row r="793" spans="1:13" s="51" customFormat="1" ht="25.2" hidden="1" customHeight="1">
      <c r="A793" s="68">
        <f t="shared" si="37"/>
        <v>0</v>
      </c>
      <c r="B793" s="86" t="s">
        <v>101</v>
      </c>
      <c r="C793" s="86"/>
      <c r="D793" s="118"/>
      <c r="E793" s="227" t="str">
        <f>VLOOKUP($B793,[1]DG!A:D,[1]DG!$B$2,)</f>
        <v>04.4201</v>
      </c>
      <c r="F793" s="195" t="str">
        <f>VLOOKUP($B793,[1]DG!A:D,[1]DG!$C$2,)</f>
        <v>Lắp cáp đồng xuống thiết bị D ≤ 95mm2</v>
      </c>
      <c r="G793" s="227" t="str">
        <f>VLOOKUP($B793,[1]DG!A:D,[1]DG!$D$2,)</f>
        <v>m</v>
      </c>
      <c r="H793" s="193">
        <f>H790</f>
        <v>0</v>
      </c>
      <c r="I793" s="91">
        <f t="shared" si="38"/>
        <v>0</v>
      </c>
      <c r="J793" s="210"/>
      <c r="K793" s="210"/>
      <c r="L793" s="141"/>
      <c r="M793" s="56" t="s">
        <v>277</v>
      </c>
    </row>
    <row r="794" spans="1:13" s="51" customFormat="1" ht="25.2" hidden="1" customHeight="1">
      <c r="A794" s="68">
        <f t="shared" si="37"/>
        <v>0</v>
      </c>
      <c r="B794" s="69"/>
      <c r="C794" s="69"/>
      <c r="D794" s="211">
        <f>IF(H794&gt;0,D788+1,D788)</f>
        <v>0</v>
      </c>
      <c r="E794" s="212"/>
      <c r="F794" s="251" t="s">
        <v>300</v>
      </c>
      <c r="G794" s="214" t="s">
        <v>67</v>
      </c>
      <c r="H794" s="215">
        <f>H734</f>
        <v>0</v>
      </c>
      <c r="I794" s="215">
        <f t="shared" si="38"/>
        <v>0</v>
      </c>
      <c r="J794" s="214"/>
      <c r="K794" s="214"/>
      <c r="L794" s="214"/>
      <c r="M794" s="56" t="s">
        <v>277</v>
      </c>
    </row>
    <row r="795" spans="1:13" s="51" customFormat="1" ht="25.2" hidden="1" customHeight="1">
      <c r="A795" s="68">
        <f>IF(A794&gt;0,1,0)</f>
        <v>0</v>
      </c>
      <c r="B795" s="69"/>
      <c r="C795" s="69"/>
      <c r="D795" s="216"/>
      <c r="E795" s="233"/>
      <c r="F795" s="252" t="s">
        <v>68</v>
      </c>
      <c r="G795" s="253"/>
      <c r="H795" s="254"/>
      <c r="I795" s="91">
        <f t="shared" si="38"/>
        <v>0</v>
      </c>
      <c r="J795" s="163"/>
      <c r="K795" s="163"/>
      <c r="L795" s="135"/>
      <c r="M795" s="56" t="s">
        <v>277</v>
      </c>
    </row>
    <row r="796" spans="1:13" s="51" customFormat="1" ht="25.2" hidden="1" customHeight="1">
      <c r="A796" s="68">
        <f t="shared" si="37"/>
        <v>0</v>
      </c>
      <c r="B796" s="69" t="s">
        <v>301</v>
      </c>
      <c r="C796" s="69"/>
      <c r="D796" s="96"/>
      <c r="E796" s="88">
        <f>VLOOKUP($B796,[1]DG!A:D,[1]DG!$B$2,)</f>
        <v>0</v>
      </c>
      <c r="F796" s="89" t="str">
        <f>VLOOKUP($B796,[1]DG!A:D,[1]DG!$C$2,)&amp;" 9m/pha"</f>
        <v>Cáp đồng bọc CV95 9m/pha</v>
      </c>
      <c r="G796" s="88" t="str">
        <f>VLOOKUP($B796,[1]DG!A:D,[1]DG!$D$2,)</f>
        <v>mét</v>
      </c>
      <c r="H796" s="193">
        <v>0</v>
      </c>
      <c r="I796" s="91">
        <f t="shared" si="38"/>
        <v>0</v>
      </c>
      <c r="J796" s="92"/>
      <c r="K796" s="92"/>
      <c r="L796" s="117"/>
      <c r="M796" s="56" t="s">
        <v>277</v>
      </c>
    </row>
    <row r="797" spans="1:13" s="51" customFormat="1" ht="25.2" hidden="1" customHeight="1">
      <c r="A797" s="68">
        <f t="shared" si="37"/>
        <v>0</v>
      </c>
      <c r="B797" s="69" t="s">
        <v>142</v>
      </c>
      <c r="C797" s="69"/>
      <c r="D797" s="96"/>
      <c r="E797" s="88">
        <f>VLOOKUP($B797,[1]DG!A:D,[1]DG!$B$2,)</f>
        <v>0</v>
      </c>
      <c r="F797" s="89" t="str">
        <f>VLOOKUP($B797,[1]DG!A:D,[1]DG!$C$2,)&amp;" 11m/trung hòa"</f>
        <v>Cáp đồng bọc CV70 11m/trung hòa</v>
      </c>
      <c r="G797" s="88" t="str">
        <f>VLOOKUP($B797,[1]DG!A:D,[1]DG!$D$2,)</f>
        <v>mét</v>
      </c>
      <c r="H797" s="193">
        <v>0</v>
      </c>
      <c r="I797" s="91">
        <f t="shared" si="38"/>
        <v>0</v>
      </c>
      <c r="J797" s="92"/>
      <c r="K797" s="92"/>
      <c r="L797" s="117"/>
      <c r="M797" s="56" t="s">
        <v>277</v>
      </c>
    </row>
    <row r="798" spans="1:13" s="51" customFormat="1" ht="25.2" hidden="1" customHeight="1">
      <c r="A798" s="68">
        <f t="shared" si="37"/>
        <v>0</v>
      </c>
      <c r="B798" s="69" t="s">
        <v>302</v>
      </c>
      <c r="C798" s="69"/>
      <c r="D798" s="96"/>
      <c r="E798" s="88" t="str">
        <f>VLOOKUP($B798,[1]DG!A:D,[1]DG!$B$2,)</f>
        <v>03.1401</v>
      </c>
      <c r="F798" s="89" t="str">
        <f>VLOOKUP($B798,[1]DG!A:D,[1]DG!$C$2,)</f>
        <v xml:space="preserve">Cáp CVV 4x4mm2  </v>
      </c>
      <c r="G798" s="88" t="str">
        <f>VLOOKUP($B798,[1]DG!A:D,[1]DG!$D$2,)</f>
        <v>mét</v>
      </c>
      <c r="H798" s="193">
        <v>0</v>
      </c>
      <c r="I798" s="91">
        <f t="shared" si="38"/>
        <v>0</v>
      </c>
      <c r="J798" s="92"/>
      <c r="K798" s="92"/>
      <c r="L798" s="117"/>
      <c r="M798" s="56" t="s">
        <v>277</v>
      </c>
    </row>
    <row r="799" spans="1:13" s="51" customFormat="1" ht="25.2" hidden="1" customHeight="1">
      <c r="A799" s="68">
        <f t="shared" si="37"/>
        <v>0</v>
      </c>
      <c r="B799" s="69" t="s">
        <v>303</v>
      </c>
      <c r="C799" s="69"/>
      <c r="D799" s="96"/>
      <c r="E799" s="88" t="str">
        <f>VLOOKUP($B799,[1]DG!A:D,[1]DG!$B$2,)</f>
        <v>03.4004</v>
      </c>
      <c r="F799" s="89" t="str">
        <f>VLOOKUP($B799,[1]DG!A:D,[1]DG!$C$2,)</f>
        <v>Đầu cosse ép Cu 95mm2</v>
      </c>
      <c r="G799" s="88" t="str">
        <f>VLOOKUP($B799,[1]DG!A:D,[1]DG!$D$2,)</f>
        <v>cái</v>
      </c>
      <c r="H799" s="193">
        <v>0</v>
      </c>
      <c r="I799" s="91">
        <f t="shared" si="38"/>
        <v>0</v>
      </c>
      <c r="J799" s="92"/>
      <c r="K799" s="92"/>
      <c r="L799" s="117"/>
      <c r="M799" s="56" t="s">
        <v>277</v>
      </c>
    </row>
    <row r="800" spans="1:13" s="51" customFormat="1" ht="25.2" hidden="1" customHeight="1">
      <c r="A800" s="68">
        <f t="shared" ref="A800:A864" si="39">IF(I800&gt;0,1,0)</f>
        <v>0</v>
      </c>
      <c r="B800" s="69" t="s">
        <v>155</v>
      </c>
      <c r="C800" s="69"/>
      <c r="D800" s="96"/>
      <c r="E800" s="88" t="str">
        <f>VLOOKUP($B800,[1]DG!A:D,[1]DG!$B$2,)</f>
        <v>03.4003</v>
      </c>
      <c r="F800" s="89" t="str">
        <f>VLOOKUP($B800,[1]DG!A:D,[1]DG!$C$2,)</f>
        <v>Đầu cosse ép Cu 70mm2</v>
      </c>
      <c r="G800" s="88" t="str">
        <f>VLOOKUP($B800,[1]DG!A:D,[1]DG!$D$2,)</f>
        <v>cái</v>
      </c>
      <c r="H800" s="193">
        <v>0</v>
      </c>
      <c r="I800" s="91">
        <f t="shared" si="38"/>
        <v>0</v>
      </c>
      <c r="J800" s="92"/>
      <c r="K800" s="92"/>
      <c r="L800" s="117"/>
      <c r="M800" s="56" t="s">
        <v>277</v>
      </c>
    </row>
    <row r="801" spans="1:13" s="51" customFormat="1" ht="25.2" hidden="1" customHeight="1">
      <c r="A801" s="68">
        <f t="shared" si="39"/>
        <v>0</v>
      </c>
      <c r="B801" s="69" t="s">
        <v>197</v>
      </c>
      <c r="C801" s="69"/>
      <c r="D801" s="96"/>
      <c r="E801" s="88">
        <f>VLOOKUP($B801,[1]DG!A:D,[1]DG!$B$2,)</f>
        <v>0</v>
      </c>
      <c r="F801" s="89" t="str">
        <f>VLOOKUP($B801,[1]DG!A:D,[1]DG!$C$2,)</f>
        <v>Chụp đầu cosse  120mm2</v>
      </c>
      <c r="G801" s="88" t="str">
        <f>VLOOKUP($B801,[1]DG!A:D,[1]DG!$D$2,)</f>
        <v>cái</v>
      </c>
      <c r="H801" s="193">
        <f>H799</f>
        <v>0</v>
      </c>
      <c r="I801" s="91">
        <f t="shared" si="38"/>
        <v>0</v>
      </c>
      <c r="J801" s="92"/>
      <c r="K801" s="92"/>
      <c r="L801" s="117"/>
      <c r="M801" s="56" t="s">
        <v>277</v>
      </c>
    </row>
    <row r="802" spans="1:13" s="51" customFormat="1" ht="25.2" hidden="1" customHeight="1">
      <c r="A802" s="68">
        <f t="shared" si="39"/>
        <v>0</v>
      </c>
      <c r="B802" s="69" t="s">
        <v>304</v>
      </c>
      <c r="C802" s="69"/>
      <c r="D802" s="96"/>
      <c r="E802" s="88">
        <f>VLOOKUP($B802,[1]DG!A:D,[1]DG!$B$2,)</f>
        <v>0</v>
      </c>
      <c r="F802" s="89" t="str">
        <f>VLOOKUP($B802,[1]DG!A:D,[1]DG!$C$2,)</f>
        <v>Chụp đầu cosse  95mm2</v>
      </c>
      <c r="G802" s="88" t="str">
        <f>VLOOKUP($B802,[1]DG!A:D,[1]DG!$D$2,)</f>
        <v>cái</v>
      </c>
      <c r="H802" s="193">
        <f>H800</f>
        <v>0</v>
      </c>
      <c r="I802" s="91">
        <f t="shared" si="38"/>
        <v>0</v>
      </c>
      <c r="J802" s="92"/>
      <c r="K802" s="92"/>
      <c r="L802" s="117"/>
      <c r="M802" s="56" t="s">
        <v>277</v>
      </c>
    </row>
    <row r="803" spans="1:13" s="51" customFormat="1" ht="25.2" hidden="1" customHeight="1">
      <c r="A803" s="68">
        <f t="shared" si="39"/>
        <v>0</v>
      </c>
      <c r="B803" s="69" t="s">
        <v>110</v>
      </c>
      <c r="C803" s="69"/>
      <c r="D803" s="96"/>
      <c r="E803" s="88" t="str">
        <f>VLOOKUP($B803,[1]DG!A:D,[1]DG!$B$2,)</f>
        <v>04.8003</v>
      </c>
      <c r="F803" s="89" t="str">
        <f>VLOOKUP($B803,[1]DG!A:D,[1]DG!$C$2,)</f>
        <v xml:space="preserve">Ống PVC D90x3,8mm </v>
      </c>
      <c r="G803" s="88" t="str">
        <f>VLOOKUP($B803,[1]DG!A:D,[1]DG!$D$2,)</f>
        <v>m</v>
      </c>
      <c r="H803" s="193">
        <v>0</v>
      </c>
      <c r="I803" s="91">
        <f t="shared" si="38"/>
        <v>0</v>
      </c>
      <c r="J803" s="92"/>
      <c r="K803" s="92"/>
      <c r="L803" s="117"/>
      <c r="M803" s="56" t="s">
        <v>277</v>
      </c>
    </row>
    <row r="804" spans="1:13" s="51" customFormat="1" ht="25.2" hidden="1" customHeight="1">
      <c r="A804" s="68">
        <f t="shared" si="39"/>
        <v>0</v>
      </c>
      <c r="B804" s="86" t="s">
        <v>111</v>
      </c>
      <c r="C804" s="86"/>
      <c r="D804" s="96"/>
      <c r="E804" s="88" t="str">
        <f>VLOOKUP($B804,[1]DG!A:D,[1]DG!$B$2,)</f>
        <v>06.3231</v>
      </c>
      <c r="F804" s="89" t="str">
        <f>VLOOKUP($B804,[1]DG!A:D,[1]DG!$C$2,)</f>
        <v>Cổ dê kẹp ống PVC Ø 90</v>
      </c>
      <c r="G804" s="88" t="str">
        <f>VLOOKUP($B804,[1]DG!A:D,[1]DG!$D$2,)</f>
        <v>bộ</v>
      </c>
      <c r="H804" s="193">
        <f>H794*2*0</f>
        <v>0</v>
      </c>
      <c r="I804" s="91">
        <f t="shared" si="38"/>
        <v>0</v>
      </c>
      <c r="J804" s="92"/>
      <c r="K804" s="92"/>
      <c r="L804" s="117"/>
      <c r="M804" s="56" t="s">
        <v>277</v>
      </c>
    </row>
    <row r="805" spans="1:13" s="51" customFormat="1" ht="25.2" hidden="1" customHeight="1">
      <c r="A805" s="68">
        <f t="shared" si="39"/>
        <v>0</v>
      </c>
      <c r="B805" s="69" t="s">
        <v>164</v>
      </c>
      <c r="C805" s="69"/>
      <c r="D805" s="96"/>
      <c r="E805" s="88">
        <f>VLOOKUP($B805,[1]DG!A:D,[1]DG!$B$2,)</f>
        <v>0</v>
      </c>
      <c r="F805" s="89" t="str">
        <f>VLOOKUP($B805,[1]DG!A:D,[1]DG!$C$2,)</f>
        <v>Co sừng 90 độ PVC 90</v>
      </c>
      <c r="G805" s="88" t="str">
        <f>VLOOKUP($B805,[1]DG!A:D,[1]DG!$D$2,)</f>
        <v>cái</v>
      </c>
      <c r="H805" s="193">
        <f>H794*2*0</f>
        <v>0</v>
      </c>
      <c r="I805" s="91">
        <f t="shared" si="38"/>
        <v>0</v>
      </c>
      <c r="J805" s="92"/>
      <c r="K805" s="92"/>
      <c r="L805" s="117"/>
      <c r="M805" s="56" t="s">
        <v>277</v>
      </c>
    </row>
    <row r="806" spans="1:13" s="51" customFormat="1" ht="25.2" hidden="1" customHeight="1">
      <c r="A806" s="68">
        <f t="shared" si="39"/>
        <v>0</v>
      </c>
      <c r="B806" s="69" t="s">
        <v>305</v>
      </c>
      <c r="C806" s="69"/>
      <c r="D806" s="96"/>
      <c r="E806" s="88">
        <f>VLOOKUP($B806,[1]DG!A:D,[1]DG!$B$2,)</f>
        <v>0</v>
      </c>
      <c r="F806" s="89" t="str">
        <f>VLOOKUP($B806,[1]DG!A:D,[1]DG!$C$2,)</f>
        <v>Nối ống PVC 114 - 90</v>
      </c>
      <c r="G806" s="88" t="str">
        <f>VLOOKUP($B806,[1]DG!A:D,[1]DG!$D$2,)</f>
        <v>cái</v>
      </c>
      <c r="H806" s="193">
        <f>H794*0</f>
        <v>0</v>
      </c>
      <c r="I806" s="91">
        <f t="shared" si="38"/>
        <v>0</v>
      </c>
      <c r="J806" s="92"/>
      <c r="K806" s="92"/>
      <c r="L806" s="117"/>
      <c r="M806" s="56" t="s">
        <v>277</v>
      </c>
    </row>
    <row r="807" spans="1:13" s="51" customFormat="1" ht="25.2" hidden="1" customHeight="1">
      <c r="A807" s="68">
        <f t="shared" si="39"/>
        <v>0</v>
      </c>
      <c r="B807" s="69" t="s">
        <v>251</v>
      </c>
      <c r="C807" s="69"/>
      <c r="D807" s="96"/>
      <c r="E807" s="88">
        <f>VLOOKUP($B807,[1]DG!A:D,[1]DG!$B$2,)</f>
        <v>0</v>
      </c>
      <c r="F807" s="89" t="str">
        <f>VLOOKUP($B807,[1]DG!A:D,[1]DG!$C$2,)</f>
        <v>Co  90 độ PVC 90</v>
      </c>
      <c r="G807" s="88" t="str">
        <f>VLOOKUP($B807,[1]DG!A:D,[1]DG!$D$2,)</f>
        <v>cái</v>
      </c>
      <c r="H807" s="145"/>
      <c r="I807" s="91">
        <f t="shared" si="38"/>
        <v>0</v>
      </c>
      <c r="J807" s="92"/>
      <c r="K807" s="92"/>
      <c r="L807" s="117"/>
      <c r="M807" s="56" t="s">
        <v>277</v>
      </c>
    </row>
    <row r="808" spans="1:13" s="51" customFormat="1" ht="25.2" hidden="1" customHeight="1">
      <c r="A808" s="68">
        <f t="shared" si="39"/>
        <v>0</v>
      </c>
      <c r="B808" s="69" t="s">
        <v>254</v>
      </c>
      <c r="C808" s="69"/>
      <c r="D808" s="96"/>
      <c r="E808" s="88">
        <f>VLOOKUP($B808,[1]DG!A:D,[1]DG!$B$2,)</f>
        <v>0</v>
      </c>
      <c r="F808" s="89" t="str">
        <f>VLOOKUP($B808,[1]DG!A:D,[1]DG!$C$2,)</f>
        <v>Keo dán ống PVC (100gr)</v>
      </c>
      <c r="G808" s="88" t="str">
        <f>VLOOKUP($B808,[1]DG!A:D,[1]DG!$D$2,)</f>
        <v>tuýp</v>
      </c>
      <c r="H808" s="193">
        <f>H794*0</f>
        <v>0</v>
      </c>
      <c r="I808" s="91">
        <f t="shared" si="38"/>
        <v>0</v>
      </c>
      <c r="J808" s="92"/>
      <c r="K808" s="92"/>
      <c r="L808" s="117"/>
      <c r="M808" s="56" t="s">
        <v>277</v>
      </c>
    </row>
    <row r="809" spans="1:13" s="51" customFormat="1" ht="25.2" hidden="1" customHeight="1">
      <c r="A809" s="68">
        <f t="shared" si="39"/>
        <v>0</v>
      </c>
      <c r="B809" s="69" t="s">
        <v>255</v>
      </c>
      <c r="C809" s="69"/>
      <c r="D809" s="96"/>
      <c r="E809" s="88">
        <f>VLOOKUP($B809,[1]DG!A:D,[1]DG!$B$2,)</f>
        <v>0</v>
      </c>
      <c r="F809" s="89" t="str">
        <f>VLOOKUP($B809,[1]DG!A:D,[1]DG!$C$2,)</f>
        <v>Keo silicon bít miệng ống</v>
      </c>
      <c r="G809" s="88" t="str">
        <f>VLOOKUP($B809,[1]DG!A:D,[1]DG!$D$2,)</f>
        <v>ống</v>
      </c>
      <c r="H809" s="145"/>
      <c r="I809" s="91">
        <f t="shared" si="38"/>
        <v>0</v>
      </c>
      <c r="J809" s="92"/>
      <c r="K809" s="92"/>
      <c r="L809" s="117"/>
      <c r="M809" s="56" t="s">
        <v>277</v>
      </c>
    </row>
    <row r="810" spans="1:13" s="51" customFormat="1" ht="25.2" hidden="1" customHeight="1">
      <c r="A810" s="68">
        <f t="shared" si="39"/>
        <v>0</v>
      </c>
      <c r="B810" s="86" t="s">
        <v>148</v>
      </c>
      <c r="C810" s="86"/>
      <c r="D810" s="96"/>
      <c r="E810" s="88">
        <f>VLOOKUP($B810,[1]DG!A:D,[1]DG!$B$2,)</f>
        <v>0</v>
      </c>
      <c r="F810" s="89" t="str">
        <f>VLOOKUP($B810,[1]DG!A:D,[1]DG!$C$2,)</f>
        <v>Băng keo cách điện</v>
      </c>
      <c r="G810" s="88" t="str">
        <f>VLOOKUP($B810,[1]DG!A:D,[1]DG!$D$2,)</f>
        <v>cuộn</v>
      </c>
      <c r="H810" s="145"/>
      <c r="I810" s="91">
        <f t="shared" si="38"/>
        <v>0</v>
      </c>
      <c r="J810" s="92"/>
      <c r="K810" s="92"/>
      <c r="L810" s="117"/>
      <c r="M810" s="56" t="s">
        <v>277</v>
      </c>
    </row>
    <row r="811" spans="1:13" s="51" customFormat="1" ht="25.2" hidden="1" customHeight="1">
      <c r="A811" s="68">
        <f t="shared" si="39"/>
        <v>0</v>
      </c>
      <c r="B811" s="69" t="s">
        <v>306</v>
      </c>
      <c r="C811" s="69"/>
      <c r="D811" s="96"/>
      <c r="E811" s="88">
        <f>VLOOKUP($B811,[1]DG!A:D,[1]DG!$B$2,)</f>
        <v>0</v>
      </c>
      <c r="F811" s="89" t="str">
        <f>VLOOKUP($B811,[1]DG!A:D,[1]DG!$C$2,)</f>
        <v>Chụp cách điện đầu cực MBA</v>
      </c>
      <c r="G811" s="88" t="str">
        <f>VLOOKUP($B811,[1]DG!A:D,[1]DG!$D$2,)</f>
        <v>cái</v>
      </c>
      <c r="H811" s="94"/>
      <c r="I811" s="91">
        <f t="shared" si="38"/>
        <v>0</v>
      </c>
      <c r="J811" s="92"/>
      <c r="K811" s="92"/>
      <c r="L811" s="117"/>
      <c r="M811" s="56" t="s">
        <v>277</v>
      </c>
    </row>
    <row r="812" spans="1:13" s="51" customFormat="1" ht="25.2" hidden="1" customHeight="1">
      <c r="A812" s="68">
        <f t="shared" si="39"/>
        <v>0</v>
      </c>
      <c r="B812" s="69" t="s">
        <v>208</v>
      </c>
      <c r="C812" s="69"/>
      <c r="D812" s="96"/>
      <c r="E812" s="88">
        <f>VLOOKUP($B812,[1]DG!A:D,[1]DG!$B$2,)</f>
        <v>0</v>
      </c>
      <c r="F812" s="89" t="str">
        <f>VLOOKUP($B812,[1]DG!A:D,[1]DG!$C$2,)</f>
        <v>Chụp cách điện đầu cực FCO (trên + dưới)</v>
      </c>
      <c r="G812" s="88" t="str">
        <f>VLOOKUP($B812,[1]DG!A:D,[1]DG!$D$2,)</f>
        <v>bộ</v>
      </c>
      <c r="H812" s="94"/>
      <c r="I812" s="91">
        <f t="shared" si="38"/>
        <v>0</v>
      </c>
      <c r="J812" s="92"/>
      <c r="K812" s="92"/>
      <c r="L812" s="117"/>
      <c r="M812" s="56" t="s">
        <v>277</v>
      </c>
    </row>
    <row r="813" spans="1:13" s="51" customFormat="1" ht="25.2" hidden="1" customHeight="1">
      <c r="A813" s="68">
        <f t="shared" si="39"/>
        <v>0</v>
      </c>
      <c r="B813" s="69" t="s">
        <v>209</v>
      </c>
      <c r="C813" s="69"/>
      <c r="D813" s="96"/>
      <c r="E813" s="88">
        <f>VLOOKUP($B813,[1]DG!A:D,[1]DG!$B$2,)</f>
        <v>0</v>
      </c>
      <c r="F813" s="89" t="str">
        <f>VLOOKUP($B813,[1]DG!A:D,[1]DG!$C$2,)</f>
        <v>Chụp cách điện đầu cực LA</v>
      </c>
      <c r="G813" s="88" t="str">
        <f>VLOOKUP($B813,[1]DG!A:D,[1]DG!$D$2,)</f>
        <v>cái</v>
      </c>
      <c r="H813" s="94"/>
      <c r="I813" s="91">
        <f t="shared" si="38"/>
        <v>0</v>
      </c>
      <c r="J813" s="92"/>
      <c r="K813" s="92"/>
      <c r="L813" s="117"/>
      <c r="M813" s="56" t="s">
        <v>277</v>
      </c>
    </row>
    <row r="814" spans="1:13" s="51" customFormat="1" ht="25.2" hidden="1" customHeight="1">
      <c r="A814" s="68">
        <f t="shared" si="39"/>
        <v>0</v>
      </c>
      <c r="B814" s="69" t="s">
        <v>116</v>
      </c>
      <c r="C814" s="69"/>
      <c r="D814" s="96"/>
      <c r="E814" s="88" t="str">
        <f>VLOOKUP($B814,[1]DG!A:D,[1]DG!$B$2,)</f>
        <v>07.2415</v>
      </c>
      <c r="F814" s="195" t="str">
        <f>VLOOKUP($B814,[1]DG!A:D,[1]DG!$C$2,)</f>
        <v>Lắp ống nhựa PVC D90</v>
      </c>
      <c r="G814" s="88" t="str">
        <f>VLOOKUP($B814,[1]DG!A:D,[1]DG!$D$2,)</f>
        <v>mét</v>
      </c>
      <c r="H814" s="94"/>
      <c r="I814" s="91">
        <f t="shared" si="38"/>
        <v>0</v>
      </c>
      <c r="J814" s="92"/>
      <c r="K814" s="92"/>
      <c r="L814" s="117"/>
      <c r="M814" s="56" t="s">
        <v>277</v>
      </c>
    </row>
    <row r="815" spans="1:13" s="51" customFormat="1" ht="25.2" hidden="1" customHeight="1">
      <c r="A815" s="68">
        <f t="shared" si="39"/>
        <v>0</v>
      </c>
      <c r="B815" s="86" t="s">
        <v>101</v>
      </c>
      <c r="C815" s="86"/>
      <c r="D815" s="96"/>
      <c r="E815" s="88" t="str">
        <f>VLOOKUP($B815,[1]DG!A:D,[1]DG!$B$2,)</f>
        <v>04.4201</v>
      </c>
      <c r="F815" s="195" t="str">
        <f>VLOOKUP($B815,[1]DG!A:D,[1]DG!$C$2,)</f>
        <v>Lắp cáp đồng xuống thiết bị D ≤ 95mm2</v>
      </c>
      <c r="G815" s="88" t="str">
        <f>VLOOKUP($B815,[1]DG!A:D,[1]DG!$D$2,)</f>
        <v>m</v>
      </c>
      <c r="H815" s="94"/>
      <c r="I815" s="91">
        <f t="shared" si="38"/>
        <v>0</v>
      </c>
      <c r="J815" s="92"/>
      <c r="K815" s="92"/>
      <c r="L815" s="117"/>
      <c r="M815" s="56" t="s">
        <v>277</v>
      </c>
    </row>
    <row r="816" spans="1:13" s="51" customFormat="1" ht="25.2" hidden="1" customHeight="1">
      <c r="A816" s="68">
        <f t="shared" si="39"/>
        <v>0</v>
      </c>
      <c r="B816" s="69" t="s">
        <v>117</v>
      </c>
      <c r="C816" s="69"/>
      <c r="D816" s="118">
        <f>IF(H816&gt;0,D794+1,D794)</f>
        <v>0</v>
      </c>
      <c r="E816" s="255"/>
      <c r="F816" s="89" t="str">
        <f>VLOOKUP($B816,[1]DG!A:D,[1]DG!$C$2,)</f>
        <v>Bảng tên trạm, bảng báo nguy hiểm + đinh vít</v>
      </c>
      <c r="G816" s="88" t="str">
        <f>VLOOKUP($B816,[1]DG!A:D,[1]DG!$D$2,)</f>
        <v>bộ</v>
      </c>
      <c r="H816" s="250"/>
      <c r="I816" s="91">
        <f t="shared" si="38"/>
        <v>0</v>
      </c>
      <c r="J816" s="92"/>
      <c r="K816" s="92"/>
      <c r="L816" s="117"/>
      <c r="M816" s="56" t="s">
        <v>277</v>
      </c>
    </row>
    <row r="817" spans="1:13" s="51" customFormat="1" ht="25.2" hidden="1" customHeight="1">
      <c r="A817" s="68">
        <f t="shared" si="39"/>
        <v>0</v>
      </c>
      <c r="B817" s="69" t="s">
        <v>307</v>
      </c>
      <c r="C817" s="69"/>
      <c r="D817" s="118">
        <f>IF(H817&gt;0,D795+1,D795)</f>
        <v>0</v>
      </c>
      <c r="E817" s="255"/>
      <c r="F817" s="228" t="str">
        <f>VLOOKUP($B817,[1]DG!A:D,[1]DG!$C$2,)</f>
        <v>Móng đặt tủ bù (0,2x0,2x0,4)x4 móng</v>
      </c>
      <c r="G817" s="227" t="str">
        <f>VLOOKUP($B817,[1]DG!A:D,[1]DG!$D$2,)</f>
        <v>Trọn bộ</v>
      </c>
      <c r="H817" s="153"/>
      <c r="I817" s="91">
        <f t="shared" si="38"/>
        <v>0</v>
      </c>
      <c r="J817" s="210"/>
      <c r="K817" s="210"/>
      <c r="L817" s="210"/>
      <c r="M817" s="56" t="s">
        <v>277</v>
      </c>
    </row>
    <row r="818" spans="1:13" s="51" customFormat="1" ht="25.2" hidden="1" customHeight="1">
      <c r="A818" s="68">
        <f t="shared" si="39"/>
        <v>0</v>
      </c>
      <c r="B818" s="184"/>
      <c r="C818" s="184"/>
      <c r="D818" s="100"/>
      <c r="E818" s="101"/>
      <c r="F818" s="256"/>
      <c r="G818" s="206"/>
      <c r="H818" s="207"/>
      <c r="I818" s="91">
        <f t="shared" si="38"/>
        <v>0</v>
      </c>
      <c r="J818" s="257"/>
      <c r="K818" s="258"/>
      <c r="L818" s="133"/>
      <c r="M818" s="56" t="s">
        <v>277</v>
      </c>
    </row>
    <row r="819" spans="1:13" s="51" customFormat="1" ht="25.2" hidden="1" customHeight="1">
      <c r="A819" s="68">
        <f t="shared" si="39"/>
        <v>0</v>
      </c>
      <c r="B819" s="184"/>
      <c r="C819" s="184"/>
      <c r="D819" s="56"/>
      <c r="E819" s="259"/>
      <c r="F819" s="187"/>
      <c r="G819" s="260"/>
      <c r="H819" s="261"/>
      <c r="I819" s="91">
        <f t="shared" si="38"/>
        <v>0</v>
      </c>
      <c r="J819" s="187"/>
      <c r="K819" s="187"/>
      <c r="M819" s="56"/>
    </row>
    <row r="820" spans="1:13" s="51" customFormat="1" ht="25.2" hidden="1" customHeight="1">
      <c r="A820" s="68">
        <f t="shared" si="39"/>
        <v>0</v>
      </c>
      <c r="B820" s="262"/>
      <c r="C820" s="262"/>
      <c r="D820" s="263" t="e">
        <f>"BAÛNG TOÅNG HÔÏP VAÄT LIEÄU, NHAÂN COÂNG, MAÙY THI COÂNG : "&amp;#REF!&amp;" TRAÏM 3P_3x50KVA"</f>
        <v>#REF!</v>
      </c>
      <c r="E820" s="263"/>
      <c r="F820" s="263"/>
      <c r="G820" s="263"/>
      <c r="H820" s="264"/>
      <c r="I820" s="91">
        <f t="shared" si="38"/>
        <v>0</v>
      </c>
      <c r="J820" s="263"/>
      <c r="K820" s="263"/>
      <c r="M820" s="56"/>
    </row>
    <row r="821" spans="1:13" s="51" customFormat="1" ht="25.2" hidden="1" customHeight="1">
      <c r="A821" s="68">
        <f t="shared" si="39"/>
        <v>0</v>
      </c>
      <c r="B821" s="69"/>
      <c r="C821" s="69"/>
      <c r="D821" s="265"/>
      <c r="E821" s="266"/>
      <c r="F821" s="267" t="s">
        <v>53</v>
      </c>
      <c r="G821" s="268"/>
      <c r="H821" s="269"/>
      <c r="I821" s="91">
        <f t="shared" si="38"/>
        <v>0</v>
      </c>
      <c r="J821" s="268"/>
      <c r="K821" s="268"/>
      <c r="L821" s="156"/>
      <c r="M821" s="56" t="s">
        <v>51</v>
      </c>
    </row>
    <row r="822" spans="1:13" s="51" customFormat="1" ht="25.2" customHeight="1">
      <c r="A822" s="68">
        <f t="shared" si="39"/>
        <v>1</v>
      </c>
      <c r="B822" s="86" t="s">
        <v>308</v>
      </c>
      <c r="C822" s="86"/>
      <c r="D822" s="87">
        <f>IF(H822&gt;0,1,0)</f>
        <v>1</v>
      </c>
      <c r="E822" s="88" t="str">
        <f>VLOOKUP($B822,[1]DG!A:D,[1]DG!$B$2,)</f>
        <v>01.1162</v>
      </c>
      <c r="F822" s="89" t="str">
        <f>VLOOKUP($B822,[1]DG!A:D,[1]DG!$C$2,)</f>
        <v>Máy biến áp 12,7/0,23-0,46kV 50kVA</v>
      </c>
      <c r="G822" s="88" t="str">
        <f>VLOOKUP($B822,[1]DG!A:D,[1]DG!$D$2,)</f>
        <v>máy</v>
      </c>
      <c r="H822" s="270">
        <f>L9*3</f>
        <v>3</v>
      </c>
      <c r="I822" s="91">
        <f t="shared" si="38"/>
        <v>3</v>
      </c>
      <c r="J822" s="92"/>
      <c r="K822" s="92"/>
      <c r="L822" s="135"/>
      <c r="M822" s="56" t="s">
        <v>51</v>
      </c>
    </row>
    <row r="823" spans="1:13" s="51" customFormat="1" ht="25.2" customHeight="1">
      <c r="A823" s="68">
        <f t="shared" si="39"/>
        <v>1</v>
      </c>
      <c r="B823" s="86" t="s">
        <v>56</v>
      </c>
      <c r="C823" s="86"/>
      <c r="D823" s="87">
        <f t="shared" ref="D823:D830" si="40">IF(H823&gt;0,D822+1,D822)</f>
        <v>2</v>
      </c>
      <c r="E823" s="88" t="str">
        <f>VLOOKUP($B823,[1]DG!A:D,[1]DG!$B$2,)</f>
        <v>02.3155</v>
      </c>
      <c r="F823" s="89" t="str">
        <f>VLOOKUP($B823,[1]DG!A:D,[1]DG!$C$2,)</f>
        <v>FCO 27kV - 100A</v>
      </c>
      <c r="G823" s="88" t="str">
        <f>VLOOKUP($B823,[1]DG!A:D,[1]DG!$D$2,)</f>
        <v>cái</v>
      </c>
      <c r="H823" s="145">
        <f>+H822</f>
        <v>3</v>
      </c>
      <c r="I823" s="91">
        <f t="shared" ref="I823:I890" si="41">IF(M823=$M$23,H823+J823-K823,0)</f>
        <v>3</v>
      </c>
      <c r="J823" s="92"/>
      <c r="K823" s="92"/>
      <c r="L823" s="117"/>
      <c r="M823" s="56" t="s">
        <v>51</v>
      </c>
    </row>
    <row r="824" spans="1:13" s="51" customFormat="1" ht="25.2" customHeight="1">
      <c r="A824" s="68">
        <f t="shared" si="39"/>
        <v>1</v>
      </c>
      <c r="B824" s="69" t="s">
        <v>309</v>
      </c>
      <c r="C824" s="69"/>
      <c r="D824" s="87">
        <f t="shared" si="40"/>
        <v>3</v>
      </c>
      <c r="E824" s="88">
        <f>VLOOKUP($B824,[1]DG!A:D,[1]DG!$B$2,)</f>
        <v>0</v>
      </c>
      <c r="F824" s="89" t="str">
        <f>VLOOKUP($B824,[1]DG!A:D,[1]DG!$C$2,)</f>
        <v>Dây chảy 6K</v>
      </c>
      <c r="G824" s="88" t="str">
        <f>VLOOKUP($B824,[1]DG!A:D,[1]DG!$D$2,)</f>
        <v>Sợi</v>
      </c>
      <c r="H824" s="145">
        <v>3</v>
      </c>
      <c r="I824" s="91">
        <f t="shared" si="41"/>
        <v>3</v>
      </c>
      <c r="J824" s="92"/>
      <c r="K824" s="92"/>
      <c r="L824" s="117"/>
      <c r="M824" s="56" t="s">
        <v>51</v>
      </c>
    </row>
    <row r="825" spans="1:13" s="51" customFormat="1" ht="25.2" customHeight="1">
      <c r="A825" s="68">
        <f t="shared" si="39"/>
        <v>1</v>
      </c>
      <c r="B825" s="69" t="str">
        <f>IF(RIGHT(B823,2)=12,"LA12","LA18")</f>
        <v>LA18</v>
      </c>
      <c r="C825" s="69"/>
      <c r="D825" s="87">
        <f t="shared" si="40"/>
        <v>4</v>
      </c>
      <c r="E825" s="88" t="str">
        <f>VLOOKUP($B825,[1]DG!A:D,[1]DG!$B$2,)</f>
        <v>02.5114</v>
      </c>
      <c r="F825" s="89" t="str">
        <f>VLOOKUP($B825,[1]DG!A:D,[1]DG!$C$2,)</f>
        <v>Chống sét van LA-18KV-10KA</v>
      </c>
      <c r="G825" s="88" t="str">
        <f>VLOOKUP($B825,[1]DG!A:D,[1]DG!$D$2,)</f>
        <v>cái</v>
      </c>
      <c r="H825" s="145">
        <f>H823</f>
        <v>3</v>
      </c>
      <c r="I825" s="91">
        <f t="shared" si="41"/>
        <v>3</v>
      </c>
      <c r="J825" s="92"/>
      <c r="K825" s="92"/>
      <c r="L825" s="117"/>
      <c r="M825" s="56" t="s">
        <v>51</v>
      </c>
    </row>
    <row r="826" spans="1:13" s="51" customFormat="1" ht="25.2" customHeight="1">
      <c r="A826" s="68">
        <f t="shared" si="39"/>
        <v>1</v>
      </c>
      <c r="B826" s="86" t="s">
        <v>310</v>
      </c>
      <c r="C826" s="86"/>
      <c r="D826" s="87">
        <f t="shared" si="40"/>
        <v>5</v>
      </c>
      <c r="E826" s="88" t="str">
        <f>VLOOKUP($B826,[1]DG!A:D,[1]DG!$B$2,)</f>
        <v>02.8401</v>
      </c>
      <c r="F826" s="89" t="str">
        <f>VLOOKUP($B826,[1]DG!A:D,[1]DG!$C$2,)</f>
        <v>MCCB 3 cực 400V -200A - 35KA</v>
      </c>
      <c r="G826" s="88" t="str">
        <f>VLOOKUP($B826,[1]DG!A:D,[1]DG!$D$2,)</f>
        <v>cái</v>
      </c>
      <c r="H826" s="271">
        <f>H822/3</f>
        <v>1</v>
      </c>
      <c r="I826" s="91">
        <f t="shared" si="41"/>
        <v>1</v>
      </c>
      <c r="J826" s="92"/>
      <c r="K826" s="92"/>
      <c r="L826" s="117"/>
      <c r="M826" s="56" t="s">
        <v>51</v>
      </c>
    </row>
    <row r="827" spans="1:13" s="51" customFormat="1" ht="25.2" hidden="1" customHeight="1">
      <c r="A827" s="68">
        <f t="shared" si="39"/>
        <v>0</v>
      </c>
      <c r="B827" s="86" t="s">
        <v>311</v>
      </c>
      <c r="C827" s="86"/>
      <c r="D827" s="87">
        <f t="shared" si="40"/>
        <v>5</v>
      </c>
      <c r="E827" s="88" t="str">
        <f>VLOOKUP($B827,[1]DG!A:D,[1]DG!$B$2,)</f>
        <v>02.8534</v>
      </c>
      <c r="F827" s="89" t="str">
        <f>VLOOKUP($B827,[1]DG!A:D,[1]DG!$C$2,)</f>
        <v>Tủ tụ bù hạ thế 60kVAr</v>
      </c>
      <c r="G827" s="88" t="str">
        <f>VLOOKUP($B827,[1]DG!A:D,[1]DG!$D$2,)</f>
        <v>tủ</v>
      </c>
      <c r="H827" s="271">
        <f>H822/3*0</f>
        <v>0</v>
      </c>
      <c r="I827" s="91">
        <f t="shared" si="41"/>
        <v>0</v>
      </c>
      <c r="J827" s="92"/>
      <c r="K827" s="92"/>
      <c r="L827" s="117"/>
      <c r="M827" s="56" t="s">
        <v>51</v>
      </c>
    </row>
    <row r="828" spans="1:13" s="51" customFormat="1" ht="25.2" hidden="1" customHeight="1">
      <c r="A828" s="68">
        <f t="shared" si="39"/>
        <v>0</v>
      </c>
      <c r="B828" s="98" t="s">
        <v>309</v>
      </c>
      <c r="C828" s="98"/>
      <c r="D828" s="87">
        <f>IF(H828&gt;0,D826+1,D826)</f>
        <v>5</v>
      </c>
      <c r="E828" s="88">
        <f>VLOOKUP($B828,[1]DG!A:D,[1]DG!$B$2,)</f>
        <v>0</v>
      </c>
      <c r="F828" s="89" t="str">
        <f>VLOOKUP($B828,[1]DG!A:D,[1]DG!$C$2,)</f>
        <v>Dây chảy 6K</v>
      </c>
      <c r="G828" s="88" t="str">
        <f>VLOOKUP($B828,[1]DG!A:D,[1]DG!$D$2,)</f>
        <v>Sợi</v>
      </c>
      <c r="H828" s="145">
        <f>H821</f>
        <v>0</v>
      </c>
      <c r="I828" s="91">
        <f t="shared" si="41"/>
        <v>0</v>
      </c>
      <c r="J828" s="92"/>
      <c r="K828" s="92"/>
      <c r="L828" s="96" t="s">
        <v>61</v>
      </c>
      <c r="M828" s="56" t="s">
        <v>51</v>
      </c>
    </row>
    <row r="829" spans="1:13" s="51" customFormat="1" ht="25.2" customHeight="1">
      <c r="A829" s="68">
        <f t="shared" si="39"/>
        <v>1</v>
      </c>
      <c r="B829" s="98" t="s">
        <v>169</v>
      </c>
      <c r="C829" s="98"/>
      <c r="D829" s="87">
        <f>IF(H829&gt;0,D827+1,D827)</f>
        <v>6</v>
      </c>
      <c r="E829" s="88">
        <f>VLOOKUP($B829,[1]DG!A:D,[1]DG!$B$2,)</f>
        <v>0</v>
      </c>
      <c r="F829" s="89" t="str">
        <f>VLOOKUP($B829,[1]DG!A:D,[1]DG!$C$2,)</f>
        <v xml:space="preserve">Biến dòng 600V - 200/5A </v>
      </c>
      <c r="G829" s="88" t="str">
        <f>VLOOKUP($B829,[1]DG!A:D,[1]DG!$D$2,)</f>
        <v>cái</v>
      </c>
      <c r="H829" s="145">
        <f>H822</f>
        <v>3</v>
      </c>
      <c r="I829" s="91">
        <f t="shared" si="41"/>
        <v>3</v>
      </c>
      <c r="J829" s="92"/>
      <c r="K829" s="92"/>
      <c r="L829" s="96" t="s">
        <v>61</v>
      </c>
      <c r="M829" s="56" t="s">
        <v>51</v>
      </c>
    </row>
    <row r="830" spans="1:13" s="51" customFormat="1" ht="25.2" customHeight="1">
      <c r="A830" s="68">
        <f t="shared" si="39"/>
        <v>1</v>
      </c>
      <c r="B830" s="86" t="s">
        <v>258</v>
      </c>
      <c r="C830" s="86"/>
      <c r="D830" s="87">
        <f t="shared" si="40"/>
        <v>7</v>
      </c>
      <c r="E830" s="88" t="str">
        <f>VLOOKUP($B830,[1]DG!A:D,[1]DG!$B$2,)</f>
        <v>05.5104</v>
      </c>
      <c r="F830" s="89" t="str">
        <f>VLOOKUP($B830,[1]DG!A:D,[1]DG!$C$2,)</f>
        <v>Điện kế 3 pha 4 dây 220/380V-5A</v>
      </c>
      <c r="G830" s="88" t="str">
        <f>VLOOKUP($B830,[1]DG!A:D,[1]DG!$D$2,)</f>
        <v>cái</v>
      </c>
      <c r="H830" s="145">
        <f>H824/3</f>
        <v>1</v>
      </c>
      <c r="I830" s="91">
        <f t="shared" si="41"/>
        <v>1</v>
      </c>
      <c r="J830" s="92"/>
      <c r="K830" s="92"/>
      <c r="L830" s="96" t="s">
        <v>61</v>
      </c>
      <c r="M830" s="56" t="s">
        <v>51</v>
      </c>
    </row>
    <row r="831" spans="1:13" s="51" customFormat="1" ht="25.2" hidden="1" customHeight="1">
      <c r="A831" s="68">
        <f t="shared" si="39"/>
        <v>0</v>
      </c>
      <c r="B831" s="69"/>
      <c r="C831" s="69"/>
      <c r="D831" s="272"/>
      <c r="E831" s="273"/>
      <c r="F831" s="274"/>
      <c r="G831" s="272"/>
      <c r="H831" s="207"/>
      <c r="I831" s="91">
        <f t="shared" si="41"/>
        <v>0</v>
      </c>
      <c r="J831" s="274"/>
      <c r="K831" s="272"/>
      <c r="L831" s="275"/>
      <c r="M831" s="56" t="s">
        <v>51</v>
      </c>
    </row>
    <row r="832" spans="1:13" s="51" customFormat="1" ht="25.2" hidden="1" customHeight="1">
      <c r="A832" s="68">
        <f t="shared" si="39"/>
        <v>0</v>
      </c>
      <c r="B832" s="69"/>
      <c r="C832" s="69"/>
      <c r="D832" s="276"/>
      <c r="E832" s="277"/>
      <c r="F832" s="267" t="s">
        <v>64</v>
      </c>
      <c r="G832" s="267"/>
      <c r="H832" s="191"/>
      <c r="I832" s="91">
        <f t="shared" si="41"/>
        <v>0</v>
      </c>
      <c r="J832" s="267"/>
      <c r="K832" s="267"/>
      <c r="L832" s="133"/>
      <c r="M832" s="56" t="s">
        <v>51</v>
      </c>
    </row>
    <row r="833" spans="1:14" s="51" customFormat="1" ht="25.2" customHeight="1">
      <c r="A833" s="68">
        <f t="shared" si="39"/>
        <v>1</v>
      </c>
      <c r="B833" s="69"/>
      <c r="C833" s="69"/>
      <c r="D833" s="108">
        <f>IF(H833&gt;0,1,0)</f>
        <v>1</v>
      </c>
      <c r="E833" s="278"/>
      <c r="F833" s="279" t="s">
        <v>229</v>
      </c>
      <c r="G833" s="108" t="s">
        <v>67</v>
      </c>
      <c r="H833" s="280">
        <f>H822/3</f>
        <v>1</v>
      </c>
      <c r="I833" s="91">
        <f t="shared" si="41"/>
        <v>1</v>
      </c>
      <c r="J833" s="281"/>
      <c r="K833" s="281"/>
      <c r="L833" s="135"/>
      <c r="M833" s="56" t="s">
        <v>51</v>
      </c>
    </row>
    <row r="834" spans="1:14" s="51" customFormat="1" ht="25.2" customHeight="1">
      <c r="A834" s="68">
        <f>IF(A833&gt;0,1,0)</f>
        <v>1</v>
      </c>
      <c r="B834" s="69"/>
      <c r="C834" s="69"/>
      <c r="D834" s="111"/>
      <c r="E834" s="242"/>
      <c r="F834" s="243" t="s">
        <v>68</v>
      </c>
      <c r="G834" s="87"/>
      <c r="H834" s="145"/>
      <c r="I834" s="91">
        <f t="shared" si="41"/>
        <v>0</v>
      </c>
      <c r="J834" s="282"/>
      <c r="K834" s="282"/>
      <c r="L834" s="117"/>
      <c r="M834" s="56" t="s">
        <v>51</v>
      </c>
    </row>
    <row r="835" spans="1:14" s="51" customFormat="1" ht="25.2" customHeight="1">
      <c r="A835" s="68">
        <f t="shared" si="39"/>
        <v>1</v>
      </c>
      <c r="B835" s="86" t="s">
        <v>312</v>
      </c>
      <c r="C835" s="86"/>
      <c r="D835" s="111"/>
      <c r="E835" s="88" t="str">
        <f>VLOOKUP($B835,[1]DG!A:D,[1]DG!$B$2,)</f>
        <v>05.6100</v>
      </c>
      <c r="F835" s="89" t="str">
        <f>VLOOKUP($B835,[1]DG!A:D,[1]DG!$C$2,)</f>
        <v>Giá chùm treo máy biến áp 3x50</v>
      </c>
      <c r="G835" s="88" t="str">
        <f>VLOOKUP($B835,[1]DG!A:D,[1]DG!$D$2,)</f>
        <v>cái</v>
      </c>
      <c r="H835" s="145">
        <f>H833</f>
        <v>1</v>
      </c>
      <c r="I835" s="91">
        <f t="shared" si="41"/>
        <v>1</v>
      </c>
      <c r="J835" s="92"/>
      <c r="K835" s="92"/>
      <c r="L835" s="117"/>
      <c r="M835" s="56" t="s">
        <v>51</v>
      </c>
    </row>
    <row r="836" spans="1:14" s="51" customFormat="1" ht="25.2" customHeight="1">
      <c r="A836" s="68">
        <f t="shared" si="39"/>
        <v>1</v>
      </c>
      <c r="B836" s="69" t="s">
        <v>231</v>
      </c>
      <c r="C836" s="69"/>
      <c r="D836" s="111"/>
      <c r="E836" s="88">
        <f>VLOOKUP($B836,[1]DG!A:D,[1]DG!$B$2,)</f>
        <v>0</v>
      </c>
      <c r="F836" s="89" t="str">
        <f>VLOOKUP($B836,[1]DG!A:D,[1]DG!$C$2,)</f>
        <v>Boulon 16x50+ 2 long đền vuông D18-50x50x3/Zn</v>
      </c>
      <c r="G836" s="88" t="str">
        <f>VLOOKUP($B836,[1]DG!A:D,[1]DG!$D$2,)</f>
        <v>bộ</v>
      </c>
      <c r="H836" s="145">
        <f>6*H833</f>
        <v>6</v>
      </c>
      <c r="I836" s="91">
        <f t="shared" si="41"/>
        <v>6</v>
      </c>
      <c r="J836" s="92"/>
      <c r="K836" s="92"/>
      <c r="L836" s="117"/>
      <c r="M836" s="56" t="s">
        <v>51</v>
      </c>
    </row>
    <row r="837" spans="1:14" s="51" customFormat="1" ht="25.2" customHeight="1">
      <c r="A837" s="68">
        <f t="shared" si="39"/>
        <v>1</v>
      </c>
      <c r="B837" s="69" t="s">
        <v>65</v>
      </c>
      <c r="C837" s="69"/>
      <c r="D837" s="111"/>
      <c r="E837" s="88">
        <f>VLOOKUP($B837,[1]DG!A:D,[1]DG!$B$2,)</f>
        <v>0</v>
      </c>
      <c r="F837" s="89" t="str">
        <f>VLOOKUP($B837,[1]DG!A:D,[1]DG!$C$2,)</f>
        <v>Boulon 16x300+ 2 long đền vuông D18-50x50x3/Zn</v>
      </c>
      <c r="G837" s="88" t="str">
        <f>VLOOKUP($B837,[1]DG!A:D,[1]DG!$D$2,)</f>
        <v>bộ</v>
      </c>
      <c r="H837" s="145">
        <f>2*H833</f>
        <v>2</v>
      </c>
      <c r="I837" s="91">
        <f t="shared" si="41"/>
        <v>2</v>
      </c>
      <c r="J837" s="92"/>
      <c r="K837" s="92"/>
      <c r="L837" s="117"/>
      <c r="M837" s="56" t="s">
        <v>51</v>
      </c>
    </row>
    <row r="838" spans="1:14" s="51" customFormat="1" ht="25.2" hidden="1" customHeight="1">
      <c r="A838" s="68">
        <f t="shared" si="39"/>
        <v>0</v>
      </c>
      <c r="B838" s="69" t="s">
        <v>313</v>
      </c>
      <c r="C838" s="69"/>
      <c r="D838" s="111"/>
      <c r="E838" s="88" t="str">
        <f>VLOOKUP($B838,[1]DG!A:D,[1]DG!$B$2,)</f>
        <v>05.6100</v>
      </c>
      <c r="F838" s="89" t="str">
        <f>VLOOKUP($B838,[1]DG!A:D,[1]DG!$C$2,)</f>
        <v>Lắp giá treo máy biến áp</v>
      </c>
      <c r="G838" s="88" t="str">
        <f>VLOOKUP($B838,[1]DG!A:D,[1]DG!$D$2,)</f>
        <v>tấn</v>
      </c>
      <c r="H838" s="145"/>
      <c r="I838" s="91">
        <f t="shared" si="41"/>
        <v>0</v>
      </c>
      <c r="J838" s="92"/>
      <c r="K838" s="92"/>
      <c r="L838" s="117"/>
      <c r="M838" s="56" t="s">
        <v>51</v>
      </c>
    </row>
    <row r="839" spans="1:14" s="51" customFormat="1" ht="25.2" hidden="1" customHeight="1">
      <c r="A839" s="68">
        <f t="shared" si="39"/>
        <v>0</v>
      </c>
      <c r="B839" s="69"/>
      <c r="C839" s="69"/>
      <c r="D839" s="111">
        <f>IF(H839&gt;0,D833+1,D833)</f>
        <v>1</v>
      </c>
      <c r="E839" s="112"/>
      <c r="F839" s="113" t="s">
        <v>66</v>
      </c>
      <c r="G839" s="114" t="s">
        <v>67</v>
      </c>
      <c r="H839" s="110">
        <f>H833*0</f>
        <v>0</v>
      </c>
      <c r="I839" s="91">
        <f t="shared" si="41"/>
        <v>0</v>
      </c>
      <c r="J839" s="95"/>
      <c r="K839" s="95"/>
      <c r="L839" s="96"/>
      <c r="M839" s="56" t="s">
        <v>51</v>
      </c>
    </row>
    <row r="840" spans="1:14" s="51" customFormat="1" ht="25.2" hidden="1" customHeight="1">
      <c r="A840" s="68">
        <f>IF(A839&gt;0,1,0)</f>
        <v>0</v>
      </c>
      <c r="B840" s="69"/>
      <c r="C840" s="69"/>
      <c r="D840" s="114"/>
      <c r="E840" s="112"/>
      <c r="F840" s="115" t="s">
        <v>68</v>
      </c>
      <c r="G840" s="96"/>
      <c r="H840" s="94"/>
      <c r="I840" s="91">
        <f t="shared" si="41"/>
        <v>0</v>
      </c>
      <c r="J840" s="95"/>
      <c r="K840" s="95"/>
      <c r="L840" s="96"/>
      <c r="M840" s="56" t="s">
        <v>51</v>
      </c>
      <c r="N840" s="56"/>
    </row>
    <row r="841" spans="1:14" s="51" customFormat="1" ht="25.2" hidden="1" customHeight="1">
      <c r="A841" s="68">
        <f t="shared" si="39"/>
        <v>0</v>
      </c>
      <c r="B841" s="86" t="s">
        <v>69</v>
      </c>
      <c r="C841" s="86"/>
      <c r="D841" s="96"/>
      <c r="E841" s="88">
        <f>VLOOKUP($B841,[1]DG!A:D,[1]DG!$B$2,)</f>
        <v>0</v>
      </c>
      <c r="F841" s="89" t="str">
        <f>VLOOKUP($B841,[1]DG!A:D,[1]DG!$C$2,)</f>
        <v>Trụ BTLT 12m F350 dự ứng lực</v>
      </c>
      <c r="G841" s="88" t="str">
        <f>VLOOKUP($B841,[1]DG!A:D,[1]DG!$D$2,)</f>
        <v>trụ</v>
      </c>
      <c r="H841" s="94">
        <f>1*H839</f>
        <v>0</v>
      </c>
      <c r="I841" s="91">
        <f t="shared" si="41"/>
        <v>0</v>
      </c>
      <c r="J841" s="92"/>
      <c r="K841" s="92"/>
      <c r="L841" s="96"/>
      <c r="M841" s="56" t="s">
        <v>51</v>
      </c>
      <c r="N841" s="56"/>
    </row>
    <row r="842" spans="1:14" s="51" customFormat="1" ht="25.2" hidden="1" customHeight="1">
      <c r="A842" s="68">
        <f t="shared" si="39"/>
        <v>0</v>
      </c>
      <c r="B842" s="86" t="s">
        <v>70</v>
      </c>
      <c r="C842" s="86"/>
      <c r="D842" s="96"/>
      <c r="E842" s="116"/>
      <c r="F842" s="89" t="str">
        <f>VLOOKUP($B842,[1]DG!A:D,[1]DG!$C$2,)</f>
        <v>Vật liệu dựng trụ</v>
      </c>
      <c r="G842" s="88" t="str">
        <f>VLOOKUP($B842,[1]DG!A:D,[1]DG!$D$2,)</f>
        <v>trụ</v>
      </c>
      <c r="H842" s="94">
        <f>H841</f>
        <v>0</v>
      </c>
      <c r="I842" s="91">
        <f t="shared" si="41"/>
        <v>0</v>
      </c>
      <c r="J842" s="92"/>
      <c r="K842" s="92"/>
      <c r="L842" s="96"/>
      <c r="M842" s="56" t="s">
        <v>51</v>
      </c>
      <c r="N842" s="56"/>
    </row>
    <row r="843" spans="1:14" s="51" customFormat="1" ht="25.2" hidden="1" customHeight="1">
      <c r="A843" s="68">
        <f t="shared" si="39"/>
        <v>0</v>
      </c>
      <c r="B843" s="86" t="s">
        <v>71</v>
      </c>
      <c r="C843" s="86"/>
      <c r="D843" s="96"/>
      <c r="E843" s="116"/>
      <c r="F843" s="89" t="str">
        <f>VLOOKUP($B843,[1]DG!A:D,[1]DG!$C$2,)</f>
        <v>Dựng trụ BTLT 12m trong TBA bằng thủ công + cơ giới</v>
      </c>
      <c r="G843" s="88" t="str">
        <f>VLOOKUP($B843,[1]DG!A:D,[1]DG!$D$2,)</f>
        <v>trụ</v>
      </c>
      <c r="H843" s="94">
        <f>H841</f>
        <v>0</v>
      </c>
      <c r="I843" s="91">
        <f t="shared" si="41"/>
        <v>0</v>
      </c>
      <c r="J843" s="92"/>
      <c r="K843" s="92"/>
      <c r="L843" s="96"/>
      <c r="M843" s="56" t="s">
        <v>51</v>
      </c>
      <c r="N843" s="56"/>
    </row>
    <row r="844" spans="1:14" s="51" customFormat="1" ht="25.2" hidden="1" customHeight="1">
      <c r="A844" s="68">
        <f t="shared" si="39"/>
        <v>0</v>
      </c>
      <c r="B844" s="69"/>
      <c r="C844" s="69"/>
      <c r="D844" s="111">
        <f>IF(H844&gt;0,D839+1,D839)</f>
        <v>1</v>
      </c>
      <c r="E844" s="112"/>
      <c r="F844" s="113" t="s">
        <v>72</v>
      </c>
      <c r="G844" s="114" t="s">
        <v>67</v>
      </c>
      <c r="H844" s="110">
        <f>H839</f>
        <v>0</v>
      </c>
      <c r="I844" s="91">
        <f t="shared" si="41"/>
        <v>0</v>
      </c>
      <c r="J844" s="95"/>
      <c r="K844" s="95"/>
      <c r="L844" s="96"/>
      <c r="M844" s="56" t="s">
        <v>51</v>
      </c>
    </row>
    <row r="845" spans="1:14" s="51" customFormat="1" ht="25.2" hidden="1" customHeight="1">
      <c r="A845" s="68">
        <f>IF(A844&gt;0,1,0)</f>
        <v>0</v>
      </c>
      <c r="B845" s="69"/>
      <c r="C845" s="69"/>
      <c r="D845" s="114"/>
      <c r="E845" s="112"/>
      <c r="F845" s="115" t="s">
        <v>68</v>
      </c>
      <c r="G845" s="96"/>
      <c r="H845" s="94"/>
      <c r="I845" s="91">
        <f t="shared" si="41"/>
        <v>0</v>
      </c>
      <c r="J845" s="95"/>
      <c r="K845" s="95"/>
      <c r="L845" s="96"/>
      <c r="M845" s="56" t="s">
        <v>51</v>
      </c>
      <c r="N845" s="56"/>
    </row>
    <row r="846" spans="1:14" s="51" customFormat="1" ht="25.2" hidden="1" customHeight="1">
      <c r="A846" s="68">
        <f t="shared" si="39"/>
        <v>0</v>
      </c>
      <c r="B846" s="86" t="s">
        <v>73</v>
      </c>
      <c r="C846" s="86"/>
      <c r="D846" s="96"/>
      <c r="E846" s="88" t="str">
        <f>VLOOKUP($B846,[1]DG!A:D,[1]DG!$B$2,)</f>
        <v>04.4001</v>
      </c>
      <c r="F846" s="89" t="str">
        <f>VLOOKUP($B846,[1]DG!A:D,[1]DG!$C$2,)</f>
        <v>Đà cản BTCT 1,2m</v>
      </c>
      <c r="G846" s="88" t="str">
        <f>VLOOKUP($B846,[1]DG!A:D,[1]DG!$D$2,)</f>
        <v>cái</v>
      </c>
      <c r="H846" s="94">
        <f>1*H844</f>
        <v>0</v>
      </c>
      <c r="I846" s="91">
        <f t="shared" si="41"/>
        <v>0</v>
      </c>
      <c r="J846" s="92"/>
      <c r="K846" s="92"/>
      <c r="L846" s="96"/>
      <c r="M846" s="56" t="s">
        <v>51</v>
      </c>
      <c r="N846" s="56"/>
    </row>
    <row r="847" spans="1:14" s="51" customFormat="1" ht="25.2" hidden="1" customHeight="1">
      <c r="A847" s="68">
        <f t="shared" si="39"/>
        <v>0</v>
      </c>
      <c r="B847" s="86" t="s">
        <v>74</v>
      </c>
      <c r="C847" s="86"/>
      <c r="D847" s="96"/>
      <c r="E847" s="88">
        <f>VLOOKUP($B847,[1]DG!A:D,[1]DG!$B$2,)</f>
        <v>0</v>
      </c>
      <c r="F847" s="89" t="str">
        <f>VLOOKUP($B847,[1]DG!A:D,[1]DG!$C$2,)</f>
        <v>Boulon 22x650+ 2 long đền vuông D24-50x50x3/Zn</v>
      </c>
      <c r="G847" s="88" t="str">
        <f>VLOOKUP($B847,[1]DG!A:D,[1]DG!$D$2,)</f>
        <v>bộ</v>
      </c>
      <c r="H847" s="94">
        <f>H844</f>
        <v>0</v>
      </c>
      <c r="I847" s="91">
        <f t="shared" si="41"/>
        <v>0</v>
      </c>
      <c r="J847" s="92"/>
      <c r="K847" s="92"/>
      <c r="L847" s="96"/>
      <c r="M847" s="56" t="s">
        <v>51</v>
      </c>
      <c r="N847" s="56"/>
    </row>
    <row r="848" spans="1:14" s="51" customFormat="1" ht="25.2" hidden="1" customHeight="1">
      <c r="A848" s="68">
        <f t="shared" si="39"/>
        <v>0</v>
      </c>
      <c r="B848" s="86" t="str">
        <f>IF(chitiet!G5=1,"MDD1",IF(chitiet!G5=2,"MDD2",IF(chitiet!G5=3,"MDD3",IF(chitiet!G5=4,"MDD4"))))</f>
        <v>MDD3</v>
      </c>
      <c r="C848" s="86"/>
      <c r="D848" s="96"/>
      <c r="E848" s="88" t="str">
        <f>VLOOKUP($B848,[1]DG!A:D,[1]DG!$B$2,)</f>
        <v>03.1013</v>
      </c>
      <c r="F848" s="89" t="str">
        <f>VLOOKUP($B848,[1]DG!A:D,[1]DG!$C$2,)</f>
        <v>Đào hố móng đất cấp 3 sâu &gt;1m</v>
      </c>
      <c r="G848" s="88" t="str">
        <f>VLOOKUP($B848,[1]DG!A:D,[1]DG!$D$2,)</f>
        <v>m3</v>
      </c>
      <c r="H848" s="94">
        <f>H844*0.87</f>
        <v>0</v>
      </c>
      <c r="I848" s="91">
        <f t="shared" si="41"/>
        <v>0</v>
      </c>
      <c r="J848" s="92"/>
      <c r="K848" s="92"/>
      <c r="L848" s="96"/>
      <c r="M848" s="56" t="s">
        <v>51</v>
      </c>
      <c r="N848" s="56"/>
    </row>
    <row r="849" spans="1:14" s="51" customFormat="1" ht="25.2" hidden="1" customHeight="1">
      <c r="A849" s="68">
        <f t="shared" si="39"/>
        <v>0</v>
      </c>
      <c r="B849" s="86" t="str">
        <f>IF(chitiet!G5=1,"MDAP1",IF(chitiet!G5=2,"MDAP2",IF(chitiet!G5=3,"MDAP3",IF(chitiet!G5=4,"MDAP4"))))</f>
        <v>MDAP3</v>
      </c>
      <c r="C849" s="86"/>
      <c r="D849" s="96"/>
      <c r="E849" s="88" t="str">
        <f>VLOOKUP($B849,[1]DG!A:D,[1]DG!$B$2,)</f>
        <v>03.4113</v>
      </c>
      <c r="F849" s="89" t="str">
        <f>VLOOKUP($B849,[1]DG!A:D,[1]DG!$C$2,)</f>
        <v>Đắp đất hố móng, độ chặt k=0,95</v>
      </c>
      <c r="G849" s="88" t="str">
        <f>VLOOKUP($B849,[1]DG!A:D,[1]DG!$D$2,)</f>
        <v>m3</v>
      </c>
      <c r="H849" s="94">
        <f>H844*0.79</f>
        <v>0</v>
      </c>
      <c r="I849" s="91">
        <f t="shared" si="41"/>
        <v>0</v>
      </c>
      <c r="J849" s="92"/>
      <c r="K849" s="92"/>
      <c r="L849" s="96"/>
      <c r="M849" s="56" t="s">
        <v>51</v>
      </c>
      <c r="N849" s="56"/>
    </row>
    <row r="850" spans="1:14" s="51" customFormat="1" ht="25.2" customHeight="1">
      <c r="A850" s="68">
        <f t="shared" si="39"/>
        <v>1</v>
      </c>
      <c r="B850" s="69"/>
      <c r="C850" s="69"/>
      <c r="D850" s="114">
        <f>IF(H850&gt;0,D844+1,D844)</f>
        <v>2</v>
      </c>
      <c r="E850" s="178"/>
      <c r="F850" s="136" t="s">
        <v>260</v>
      </c>
      <c r="G850" s="114" t="s">
        <v>67</v>
      </c>
      <c r="H850" s="110">
        <f>H833</f>
        <v>1</v>
      </c>
      <c r="I850" s="91">
        <f t="shared" si="41"/>
        <v>1</v>
      </c>
      <c r="J850" s="95"/>
      <c r="K850" s="95"/>
      <c r="L850" s="117"/>
      <c r="M850" s="56" t="s">
        <v>51</v>
      </c>
    </row>
    <row r="851" spans="1:14" s="51" customFormat="1" ht="25.2" customHeight="1">
      <c r="A851" s="68">
        <f>IF(A850&gt;0,1,0)</f>
        <v>1</v>
      </c>
      <c r="B851" s="69"/>
      <c r="C851" s="69"/>
      <c r="D851" s="114"/>
      <c r="E851" s="178"/>
      <c r="F851" s="137" t="s">
        <v>68</v>
      </c>
      <c r="G851" s="96"/>
      <c r="H851" s="94"/>
      <c r="I851" s="91">
        <f t="shared" si="41"/>
        <v>0</v>
      </c>
      <c r="J851" s="95"/>
      <c r="K851" s="95"/>
      <c r="L851" s="117"/>
      <c r="M851" s="56" t="s">
        <v>51</v>
      </c>
    </row>
    <row r="852" spans="1:14" s="51" customFormat="1" ht="25.2" customHeight="1">
      <c r="A852" s="68">
        <f t="shared" si="39"/>
        <v>1</v>
      </c>
      <c r="B852" s="86" t="s">
        <v>314</v>
      </c>
      <c r="C852" s="86"/>
      <c r="D852" s="114"/>
      <c r="E852" s="88">
        <f>VLOOKUP($B852,[1]DG!A:D,[1]DG!$B$2,)</f>
        <v>0</v>
      </c>
      <c r="F852" s="89" t="str">
        <f>VLOOKUP($B852,[1]DG!A:D,[1]DG!$C$2,)</f>
        <v>Xà composite 110x800x5 dài 2,4m</v>
      </c>
      <c r="G852" s="88" t="str">
        <f>VLOOKUP($B852,[1]DG!A:D,[1]DG!$D$2,)</f>
        <v>cái</v>
      </c>
      <c r="H852" s="94">
        <v>1</v>
      </c>
      <c r="I852" s="91">
        <f t="shared" si="41"/>
        <v>1</v>
      </c>
      <c r="J852" s="92"/>
      <c r="K852" s="92"/>
      <c r="L852" s="117"/>
      <c r="M852" s="56" t="s">
        <v>51</v>
      </c>
    </row>
    <row r="853" spans="1:14" s="51" customFormat="1" ht="25.2" customHeight="1">
      <c r="A853" s="68">
        <f t="shared" si="39"/>
        <v>1</v>
      </c>
      <c r="B853" s="69" t="s">
        <v>262</v>
      </c>
      <c r="C853" s="69"/>
      <c r="D853" s="114"/>
      <c r="E853" s="88">
        <f>VLOOKUP($B853,[1]DG!A:D,[1]DG!$B$2,)</f>
        <v>0</v>
      </c>
      <c r="F853" s="89" t="str">
        <f>VLOOKUP($B853,[1]DG!A:D,[1]DG!$C$2,)</f>
        <v>Chống composite 40x10x920</v>
      </c>
      <c r="G853" s="88" t="str">
        <f>VLOOKUP($B853,[1]DG!A:D,[1]DG!$D$2,)</f>
        <v>cái</v>
      </c>
      <c r="H853" s="94">
        <v>2</v>
      </c>
      <c r="I853" s="91">
        <f t="shared" si="41"/>
        <v>2</v>
      </c>
      <c r="J853" s="92"/>
      <c r="K853" s="92"/>
      <c r="L853" s="117"/>
      <c r="M853" s="56" t="s">
        <v>51</v>
      </c>
    </row>
    <row r="854" spans="1:14" s="51" customFormat="1" ht="25.2" customHeight="1">
      <c r="A854" s="68">
        <f t="shared" si="39"/>
        <v>1</v>
      </c>
      <c r="B854" s="69" t="s">
        <v>263</v>
      </c>
      <c r="C854" s="69"/>
      <c r="D854" s="114"/>
      <c r="E854" s="88">
        <f>VLOOKUP($B854,[1]DG!A:D,[1]DG!$B$2,)</f>
        <v>0</v>
      </c>
      <c r="F854" s="89" t="str">
        <f>VLOOKUP($B854,[1]DG!A:D,[1]DG!$C$2,)</f>
        <v>Bass LL bắt FCO, LA</v>
      </c>
      <c r="G854" s="88" t="str">
        <f>VLOOKUP($B854,[1]DG!A:D,[1]DG!$D$2,)</f>
        <v>bộ</v>
      </c>
      <c r="H854" s="94">
        <f>H850*3</f>
        <v>3</v>
      </c>
      <c r="I854" s="91">
        <f t="shared" si="41"/>
        <v>3</v>
      </c>
      <c r="J854" s="92"/>
      <c r="K854" s="92"/>
      <c r="L854" s="117"/>
      <c r="M854" s="56" t="s">
        <v>51</v>
      </c>
    </row>
    <row r="855" spans="1:14" s="51" customFormat="1" ht="25.2" customHeight="1">
      <c r="A855" s="68">
        <f t="shared" si="39"/>
        <v>1</v>
      </c>
      <c r="B855" s="69" t="s">
        <v>287</v>
      </c>
      <c r="C855" s="69"/>
      <c r="D855" s="114"/>
      <c r="E855" s="88">
        <f>VLOOKUP($B855,[1]DG!A:D,[1]DG!$B$2,)</f>
        <v>0</v>
      </c>
      <c r="F855" s="89" t="str">
        <f>VLOOKUP($B855,[1]DG!A:D,[1]DG!$C$2,)</f>
        <v>Boulon 16x150+ 2 long đền vuông D18-50x50x3/Zn</v>
      </c>
      <c r="G855" s="88" t="str">
        <f>VLOOKUP($B855,[1]DG!A:D,[1]DG!$D$2,)</f>
        <v>bộ</v>
      </c>
      <c r="H855" s="94">
        <f>2*H850</f>
        <v>2</v>
      </c>
      <c r="I855" s="91">
        <f t="shared" si="41"/>
        <v>2</v>
      </c>
      <c r="J855" s="92"/>
      <c r="K855" s="92"/>
      <c r="L855" s="117"/>
      <c r="M855" s="56" t="s">
        <v>51</v>
      </c>
    </row>
    <row r="856" spans="1:14" s="51" customFormat="1" ht="25.2" customHeight="1">
      <c r="A856" s="68">
        <f t="shared" si="39"/>
        <v>1</v>
      </c>
      <c r="B856" s="69" t="s">
        <v>65</v>
      </c>
      <c r="C856" s="69"/>
      <c r="D856" s="114"/>
      <c r="E856" s="88">
        <f>VLOOKUP($B856,[1]DG!A:D,[1]DG!$B$2,)</f>
        <v>0</v>
      </c>
      <c r="F856" s="89" t="str">
        <f>VLOOKUP($B856,[1]DG!A:D,[1]DG!$C$2,)</f>
        <v>Boulon 16x300+ 2 long đền vuông D18-50x50x3/Zn</v>
      </c>
      <c r="G856" s="88" t="str">
        <f>VLOOKUP($B856,[1]DG!A:D,[1]DG!$D$2,)</f>
        <v>bộ</v>
      </c>
      <c r="H856" s="94">
        <v>1</v>
      </c>
      <c r="I856" s="91">
        <f t="shared" si="41"/>
        <v>1</v>
      </c>
      <c r="J856" s="92"/>
      <c r="K856" s="92"/>
      <c r="L856" s="117"/>
      <c r="M856" s="56" t="s">
        <v>51</v>
      </c>
    </row>
    <row r="857" spans="1:14" s="51" customFormat="1" ht="25.2" customHeight="1">
      <c r="A857" s="68">
        <f t="shared" si="39"/>
        <v>1</v>
      </c>
      <c r="B857" s="69" t="s">
        <v>265</v>
      </c>
      <c r="C857" s="69"/>
      <c r="D857" s="114"/>
      <c r="E857" s="88">
        <f>VLOOKUP($B857,[1]DG!A:D,[1]DG!$B$2,)</f>
        <v>0</v>
      </c>
      <c r="F857" s="89" t="str">
        <f>VLOOKUP($B857,[1]DG!A:D,[1]DG!$C$2,)</f>
        <v>Boulon 16x400+ 2 long đền vuông D18-50x50x3/Zn</v>
      </c>
      <c r="G857" s="88" t="str">
        <f>VLOOKUP($B857,[1]DG!A:D,[1]DG!$D$2,)</f>
        <v>bộ</v>
      </c>
      <c r="H857" s="94">
        <v>1</v>
      </c>
      <c r="I857" s="91">
        <f t="shared" si="41"/>
        <v>1</v>
      </c>
      <c r="J857" s="92"/>
      <c r="K857" s="92"/>
      <c r="L857" s="117"/>
      <c r="M857" s="56" t="s">
        <v>51</v>
      </c>
    </row>
    <row r="858" spans="1:14" s="51" customFormat="1" ht="25.2" customHeight="1">
      <c r="A858" s="68">
        <f t="shared" si="39"/>
        <v>1</v>
      </c>
      <c r="B858" s="69" t="s">
        <v>266</v>
      </c>
      <c r="C858" s="69"/>
      <c r="D858" s="114"/>
      <c r="E858" s="88" t="str">
        <f>VLOOKUP($B858,[1]DG!A:D,[1]DG!$B$2,)</f>
        <v>05.6102</v>
      </c>
      <c r="F858" s="89" t="str">
        <f>VLOOKUP($B858,[1]DG!A:D,[1]DG!$C$2,)</f>
        <v>Lắp xà đỡ ≤ 50kg</v>
      </c>
      <c r="G858" s="88" t="str">
        <f>VLOOKUP($B858,[1]DG!A:D,[1]DG!$D$2,)</f>
        <v>bộ</v>
      </c>
      <c r="H858" s="94">
        <f>H850</f>
        <v>1</v>
      </c>
      <c r="I858" s="91">
        <f t="shared" si="41"/>
        <v>1</v>
      </c>
      <c r="J858" s="92"/>
      <c r="K858" s="92"/>
      <c r="L858" s="117"/>
      <c r="M858" s="56" t="s">
        <v>51</v>
      </c>
    </row>
    <row r="859" spans="1:14" s="51" customFormat="1" ht="25.2" customHeight="1">
      <c r="A859" s="68">
        <f t="shared" si="39"/>
        <v>1</v>
      </c>
      <c r="B859" s="69"/>
      <c r="C859" s="69"/>
      <c r="D859" s="111">
        <f>IF(H859&gt;0,D850+1,D850)</f>
        <v>3</v>
      </c>
      <c r="E859" s="242"/>
      <c r="F859" s="283" t="s">
        <v>239</v>
      </c>
      <c r="G859" s="111" t="s">
        <v>67</v>
      </c>
      <c r="H859" s="244">
        <f>H833</f>
        <v>1</v>
      </c>
      <c r="I859" s="91">
        <f t="shared" si="41"/>
        <v>1</v>
      </c>
      <c r="J859" s="95"/>
      <c r="K859" s="95"/>
      <c r="L859" s="117"/>
      <c r="M859" s="56" t="s">
        <v>51</v>
      </c>
    </row>
    <row r="860" spans="1:14" s="51" customFormat="1" ht="25.2" customHeight="1">
      <c r="A860" s="68">
        <f>IF(A859&gt;0,1,0)</f>
        <v>1</v>
      </c>
      <c r="B860" s="69"/>
      <c r="C860" s="69"/>
      <c r="D860" s="111"/>
      <c r="E860" s="242"/>
      <c r="F860" s="243" t="s">
        <v>68</v>
      </c>
      <c r="G860" s="88"/>
      <c r="H860" s="145"/>
      <c r="I860" s="91">
        <f t="shared" si="41"/>
        <v>0</v>
      </c>
      <c r="J860" s="95"/>
      <c r="K860" s="95"/>
      <c r="L860" s="117"/>
      <c r="M860" s="56" t="s">
        <v>51</v>
      </c>
    </row>
    <row r="861" spans="1:14" s="51" customFormat="1" ht="25.2" customHeight="1">
      <c r="A861" s="68">
        <f t="shared" si="39"/>
        <v>1</v>
      </c>
      <c r="B861" s="69" t="s">
        <v>127</v>
      </c>
      <c r="C861" s="69"/>
      <c r="D861" s="96"/>
      <c r="E861" s="88">
        <f>VLOOKUP($B861,[1]DG!A:D,[1]DG!$B$2,)</f>
        <v>0</v>
      </c>
      <c r="F861" s="89" t="str">
        <f>VLOOKUP($B861,[1]DG!A:D,[1]DG!$C$2,)</f>
        <v>Cáp đồng trần M25mm2</v>
      </c>
      <c r="G861" s="88" t="str">
        <f>VLOOKUP($B861,[1]DG!A:D,[1]DG!$D$2,)</f>
        <v>kg</v>
      </c>
      <c r="H861" s="94">
        <v>11.9</v>
      </c>
      <c r="I861" s="91">
        <f t="shared" si="41"/>
        <v>11.9</v>
      </c>
      <c r="J861" s="92"/>
      <c r="K861" s="92"/>
      <c r="L861" s="117"/>
      <c r="M861" s="56" t="s">
        <v>51</v>
      </c>
    </row>
    <row r="862" spans="1:14" s="51" customFormat="1" ht="25.2" customHeight="1">
      <c r="A862" s="68">
        <f t="shared" si="39"/>
        <v>1</v>
      </c>
      <c r="B862" s="69" t="s">
        <v>315</v>
      </c>
      <c r="C862" s="69"/>
      <c r="D862" s="96"/>
      <c r="E862" s="88" t="str">
        <f>VLOOKUP($B862,[1]DG!A:D,[1]DG!$B$2,)</f>
        <v>04.4201</v>
      </c>
      <c r="F862" s="89" t="str">
        <f>VLOOKUP($B862,[1]DG!A:D,[1]DG!$C$2,)</f>
        <v>Cáp đồng bọc CV11</v>
      </c>
      <c r="G862" s="88" t="str">
        <f>VLOOKUP($B862,[1]DG!A:D,[1]DG!$D$2,)</f>
        <v>mét</v>
      </c>
      <c r="H862" s="94">
        <v>2</v>
      </c>
      <c r="I862" s="91">
        <f t="shared" si="41"/>
        <v>2</v>
      </c>
      <c r="J862" s="92"/>
      <c r="K862" s="92"/>
      <c r="L862" s="117"/>
      <c r="M862" s="56" t="s">
        <v>51</v>
      </c>
    </row>
    <row r="863" spans="1:14" s="51" customFormat="1" ht="25.2" customHeight="1">
      <c r="A863" s="68">
        <f t="shared" si="39"/>
        <v>1</v>
      </c>
      <c r="B863" s="86" t="s">
        <v>82</v>
      </c>
      <c r="C863" s="86"/>
      <c r="D863" s="96"/>
      <c r="E863" s="88">
        <f>VLOOKUP($B863,[1]DG!A:D,[1]DG!$B$2,)</f>
        <v>0</v>
      </c>
      <c r="F863" s="89" t="str">
        <f>VLOOKUP($B863,[1]DG!A:D,[1]DG!$C$2,)</f>
        <v>Cọc tiếp đất Þ 16- 2,4m + kẹp cọc mạ đồng</v>
      </c>
      <c r="G863" s="88" t="str">
        <f>VLOOKUP($B863,[1]DG!A:D,[1]DG!$D$2,)</f>
        <v>bộ</v>
      </c>
      <c r="H863" s="94">
        <v>10</v>
      </c>
      <c r="I863" s="91">
        <f t="shared" si="41"/>
        <v>10</v>
      </c>
      <c r="J863" s="92"/>
      <c r="K863" s="92"/>
      <c r="L863" s="117"/>
      <c r="M863" s="56" t="s">
        <v>51</v>
      </c>
    </row>
    <row r="864" spans="1:14" s="51" customFormat="1" ht="25.2" hidden="1" customHeight="1">
      <c r="A864" s="68">
        <f t="shared" si="39"/>
        <v>0</v>
      </c>
      <c r="B864" s="86" t="s">
        <v>181</v>
      </c>
      <c r="C864" s="86"/>
      <c r="D864" s="96"/>
      <c r="E864" s="88">
        <f>VLOOKUP($B864,[1]DG!A:D,[1]DG!$B$2,)</f>
        <v>0</v>
      </c>
      <c r="F864" s="89" t="str">
        <f>VLOOKUP($B864,[1]DG!A:D,[1]DG!$C$2,)</f>
        <v>Sắt Ø10</v>
      </c>
      <c r="G864" s="88" t="str">
        <f>VLOOKUP($B864,[1]DG!A:D,[1]DG!$D$2,)</f>
        <v>kg</v>
      </c>
      <c r="H864" s="94"/>
      <c r="I864" s="91">
        <f t="shared" si="41"/>
        <v>0</v>
      </c>
      <c r="J864" s="92"/>
      <c r="K864" s="92"/>
      <c r="L864" s="117"/>
      <c r="M864" s="56" t="s">
        <v>51</v>
      </c>
    </row>
    <row r="865" spans="1:13" s="51" customFormat="1" ht="25.2" hidden="1" customHeight="1">
      <c r="A865" s="68">
        <f t="shared" ref="A865:A958" si="42">IF(I865&gt;0,1,0)</f>
        <v>0</v>
      </c>
      <c r="B865" s="86" t="s">
        <v>316</v>
      </c>
      <c r="C865" s="86"/>
      <c r="D865" s="96"/>
      <c r="E865" s="88">
        <f>VLOOKUP($B865,[1]DG!A:D,[1]DG!$B$2,)</f>
        <v>0</v>
      </c>
      <c r="F865" s="89" t="str">
        <f>VLOOKUP($B865,[1]DG!A:D,[1]DG!$C$2,)</f>
        <v>Bake D16 - 200x200</v>
      </c>
      <c r="G865" s="88" t="str">
        <f>VLOOKUP($B865,[1]DG!A:D,[1]DG!$D$2,)</f>
        <v>cái</v>
      </c>
      <c r="H865" s="94"/>
      <c r="I865" s="91">
        <f t="shared" si="41"/>
        <v>0</v>
      </c>
      <c r="J865" s="92"/>
      <c r="K865" s="92"/>
      <c r="L865" s="117"/>
      <c r="M865" s="56" t="s">
        <v>51</v>
      </c>
    </row>
    <row r="866" spans="1:13" s="51" customFormat="1" ht="25.2" customHeight="1">
      <c r="A866" s="68">
        <f t="shared" si="42"/>
        <v>1</v>
      </c>
      <c r="B866" s="69" t="s">
        <v>289</v>
      </c>
      <c r="C866" s="69"/>
      <c r="D866" s="96"/>
      <c r="E866" s="88" t="str">
        <f>VLOOKUP($B866,[1]DG!A:D,[1]DG!$B$2,)</f>
        <v>04.3107</v>
      </c>
      <c r="F866" s="89" t="str">
        <f>VLOOKUP($B866,[1]DG!A:D,[1]DG!$C$2,)</f>
        <v>Ốc siết cáp cỡ 25mm2</v>
      </c>
      <c r="G866" s="88" t="str">
        <f>VLOOKUP($B866,[1]DG!A:D,[1]DG!$D$2,)</f>
        <v>cái</v>
      </c>
      <c r="H866" s="94">
        <v>6</v>
      </c>
      <c r="I866" s="91">
        <f t="shared" si="41"/>
        <v>6</v>
      </c>
      <c r="J866" s="92"/>
      <c r="K866" s="92"/>
      <c r="L866" s="117"/>
      <c r="M866" s="56" t="s">
        <v>51</v>
      </c>
    </row>
    <row r="867" spans="1:13" s="51" customFormat="1" ht="25.2" customHeight="1">
      <c r="A867" s="68">
        <f t="shared" si="42"/>
        <v>1</v>
      </c>
      <c r="B867" s="69" t="s">
        <v>185</v>
      </c>
      <c r="C867" s="69"/>
      <c r="D867" s="96"/>
      <c r="E867" s="88">
        <f>VLOOKUP($B867,[1]DG!A:D,[1]DG!$B$2,)</f>
        <v>0</v>
      </c>
      <c r="F867" s="89" t="str">
        <f>VLOOKUP($B867,[1]DG!A:D,[1]DG!$C$2,)</f>
        <v>Kẹp ép cỡ dây 25mm2</v>
      </c>
      <c r="G867" s="88" t="str">
        <f>VLOOKUP($B867,[1]DG!A:D,[1]DG!$D$2,)</f>
        <v>cái</v>
      </c>
      <c r="H867" s="94">
        <v>2</v>
      </c>
      <c r="I867" s="91">
        <f t="shared" si="41"/>
        <v>2</v>
      </c>
      <c r="J867" s="92"/>
      <c r="K867" s="92"/>
      <c r="L867" s="117"/>
      <c r="M867" s="56" t="s">
        <v>51</v>
      </c>
    </row>
    <row r="868" spans="1:13" s="51" customFormat="1" ht="25.2" hidden="1" customHeight="1">
      <c r="A868" s="68">
        <f t="shared" si="42"/>
        <v>0</v>
      </c>
      <c r="B868" s="69" t="s">
        <v>187</v>
      </c>
      <c r="C868" s="69"/>
      <c r="D868" s="96"/>
      <c r="E868" s="88" t="str">
        <f>VLOOKUP($B868,[1]DG!A:D,[1]DG!$B$2,)</f>
        <v>03.4002</v>
      </c>
      <c r="F868" s="89" t="str">
        <f>VLOOKUP($B868,[1]DG!A:D,[1]DG!$C$2,)</f>
        <v>Đầu cosse ép Cu 35mm2</v>
      </c>
      <c r="G868" s="88" t="str">
        <f>VLOOKUP($B868,[1]DG!A:D,[1]DG!$D$2,)</f>
        <v>cái</v>
      </c>
      <c r="H868" s="94"/>
      <c r="I868" s="91">
        <f t="shared" si="41"/>
        <v>0</v>
      </c>
      <c r="J868" s="92"/>
      <c r="K868" s="92"/>
      <c r="L868" s="117"/>
      <c r="M868" s="56" t="s">
        <v>51</v>
      </c>
    </row>
    <row r="869" spans="1:13" s="51" customFormat="1" ht="25.2" hidden="1" customHeight="1">
      <c r="A869" s="68">
        <f t="shared" si="42"/>
        <v>0</v>
      </c>
      <c r="B869" s="69" t="s">
        <v>188</v>
      </c>
      <c r="C869" s="69"/>
      <c r="D869" s="96"/>
      <c r="E869" s="88" t="str">
        <f>VLOOKUP($B869,[1]DG!A:D,[1]DG!$B$2,)</f>
        <v>03.4003</v>
      </c>
      <c r="F869" s="89" t="str">
        <f>VLOOKUP($B869,[1]DG!A:D,[1]DG!$C$2,)</f>
        <v>Đầu cosse ép Cu 70mm2</v>
      </c>
      <c r="G869" s="88" t="str">
        <f>VLOOKUP($B869,[1]DG!A:D,[1]DG!$D$2,)</f>
        <v>cái</v>
      </c>
      <c r="H869" s="94"/>
      <c r="I869" s="91">
        <f t="shared" si="41"/>
        <v>0</v>
      </c>
      <c r="J869" s="92"/>
      <c r="K869" s="92"/>
      <c r="L869" s="117"/>
      <c r="M869" s="56" t="s">
        <v>51</v>
      </c>
    </row>
    <row r="870" spans="1:13" s="51" customFormat="1" ht="25.2" hidden="1" customHeight="1">
      <c r="A870" s="68">
        <f t="shared" si="42"/>
        <v>0</v>
      </c>
      <c r="B870" s="86" t="s">
        <v>189</v>
      </c>
      <c r="C870" s="86"/>
      <c r="D870" s="96"/>
      <c r="E870" s="88" t="str">
        <f>VLOOKUP($B870,[1]DG!A:D,[1]DG!$B$2,)</f>
        <v>06.3231</v>
      </c>
      <c r="F870" s="89" t="str">
        <f>VLOOKUP($B870,[1]DG!A:D,[1]DG!$C$2,)</f>
        <v>Cổ dê kẹp sắt Ø 10</v>
      </c>
      <c r="G870" s="88" t="str">
        <f>VLOOKUP($B870,[1]DG!A:D,[1]DG!$D$2,)</f>
        <v>bộ</v>
      </c>
      <c r="H870" s="94"/>
      <c r="I870" s="91">
        <f t="shared" si="41"/>
        <v>0</v>
      </c>
      <c r="J870" s="92"/>
      <c r="K870" s="92"/>
      <c r="L870" s="117"/>
      <c r="M870" s="56" t="s">
        <v>51</v>
      </c>
    </row>
    <row r="871" spans="1:13" s="51" customFormat="1" ht="25.2" hidden="1" customHeight="1">
      <c r="A871" s="68">
        <f t="shared" si="42"/>
        <v>0</v>
      </c>
      <c r="B871" s="86" t="s">
        <v>157</v>
      </c>
      <c r="C871" s="86"/>
      <c r="D871" s="96"/>
      <c r="E871" s="88">
        <f>VLOOKUP($B871,[1]DG!A:D,[1]DG!$B$2,)</f>
        <v>0</v>
      </c>
      <c r="F871" s="89" t="s">
        <v>158</v>
      </c>
      <c r="G871" s="88" t="str">
        <f>VLOOKUP($B871,[1]DG!A:D,[1]DG!$D$2,)</f>
        <v>bộ</v>
      </c>
      <c r="H871" s="94"/>
      <c r="I871" s="91">
        <f t="shared" si="41"/>
        <v>0</v>
      </c>
      <c r="J871" s="92"/>
      <c r="K871" s="92"/>
      <c r="L871" s="117"/>
      <c r="M871" s="56" t="s">
        <v>51</v>
      </c>
    </row>
    <row r="872" spans="1:13" s="51" customFormat="1" ht="25.2" customHeight="1">
      <c r="A872" s="68">
        <f t="shared" si="42"/>
        <v>1</v>
      </c>
      <c r="B872" s="69" t="s">
        <v>90</v>
      </c>
      <c r="C872" s="69"/>
      <c r="D872" s="96"/>
      <c r="E872" s="88" t="str">
        <f>VLOOKUP($B872,[1]DG!A:D,[1]DG!$B$2,)</f>
        <v>04.7002</v>
      </c>
      <c r="F872" s="89" t="str">
        <f>VLOOKUP($B872,[1]DG!A:D,[1]DG!$C$2,)</f>
        <v>Kéo dây tiếp địa trong TBA</v>
      </c>
      <c r="G872" s="88" t="str">
        <f>VLOOKUP($B872,[1]DG!A:D,[1]DG!$D$2,)</f>
        <v>mét</v>
      </c>
      <c r="H872" s="94">
        <v>53</v>
      </c>
      <c r="I872" s="91">
        <f t="shared" si="41"/>
        <v>53</v>
      </c>
      <c r="J872" s="92"/>
      <c r="K872" s="92"/>
      <c r="L872" s="117"/>
      <c r="M872" s="56" t="s">
        <v>51</v>
      </c>
    </row>
    <row r="873" spans="1:13" s="51" customFormat="1" ht="25.2" customHeight="1">
      <c r="A873" s="68">
        <f t="shared" si="42"/>
        <v>1</v>
      </c>
      <c r="B873" s="86" t="s">
        <v>89</v>
      </c>
      <c r="C873" s="86"/>
      <c r="D873" s="96"/>
      <c r="E873" s="88" t="str">
        <f>VLOOKUP($B873,[1]DG!A:D,[1]DG!$B$2,)</f>
        <v>04.7001</v>
      </c>
      <c r="F873" s="89" t="str">
        <f>VLOOKUP($B873,[1]DG!A:D,[1]DG!$C$2,)</f>
        <v>Đóng cọc tiếp địa trong TBA</v>
      </c>
      <c r="G873" s="88" t="str">
        <f>VLOOKUP($B873,[1]DG!A:D,[1]DG!$D$2,)</f>
        <v>cọc</v>
      </c>
      <c r="H873" s="94">
        <f>H863</f>
        <v>10</v>
      </c>
      <c r="I873" s="91">
        <f t="shared" si="41"/>
        <v>10</v>
      </c>
      <c r="J873" s="92"/>
      <c r="K873" s="92"/>
      <c r="L873" s="117"/>
      <c r="M873" s="56" t="s">
        <v>51</v>
      </c>
    </row>
    <row r="874" spans="1:13" s="51" customFormat="1" ht="25.2" customHeight="1">
      <c r="A874" s="68">
        <f t="shared" si="42"/>
        <v>1</v>
      </c>
      <c r="B874" s="69" t="str">
        <f>"dtd"&amp;chitiet!G5</f>
        <v>dtd3</v>
      </c>
      <c r="C874" s="69"/>
      <c r="D874" s="96"/>
      <c r="E874" s="88" t="str">
        <f>VLOOKUP($B874,[1]DG!A:D,[1]DG!$B$2,)</f>
        <v>03.3123</v>
      </c>
      <c r="F874" s="89" t="str">
        <f>VLOOKUP($B874,[1]DG!A:D,[1]DG!$C$2,)</f>
        <v>Đào rãnh tiếp địa đất cấp 3</v>
      </c>
      <c r="G874" s="88" t="str">
        <f>VLOOKUP($B874,[1]DG!A:D,[1]DG!$D$2,)</f>
        <v>m3</v>
      </c>
      <c r="H874" s="94">
        <v>4.0999999999999996</v>
      </c>
      <c r="I874" s="91">
        <f t="shared" si="41"/>
        <v>4.0999999999999996</v>
      </c>
      <c r="J874" s="92"/>
      <c r="K874" s="92"/>
      <c r="L874" s="117"/>
      <c r="M874" s="56" t="s">
        <v>51</v>
      </c>
    </row>
    <row r="875" spans="1:13" s="51" customFormat="1" ht="25.2" customHeight="1">
      <c r="A875" s="68">
        <f t="shared" si="42"/>
        <v>1</v>
      </c>
      <c r="B875" s="86" t="str">
        <f>"datd"&amp;chitiet!G5</f>
        <v>datd3</v>
      </c>
      <c r="C875" s="86"/>
      <c r="D875" s="96"/>
      <c r="E875" s="88" t="str">
        <f>VLOOKUP($B875,[1]DG!A:D,[1]DG!$B$2,)</f>
        <v>03.4123</v>
      </c>
      <c r="F875" s="89" t="str">
        <f>VLOOKUP($B875,[1]DG!A:D,[1]DG!$C$2,)</f>
        <v>Đắp đất rãnh tiếp độ chặt k=0,85</v>
      </c>
      <c r="G875" s="88" t="str">
        <f>VLOOKUP($B875,[1]DG!A:D,[1]DG!$D$2,)</f>
        <v>m3</v>
      </c>
      <c r="H875" s="94">
        <f>H874</f>
        <v>4.0999999999999996</v>
      </c>
      <c r="I875" s="91">
        <f t="shared" si="41"/>
        <v>4.0999999999999996</v>
      </c>
      <c r="J875" s="92"/>
      <c r="K875" s="92"/>
      <c r="L875" s="117"/>
      <c r="M875" s="56" t="s">
        <v>51</v>
      </c>
    </row>
    <row r="876" spans="1:13" s="51" customFormat="1" ht="25.2" customHeight="1">
      <c r="A876" s="68">
        <f t="shared" si="42"/>
        <v>1</v>
      </c>
      <c r="B876" s="69"/>
      <c r="C876" s="69"/>
      <c r="D876" s="283">
        <f>IF(H876&gt;0,D859+1,D859)</f>
        <v>4</v>
      </c>
      <c r="E876" s="284"/>
      <c r="F876" s="285" t="s">
        <v>268</v>
      </c>
      <c r="G876" s="111" t="s">
        <v>67</v>
      </c>
      <c r="H876" s="244">
        <f>H833</f>
        <v>1</v>
      </c>
      <c r="I876" s="91">
        <f t="shared" si="41"/>
        <v>1</v>
      </c>
      <c r="J876" s="286"/>
      <c r="K876" s="286"/>
      <c r="L876" s="117"/>
      <c r="M876" s="56" t="s">
        <v>51</v>
      </c>
    </row>
    <row r="877" spans="1:13" s="51" customFormat="1" ht="25.2" customHeight="1">
      <c r="A877" s="68">
        <f>IF(A876&gt;0,1,0)</f>
        <v>1</v>
      </c>
      <c r="B877" s="69"/>
      <c r="C877" s="69"/>
      <c r="D877" s="111"/>
      <c r="E877" s="242"/>
      <c r="F877" s="243" t="s">
        <v>68</v>
      </c>
      <c r="G877" s="88"/>
      <c r="H877" s="145"/>
      <c r="I877" s="91">
        <f t="shared" si="41"/>
        <v>0</v>
      </c>
      <c r="J877" s="95"/>
      <c r="K877" s="95"/>
      <c r="L877" s="117"/>
      <c r="M877" s="56" t="s">
        <v>51</v>
      </c>
    </row>
    <row r="878" spans="1:13" s="51" customFormat="1" ht="25.2" customHeight="1">
      <c r="A878" s="68">
        <f t="shared" si="42"/>
        <v>1</v>
      </c>
      <c r="B878" s="287" t="s">
        <v>269</v>
      </c>
      <c r="C878" s="287"/>
      <c r="D878" s="288"/>
      <c r="E878" s="88" t="str">
        <f>VLOOKUP($B878,[1]DG!A:D,[1]DG!$B$2,)</f>
        <v>05.1102</v>
      </c>
      <c r="F878" s="89" t="str">
        <f>VLOOKUP($B878,[1]DG!A:D,[1]DG!$C$2,)</f>
        <v>Vỏ tủ + khóa tủ</v>
      </c>
      <c r="G878" s="88" t="str">
        <f>VLOOKUP($B878,[1]DG!A:D,[1]DG!$D$2,)</f>
        <v>cái</v>
      </c>
      <c r="H878" s="145">
        <f>H876</f>
        <v>1</v>
      </c>
      <c r="I878" s="91">
        <f t="shared" si="41"/>
        <v>1</v>
      </c>
      <c r="J878" s="92"/>
      <c r="K878" s="92"/>
      <c r="L878" s="117"/>
      <c r="M878" s="56" t="s">
        <v>51</v>
      </c>
    </row>
    <row r="879" spans="1:13" s="51" customFormat="1" ht="25.2" customHeight="1">
      <c r="A879" s="68">
        <f t="shared" si="42"/>
        <v>1</v>
      </c>
      <c r="B879" s="69" t="s">
        <v>317</v>
      </c>
      <c r="C879" s="69"/>
      <c r="D879" s="87"/>
      <c r="E879" s="88" t="str">
        <f>VLOOKUP($B879,[1]DG!A:D,[1]DG!$B$2,)</f>
        <v>06.3231</v>
      </c>
      <c r="F879" s="89" t="str">
        <f>VLOOKUP($B879,[1]DG!A:D,[1]DG!$C$2,)</f>
        <v>Cổ dê CDĐKĐT( bắt thùng điện kế)</v>
      </c>
      <c r="G879" s="88" t="str">
        <f>VLOOKUP($B879,[1]DG!A:D,[1]DG!$D$2,)</f>
        <v>bộ</v>
      </c>
      <c r="H879" s="145">
        <f>2*H876</f>
        <v>2</v>
      </c>
      <c r="I879" s="91">
        <f t="shared" si="41"/>
        <v>2</v>
      </c>
      <c r="J879" s="92"/>
      <c r="K879" s="92"/>
      <c r="L879" s="117"/>
      <c r="M879" s="56" t="s">
        <v>51</v>
      </c>
    </row>
    <row r="880" spans="1:13" s="51" customFormat="1" ht="25.2" customHeight="1">
      <c r="A880" s="68">
        <f t="shared" si="42"/>
        <v>1</v>
      </c>
      <c r="B880" s="69" t="s">
        <v>96</v>
      </c>
      <c r="C880" s="69"/>
      <c r="D880" s="87"/>
      <c r="E880" s="289"/>
      <c r="F880" s="89" t="str">
        <f>VLOOKUP($B880,[1]DG!A:D,[1]DG!$C$2,)</f>
        <v xml:space="preserve">Bakelit 550x450 dầy 10mm </v>
      </c>
      <c r="G880" s="88" t="str">
        <f>VLOOKUP($B880,[1]DG!A:D,[1]DG!$D$2,)</f>
        <v>cái</v>
      </c>
      <c r="H880" s="145">
        <f>H876</f>
        <v>1</v>
      </c>
      <c r="I880" s="91">
        <f t="shared" si="41"/>
        <v>1</v>
      </c>
      <c r="J880" s="92"/>
      <c r="K880" s="92"/>
      <c r="L880" s="117"/>
      <c r="M880" s="56" t="s">
        <v>51</v>
      </c>
    </row>
    <row r="881" spans="1:13" s="51" customFormat="1" ht="25.2" customHeight="1">
      <c r="A881" s="68">
        <f t="shared" si="42"/>
        <v>1</v>
      </c>
      <c r="B881" s="69"/>
      <c r="C881" s="69"/>
      <c r="D881" s="111">
        <f>IF(H881&gt;0,D876+1,D876)</f>
        <v>5</v>
      </c>
      <c r="E881" s="242"/>
      <c r="F881" s="283" t="s">
        <v>270</v>
      </c>
      <c r="G881" s="111" t="s">
        <v>67</v>
      </c>
      <c r="H881" s="244">
        <f>H833</f>
        <v>1</v>
      </c>
      <c r="I881" s="91">
        <f t="shared" si="41"/>
        <v>1</v>
      </c>
      <c r="J881" s="95"/>
      <c r="K881" s="95"/>
      <c r="L881" s="117"/>
      <c r="M881" s="56" t="s">
        <v>51</v>
      </c>
    </row>
    <row r="882" spans="1:13" s="51" customFormat="1" ht="25.2" customHeight="1">
      <c r="A882" s="68">
        <f>IF(A881&gt;0,1,0)</f>
        <v>1</v>
      </c>
      <c r="B882" s="69"/>
      <c r="C882" s="69"/>
      <c r="D882" s="111"/>
      <c r="E882" s="242"/>
      <c r="F882" s="243" t="s">
        <v>68</v>
      </c>
      <c r="G882" s="88"/>
      <c r="H882" s="145"/>
      <c r="I882" s="91">
        <f t="shared" si="41"/>
        <v>0</v>
      </c>
      <c r="J882" s="95"/>
      <c r="K882" s="95"/>
      <c r="L882" s="117"/>
      <c r="M882" s="56" t="s">
        <v>51</v>
      </c>
    </row>
    <row r="883" spans="1:13" s="51" customFormat="1" ht="25.2" customHeight="1">
      <c r="A883" s="68">
        <f t="shared" si="42"/>
        <v>1</v>
      </c>
      <c r="B883" s="86" t="s">
        <v>98</v>
      </c>
      <c r="C883" s="86"/>
      <c r="D883" s="87"/>
      <c r="E883" s="88">
        <f>VLOOKUP($B883,[1]DG!A:D,[1]DG!$B$2,)</f>
        <v>0</v>
      </c>
      <c r="F883" s="89" t="str">
        <f>VLOOKUP($B883,[1]DG!A:D,[1]DG!$C$2,)</f>
        <v>Cáp 24KV CX-25mm2</v>
      </c>
      <c r="G883" s="88" t="str">
        <f>VLOOKUP($B883,[1]DG!A:D,[1]DG!$D$2,)</f>
        <v>mét</v>
      </c>
      <c r="H883" s="145">
        <v>12</v>
      </c>
      <c r="I883" s="91">
        <f t="shared" si="41"/>
        <v>12</v>
      </c>
      <c r="J883" s="92"/>
      <c r="K883" s="92"/>
      <c r="L883" s="117"/>
      <c r="M883" s="56" t="s">
        <v>51</v>
      </c>
    </row>
    <row r="884" spans="1:13" s="51" customFormat="1" ht="25.2" customHeight="1">
      <c r="A884" s="68">
        <f t="shared" si="42"/>
        <v>1</v>
      </c>
      <c r="B884" s="86" t="s">
        <v>99</v>
      </c>
      <c r="C884" s="86"/>
      <c r="D884" s="87"/>
      <c r="E884" s="88" t="str">
        <f>VLOOKUP($B884,[1]DG!A:D,[1]DG!$B$2,)</f>
        <v>04.3007</v>
      </c>
      <c r="F884" s="89" t="str">
        <f>VLOOKUP($B884,[1]DG!A:D,[1]DG!$C$2,)</f>
        <v>Kẹp quai 2/0</v>
      </c>
      <c r="G884" s="88" t="str">
        <f>VLOOKUP($B884,[1]DG!A:D,[1]DG!$D$2,)</f>
        <v>cái</v>
      </c>
      <c r="H884" s="145">
        <f>3*H881</f>
        <v>3</v>
      </c>
      <c r="I884" s="91">
        <f t="shared" si="41"/>
        <v>3</v>
      </c>
      <c r="J884" s="92"/>
      <c r="K884" s="92"/>
      <c r="L884" s="117"/>
      <c r="M884" s="56" t="s">
        <v>51</v>
      </c>
    </row>
    <row r="885" spans="1:13" s="51" customFormat="1" ht="25.2" customHeight="1">
      <c r="A885" s="68">
        <f t="shared" si="42"/>
        <v>1</v>
      </c>
      <c r="B885" s="86" t="s">
        <v>100</v>
      </c>
      <c r="C885" s="86"/>
      <c r="D885" s="87"/>
      <c r="E885" s="88" t="str">
        <f>VLOOKUP($B885,[1]DG!A:D,[1]DG!$B$2,)</f>
        <v>04.3007</v>
      </c>
      <c r="F885" s="89" t="str">
        <f>VLOOKUP($B885,[1]DG!A:D,[1]DG!$C$2,)</f>
        <v>Kẹp hotline 2/0</v>
      </c>
      <c r="G885" s="88" t="str">
        <f>VLOOKUP($B885,[1]DG!A:D,[1]DG!$D$2,)</f>
        <v>cái</v>
      </c>
      <c r="H885" s="145">
        <f>3*H880</f>
        <v>3</v>
      </c>
      <c r="I885" s="91">
        <f t="shared" si="41"/>
        <v>3</v>
      </c>
      <c r="J885" s="92"/>
      <c r="K885" s="92"/>
      <c r="L885" s="117"/>
      <c r="M885" s="56" t="s">
        <v>51</v>
      </c>
    </row>
    <row r="886" spans="1:13" s="51" customFormat="1" ht="25.2" customHeight="1">
      <c r="A886" s="68">
        <f t="shared" si="42"/>
        <v>1</v>
      </c>
      <c r="B886" s="86" t="s">
        <v>263</v>
      </c>
      <c r="C886" s="86"/>
      <c r="D886" s="87"/>
      <c r="E886" s="88">
        <f>VLOOKUP($B886,[1]DG!A:D,[1]DG!$B$2,)</f>
        <v>0</v>
      </c>
      <c r="F886" s="89" t="str">
        <f>VLOOKUP($B886,[1]DG!A:D,[1]DG!$C$2,)</f>
        <v>Bass LL bắt FCO, LA</v>
      </c>
      <c r="G886" s="88" t="str">
        <f>VLOOKUP($B886,[1]DG!A:D,[1]DG!$D$2,)</f>
        <v>bộ</v>
      </c>
      <c r="H886" s="145">
        <f>3*H881</f>
        <v>3</v>
      </c>
      <c r="I886" s="91">
        <f t="shared" si="41"/>
        <v>3</v>
      </c>
      <c r="J886" s="92"/>
      <c r="K886" s="92"/>
      <c r="L886" s="117"/>
      <c r="M886" s="56" t="s">
        <v>51</v>
      </c>
    </row>
    <row r="887" spans="1:13" s="51" customFormat="1" ht="25.2" customHeight="1">
      <c r="A887" s="68">
        <f t="shared" si="42"/>
        <v>1</v>
      </c>
      <c r="B887" s="86" t="s">
        <v>191</v>
      </c>
      <c r="C887" s="86"/>
      <c r="D887" s="87"/>
      <c r="E887" s="88">
        <f>VLOOKUP($B887,[1]DG!A:D,[1]DG!$B$2,)</f>
        <v>0</v>
      </c>
      <c r="F887" s="89" t="str">
        <f>VLOOKUP($B887,[1]DG!A:D,[1]DG!$C$2,)</f>
        <v>Chụp đầu cực FCO (bộ 2 cái)</v>
      </c>
      <c r="G887" s="88" t="str">
        <f>VLOOKUP($B887,[1]DG!A:D,[1]DG!$D$2,)</f>
        <v>bộ</v>
      </c>
      <c r="H887" s="145">
        <f>H823</f>
        <v>3</v>
      </c>
      <c r="I887" s="91">
        <f t="shared" si="41"/>
        <v>3</v>
      </c>
      <c r="J887" s="92"/>
      <c r="K887" s="92"/>
      <c r="L887" s="117"/>
      <c r="M887" s="56" t="s">
        <v>51</v>
      </c>
    </row>
    <row r="888" spans="1:13" s="51" customFormat="1" ht="25.2" customHeight="1">
      <c r="A888" s="68">
        <f t="shared" si="42"/>
        <v>1</v>
      </c>
      <c r="B888" s="86" t="s">
        <v>192</v>
      </c>
      <c r="C888" s="86"/>
      <c r="D888" s="87"/>
      <c r="E888" s="88">
        <f>VLOOKUP($B888,[1]DG!A:D,[1]DG!$B$2,)</f>
        <v>0</v>
      </c>
      <c r="F888" s="89" t="str">
        <f>VLOOKUP($B888,[1]DG!A:D,[1]DG!$C$2,)</f>
        <v>Chụp đầu cực LA</v>
      </c>
      <c r="G888" s="88" t="str">
        <f>VLOOKUP($B888,[1]DG!A:D,[1]DG!$D$2,)</f>
        <v>cái</v>
      </c>
      <c r="H888" s="145">
        <f>H825</f>
        <v>3</v>
      </c>
      <c r="I888" s="91">
        <f t="shared" si="41"/>
        <v>3</v>
      </c>
      <c r="J888" s="92"/>
      <c r="K888" s="92"/>
      <c r="L888" s="117"/>
      <c r="M888" s="56" t="s">
        <v>51</v>
      </c>
    </row>
    <row r="889" spans="1:13" s="51" customFormat="1" ht="25.2" customHeight="1">
      <c r="A889" s="68">
        <f t="shared" si="42"/>
        <v>1</v>
      </c>
      <c r="B889" s="86" t="s">
        <v>193</v>
      </c>
      <c r="C889" s="86"/>
      <c r="D889" s="87"/>
      <c r="E889" s="88">
        <f>VLOOKUP($B889,[1]DG!A:D,[1]DG!$B$2,)</f>
        <v>0</v>
      </c>
      <c r="F889" s="89" t="str">
        <f>VLOOKUP($B889,[1]DG!A:D,[1]DG!$C$2,)</f>
        <v>Chụp đầu MBA</v>
      </c>
      <c r="G889" s="88" t="str">
        <f>VLOOKUP($B889,[1]DG!A:D,[1]DG!$D$2,)</f>
        <v>cái</v>
      </c>
      <c r="H889" s="145">
        <f>H822</f>
        <v>3</v>
      </c>
      <c r="I889" s="91">
        <f t="shared" si="41"/>
        <v>3</v>
      </c>
      <c r="J889" s="92"/>
      <c r="K889" s="92"/>
      <c r="L889" s="117"/>
      <c r="M889" s="56" t="s">
        <v>51</v>
      </c>
    </row>
    <row r="890" spans="1:13" s="51" customFormat="1" ht="25.2" customHeight="1">
      <c r="A890" s="68">
        <f t="shared" si="42"/>
        <v>1</v>
      </c>
      <c r="B890" s="86" t="s">
        <v>101</v>
      </c>
      <c r="C890" s="86"/>
      <c r="D890" s="87"/>
      <c r="E890" s="88" t="str">
        <f>VLOOKUP($B890,[1]DG!A:D,[1]DG!$B$2,)</f>
        <v>04.4201</v>
      </c>
      <c r="F890" s="89" t="str">
        <f>VLOOKUP($B890,[1]DG!A:D,[1]DG!$C$2,)</f>
        <v>Lắp cáp đồng xuống thiết bị D ≤ 95mm2</v>
      </c>
      <c r="G890" s="88" t="str">
        <f>VLOOKUP($B890,[1]DG!A:D,[1]DG!$D$2,)</f>
        <v>m</v>
      </c>
      <c r="H890" s="145">
        <f>H883</f>
        <v>12</v>
      </c>
      <c r="I890" s="91">
        <f t="shared" si="41"/>
        <v>12</v>
      </c>
      <c r="J890" s="92"/>
      <c r="K890" s="92"/>
      <c r="L890" s="117"/>
      <c r="M890" s="56" t="s">
        <v>51</v>
      </c>
    </row>
    <row r="891" spans="1:13" s="51" customFormat="1" ht="25.2" customHeight="1">
      <c r="A891" s="68">
        <f t="shared" si="42"/>
        <v>1</v>
      </c>
      <c r="B891" s="69"/>
      <c r="C891" s="69"/>
      <c r="D891" s="111">
        <f>IF(H891&gt;0,D881+1,D881)</f>
        <v>6</v>
      </c>
      <c r="E891" s="242"/>
      <c r="F891" s="285" t="s">
        <v>318</v>
      </c>
      <c r="G891" s="111" t="s">
        <v>67</v>
      </c>
      <c r="H891" s="244">
        <f>H833</f>
        <v>1</v>
      </c>
      <c r="I891" s="91">
        <f t="shared" ref="I891:I987" si="43">IF(M891=$M$23,H891+J891-K891,0)</f>
        <v>1</v>
      </c>
      <c r="J891" s="95"/>
      <c r="K891" s="95"/>
      <c r="L891" s="117"/>
      <c r="M891" s="56" t="s">
        <v>51</v>
      </c>
    </row>
    <row r="892" spans="1:13" s="51" customFormat="1" ht="25.2" customHeight="1">
      <c r="A892" s="68">
        <f>IF(A891&gt;0,1,0)</f>
        <v>1</v>
      </c>
      <c r="B892" s="69"/>
      <c r="C892" s="69"/>
      <c r="D892" s="111"/>
      <c r="E892" s="242"/>
      <c r="F892" s="248" t="s">
        <v>68</v>
      </c>
      <c r="G892" s="88"/>
      <c r="H892" s="244"/>
      <c r="I892" s="91">
        <f t="shared" si="43"/>
        <v>0</v>
      </c>
      <c r="J892" s="95"/>
      <c r="K892" s="95"/>
      <c r="L892" s="117"/>
      <c r="M892" s="56" t="s">
        <v>51</v>
      </c>
    </row>
    <row r="893" spans="1:13" s="51" customFormat="1" ht="25.2" hidden="1" customHeight="1">
      <c r="A893" s="68">
        <f t="shared" si="42"/>
        <v>0</v>
      </c>
      <c r="B893" s="69" t="s">
        <v>319</v>
      </c>
      <c r="C893" s="69"/>
      <c r="D893" s="87"/>
      <c r="E893" s="88">
        <f>VLOOKUP($B893,[1]DG!A:D,[1]DG!$B$2,)</f>
        <v>0</v>
      </c>
      <c r="F893" s="89" t="str">
        <f>VLOOKUP($B893,[1]DG!A:D,[1]DG!$C$2,)</f>
        <v>Cáp đồng bọc CV150</v>
      </c>
      <c r="G893" s="88" t="str">
        <f>VLOOKUP($B893,[1]DG!A:D,[1]DG!$D$2,)</f>
        <v>mét</v>
      </c>
      <c r="H893" s="145"/>
      <c r="I893" s="91">
        <f t="shared" si="43"/>
        <v>0</v>
      </c>
      <c r="J893" s="92"/>
      <c r="K893" s="92"/>
      <c r="L893" s="117"/>
      <c r="M893" s="56" t="s">
        <v>51</v>
      </c>
    </row>
    <row r="894" spans="1:13" s="51" customFormat="1" ht="25.2" customHeight="1">
      <c r="A894" s="68">
        <f t="shared" si="42"/>
        <v>1</v>
      </c>
      <c r="B894" s="69" t="s">
        <v>320</v>
      </c>
      <c r="C894" s="69"/>
      <c r="D894" s="87"/>
      <c r="E894" s="88">
        <f>VLOOKUP($B894,[1]DG!A:D,[1]DG!$B$2,)</f>
        <v>0</v>
      </c>
      <c r="F894" s="89" t="str">
        <f>VLOOKUP($B894,[1]DG!A:D,[1]DG!$C$2,)</f>
        <v>Cáp đồng bọc CV95</v>
      </c>
      <c r="G894" s="88" t="str">
        <f>VLOOKUP($B894,[1]DG!A:D,[1]DG!$D$2,)</f>
        <v>mét</v>
      </c>
      <c r="H894" s="145">
        <v>30</v>
      </c>
      <c r="I894" s="91">
        <f t="shared" si="43"/>
        <v>30</v>
      </c>
      <c r="J894" s="92"/>
      <c r="K894" s="92"/>
      <c r="L894" s="117"/>
      <c r="M894" s="56" t="s">
        <v>51</v>
      </c>
    </row>
    <row r="895" spans="1:13" s="51" customFormat="1" ht="25.2" customHeight="1">
      <c r="A895" s="68">
        <f t="shared" si="42"/>
        <v>1</v>
      </c>
      <c r="B895" s="69" t="s">
        <v>315</v>
      </c>
      <c r="C895" s="69"/>
      <c r="D895" s="87"/>
      <c r="E895" s="88" t="str">
        <f>VLOOKUP($B895,[1]DG!A:D,[1]DG!$B$2,)</f>
        <v>04.4201</v>
      </c>
      <c r="F895" s="89" t="str">
        <f>VLOOKUP($B895,[1]DG!A:D,[1]DG!$C$2,)</f>
        <v>Cáp đồng bọc CV11</v>
      </c>
      <c r="G895" s="88" t="str">
        <f>VLOOKUP($B895,[1]DG!A:D,[1]DG!$D$2,)</f>
        <v>mét</v>
      </c>
      <c r="H895" s="145">
        <v>3</v>
      </c>
      <c r="I895" s="91">
        <f t="shared" si="43"/>
        <v>3</v>
      </c>
      <c r="J895" s="92"/>
      <c r="K895" s="92"/>
      <c r="L895" s="117"/>
      <c r="M895" s="56" t="s">
        <v>51</v>
      </c>
    </row>
    <row r="896" spans="1:13" s="51" customFormat="1" ht="25.2" customHeight="1">
      <c r="A896" s="68">
        <f t="shared" si="42"/>
        <v>1</v>
      </c>
      <c r="B896" s="69" t="s">
        <v>302</v>
      </c>
      <c r="C896" s="69"/>
      <c r="D896" s="96"/>
      <c r="E896" s="88" t="str">
        <f>VLOOKUP($B896,[1]DG!A:D,[1]DG!$B$2,)</f>
        <v>03.1401</v>
      </c>
      <c r="F896" s="89" t="str">
        <f>VLOOKUP($B896,[1]DG!A:D,[1]DG!$C$2,)</f>
        <v xml:space="preserve">Cáp CVV 4x4mm2  </v>
      </c>
      <c r="G896" s="88" t="str">
        <f>VLOOKUP($B896,[1]DG!A:D,[1]DG!$D$2,)</f>
        <v>mét</v>
      </c>
      <c r="H896" s="145">
        <v>2.5</v>
      </c>
      <c r="I896" s="91">
        <f t="shared" si="43"/>
        <v>2.5</v>
      </c>
      <c r="J896" s="92"/>
      <c r="K896" s="92"/>
      <c r="L896" s="117"/>
      <c r="M896" s="56" t="s">
        <v>51</v>
      </c>
    </row>
    <row r="897" spans="1:13" s="51" customFormat="1" ht="25.2" customHeight="1">
      <c r="A897" s="68">
        <f t="shared" si="42"/>
        <v>1</v>
      </c>
      <c r="B897" s="69" t="s">
        <v>321</v>
      </c>
      <c r="C897" s="69"/>
      <c r="D897" s="87"/>
      <c r="E897" s="88" t="str">
        <f>VLOOKUP($B897,[1]DG!A:D,[1]DG!$B$2,)</f>
        <v>03.4001</v>
      </c>
      <c r="F897" s="89" t="str">
        <f>VLOOKUP($B897,[1]DG!A:D,[1]DG!$C$2,)</f>
        <v>Đầu cosse ép Cu 5mm2</v>
      </c>
      <c r="G897" s="88" t="str">
        <f>VLOOKUP($B897,[1]DG!A:D,[1]DG!$D$2,)</f>
        <v>cái</v>
      </c>
      <c r="H897" s="145">
        <v>6</v>
      </c>
      <c r="I897" s="91">
        <f t="shared" si="43"/>
        <v>6</v>
      </c>
      <c r="J897" s="92"/>
      <c r="K897" s="92"/>
      <c r="L897" s="117"/>
      <c r="M897" s="56" t="s">
        <v>51</v>
      </c>
    </row>
    <row r="898" spans="1:13" s="51" customFormat="1" ht="25.2" hidden="1" customHeight="1">
      <c r="A898" s="68">
        <f t="shared" si="42"/>
        <v>0</v>
      </c>
      <c r="B898" s="69" t="str">
        <f>REPLACE(B893,1,2,"cos")</f>
        <v>cos150</v>
      </c>
      <c r="C898" s="69"/>
      <c r="D898" s="87"/>
      <c r="E898" s="88" t="str">
        <f>VLOOKUP($B898,[1]DG!A:D,[1]DG!$B$2,)</f>
        <v>03.4006</v>
      </c>
      <c r="F898" s="89" t="str">
        <f>VLOOKUP($B898,[1]DG!A:D,[1]DG!$C$2,)</f>
        <v>Đầu cosse ép Cu 150mm2</v>
      </c>
      <c r="G898" s="88" t="str">
        <f>VLOOKUP($B898,[1]DG!A:D,[1]DG!$D$2,)</f>
        <v>cái</v>
      </c>
      <c r="H898" s="145"/>
      <c r="I898" s="91">
        <f t="shared" si="43"/>
        <v>0</v>
      </c>
      <c r="J898" s="92"/>
      <c r="K898" s="92"/>
      <c r="L898" s="117"/>
      <c r="M898" s="56" t="s">
        <v>51</v>
      </c>
    </row>
    <row r="899" spans="1:13" s="51" customFormat="1" ht="25.2" customHeight="1">
      <c r="A899" s="68">
        <f t="shared" si="42"/>
        <v>1</v>
      </c>
      <c r="B899" s="69" t="str">
        <f>REPLACE(B894,1,2,"cos")</f>
        <v>cos95</v>
      </c>
      <c r="C899" s="69"/>
      <c r="D899" s="87"/>
      <c r="E899" s="88" t="str">
        <f>VLOOKUP($B899,[1]DG!A:D,[1]DG!$B$2,)</f>
        <v>03.4004</v>
      </c>
      <c r="F899" s="89" t="str">
        <f>VLOOKUP($B899,[1]DG!A:D,[1]DG!$C$2,)</f>
        <v>Đầu cosse ép Cu 95mm2</v>
      </c>
      <c r="G899" s="88" t="str">
        <f>VLOOKUP($B899,[1]DG!A:D,[1]DG!$D$2,)</f>
        <v>cái</v>
      </c>
      <c r="H899" s="145">
        <f>H891*1</f>
        <v>1</v>
      </c>
      <c r="I899" s="91">
        <f t="shared" si="43"/>
        <v>1</v>
      </c>
      <c r="J899" s="92"/>
      <c r="K899" s="92"/>
      <c r="L899" s="117"/>
      <c r="M899" s="56" t="s">
        <v>51</v>
      </c>
    </row>
    <row r="900" spans="1:13" s="51" customFormat="1" ht="25.2" hidden="1" customHeight="1">
      <c r="A900" s="68">
        <f t="shared" si="42"/>
        <v>0</v>
      </c>
      <c r="B900" s="69" t="str">
        <f>REPLACE(B893,1,2,"chcos")</f>
        <v>chcos150</v>
      </c>
      <c r="C900" s="69"/>
      <c r="D900" s="87"/>
      <c r="E900" s="88">
        <f>VLOOKUP($B900,[1]DG!A:D,[1]DG!$B$2,)</f>
        <v>0</v>
      </c>
      <c r="F900" s="89" t="str">
        <f>VLOOKUP($B900,[1]DG!A:D,[1]DG!$C$2,)</f>
        <v>Chụp đầu cosse  150mm2</v>
      </c>
      <c r="G900" s="88" t="str">
        <f>VLOOKUP($B900,[1]DG!A:D,[1]DG!$D$2,)</f>
        <v>cái</v>
      </c>
      <c r="H900" s="145"/>
      <c r="I900" s="91">
        <f t="shared" si="43"/>
        <v>0</v>
      </c>
      <c r="J900" s="92"/>
      <c r="K900" s="92"/>
      <c r="L900" s="117"/>
      <c r="M900" s="56" t="s">
        <v>51</v>
      </c>
    </row>
    <row r="901" spans="1:13" s="51" customFormat="1" ht="25.2" customHeight="1">
      <c r="A901" s="68">
        <f t="shared" si="42"/>
        <v>1</v>
      </c>
      <c r="B901" s="69" t="str">
        <f>REPLACE(B894,1,2,"chcos")</f>
        <v>chcos95</v>
      </c>
      <c r="C901" s="69"/>
      <c r="D901" s="87"/>
      <c r="E901" s="88">
        <f>VLOOKUP($B901,[1]DG!A:D,[1]DG!$B$2,)</f>
        <v>0</v>
      </c>
      <c r="F901" s="89" t="str">
        <f>VLOOKUP($B901,[1]DG!A:D,[1]DG!$C$2,)</f>
        <v>Chụp đầu cosse  95mm2</v>
      </c>
      <c r="G901" s="88" t="str">
        <f>VLOOKUP($B901,[1]DG!A:D,[1]DG!$D$2,)</f>
        <v>cái</v>
      </c>
      <c r="H901" s="145">
        <f>H899</f>
        <v>1</v>
      </c>
      <c r="I901" s="91">
        <f t="shared" si="43"/>
        <v>1</v>
      </c>
      <c r="J901" s="92"/>
      <c r="K901" s="92"/>
      <c r="L901" s="117"/>
      <c r="M901" s="56" t="s">
        <v>51</v>
      </c>
    </row>
    <row r="902" spans="1:13" s="51" customFormat="1" ht="25.2" hidden="1" customHeight="1">
      <c r="A902" s="68">
        <f t="shared" si="42"/>
        <v>0</v>
      </c>
      <c r="B902" s="69" t="s">
        <v>322</v>
      </c>
      <c r="C902" s="69"/>
      <c r="D902" s="87"/>
      <c r="E902" s="88">
        <f>VLOOKUP($B902,[1]DG!A:D,[1]DG!$B$2,)</f>
        <v>0</v>
      </c>
      <c r="F902" s="89" t="str">
        <f>VLOOKUP($B902,[1]DG!A:D,[1]DG!$C$2,)</f>
        <v>Dây đồng trần mềm dẹt</v>
      </c>
      <c r="G902" s="88" t="str">
        <f>VLOOKUP($B902,[1]DG!A:D,[1]DG!$D$2,)</f>
        <v>mét</v>
      </c>
      <c r="H902" s="145"/>
      <c r="I902" s="91">
        <f t="shared" si="43"/>
        <v>0</v>
      </c>
      <c r="J902" s="92"/>
      <c r="K902" s="92"/>
      <c r="L902" s="117"/>
      <c r="M902" s="56" t="s">
        <v>51</v>
      </c>
    </row>
    <row r="903" spans="1:13" s="51" customFormat="1" ht="25.2" customHeight="1">
      <c r="A903" s="68">
        <f t="shared" si="42"/>
        <v>1</v>
      </c>
      <c r="B903" s="69" t="s">
        <v>144</v>
      </c>
      <c r="C903" s="69"/>
      <c r="D903" s="87"/>
      <c r="E903" s="88">
        <f>VLOOKUP($B903,[1]DG!A:D,[1]DG!$B$2,)</f>
        <v>0</v>
      </c>
      <c r="F903" s="89" t="str">
        <f>VLOOKUP($B903,[1]DG!A:D,[1]DG!$C$2,)</f>
        <v xml:space="preserve">Ống PVC D114x4,9mm </v>
      </c>
      <c r="G903" s="88" t="str">
        <f>VLOOKUP($B903,[1]DG!A:D,[1]DG!$D$2,)</f>
        <v>m</v>
      </c>
      <c r="H903" s="145">
        <v>11</v>
      </c>
      <c r="I903" s="91">
        <f t="shared" si="43"/>
        <v>11</v>
      </c>
      <c r="J903" s="92"/>
      <c r="K903" s="92"/>
      <c r="L903" s="117"/>
      <c r="M903" s="56" t="s">
        <v>51</v>
      </c>
    </row>
    <row r="904" spans="1:13" s="51" customFormat="1" ht="25.2" customHeight="1">
      <c r="A904" s="68">
        <f t="shared" si="42"/>
        <v>1</v>
      </c>
      <c r="B904" s="69" t="s">
        <v>145</v>
      </c>
      <c r="C904" s="86"/>
      <c r="D904" s="87"/>
      <c r="E904" s="88" t="str">
        <f>VLOOKUP($B904,[1]DG!A:D,[1]DG!$B$2,)</f>
        <v>06.3231</v>
      </c>
      <c r="F904" s="89" t="str">
        <f>VLOOKUP($B904,[1]DG!A:D,[1]DG!$C$2,)&amp;" trụ đôi D280"</f>
        <v>Cổ dê kẹp ống PVC Ø 114 trụ đôi D280</v>
      </c>
      <c r="G904" s="88" t="str">
        <f>VLOOKUP($B904,[1]DG!A:D,[1]DG!$D$2,)</f>
        <v>bộ</v>
      </c>
      <c r="H904" s="145">
        <v>2</v>
      </c>
      <c r="I904" s="91">
        <f t="shared" si="43"/>
        <v>2</v>
      </c>
      <c r="J904" s="92"/>
      <c r="K904" s="92"/>
      <c r="L904" s="117"/>
      <c r="M904" s="56" t="s">
        <v>51</v>
      </c>
    </row>
    <row r="905" spans="1:13" s="51" customFormat="1" ht="25.2" customHeight="1">
      <c r="A905" s="68">
        <f t="shared" si="42"/>
        <v>1</v>
      </c>
      <c r="B905" s="69" t="str">
        <f>REPLACE(B903,1,3,"cd")</f>
        <v>cd114</v>
      </c>
      <c r="C905" s="86"/>
      <c r="D905" s="87"/>
      <c r="E905" s="88" t="str">
        <f>VLOOKUP($B905,[1]DG!A:D,[1]DG!$B$2,)</f>
        <v>06.3231</v>
      </c>
      <c r="F905" s="89" t="str">
        <f>VLOOKUP($B905,[1]DG!A:D,[1]DG!$C$2,)&amp;" trụ đôi D230"</f>
        <v>Cổ dê kẹp ống PVC Ø 114 trụ đôi D230</v>
      </c>
      <c r="G905" s="88" t="str">
        <f>VLOOKUP($B905,[1]DG!A:D,[1]DG!$D$2,)</f>
        <v>bộ</v>
      </c>
      <c r="H905" s="145">
        <v>4</v>
      </c>
      <c r="I905" s="91">
        <f t="shared" si="43"/>
        <v>4</v>
      </c>
      <c r="J905" s="92"/>
      <c r="K905" s="92"/>
      <c r="L905" s="117"/>
      <c r="M905" s="56" t="s">
        <v>51</v>
      </c>
    </row>
    <row r="906" spans="1:13" s="51" customFormat="1" ht="25.2" customHeight="1">
      <c r="A906" s="68">
        <f t="shared" si="42"/>
        <v>1</v>
      </c>
      <c r="B906" s="69" t="str">
        <f>REPLACE(B903,1,3,"cut")&amp;"t"</f>
        <v>cut114t</v>
      </c>
      <c r="C906" s="69"/>
      <c r="D906" s="87"/>
      <c r="E906" s="88">
        <f>VLOOKUP($B906,[1]DG!A:D,[1]DG!$B$2,)</f>
        <v>0</v>
      </c>
      <c r="F906" s="89" t="str">
        <f>VLOOKUP($B906,[1]DG!A:D,[1]DG!$C$2,)</f>
        <v>Co  90 độ PVC 114</v>
      </c>
      <c r="G906" s="88" t="str">
        <f>VLOOKUP($B906,[1]DG!A:D,[1]DG!$D$2,)</f>
        <v>cái</v>
      </c>
      <c r="H906" s="145">
        <v>2</v>
      </c>
      <c r="I906" s="91">
        <f t="shared" si="43"/>
        <v>2</v>
      </c>
      <c r="J906" s="92"/>
      <c r="K906" s="92"/>
      <c r="L906" s="117"/>
      <c r="M906" s="56" t="s">
        <v>51</v>
      </c>
    </row>
    <row r="907" spans="1:13" s="51" customFormat="1" ht="25.2" customHeight="1">
      <c r="A907" s="68">
        <f t="shared" si="42"/>
        <v>1</v>
      </c>
      <c r="B907" s="69" t="str">
        <f>REPLACE(B903,1,3,"cut")&amp;"l"</f>
        <v>cut114l</v>
      </c>
      <c r="C907" s="69"/>
      <c r="D907" s="87"/>
      <c r="E907" s="88">
        <f>VLOOKUP($B907,[1]DG!A:D,[1]DG!$B$2,)</f>
        <v>0</v>
      </c>
      <c r="F907" s="89" t="str">
        <f>VLOOKUP($B907,[1]DG!A:D,[1]DG!$C$2,)</f>
        <v>Co 135 độ PVC 114</v>
      </c>
      <c r="G907" s="88" t="str">
        <f>VLOOKUP($B907,[1]DG!A:D,[1]DG!$D$2,)</f>
        <v>cái</v>
      </c>
      <c r="H907" s="145">
        <v>2</v>
      </c>
      <c r="I907" s="91">
        <f t="shared" si="43"/>
        <v>2</v>
      </c>
      <c r="J907" s="92"/>
      <c r="K907" s="92"/>
      <c r="L907" s="117"/>
      <c r="M907" s="56" t="s">
        <v>51</v>
      </c>
    </row>
    <row r="908" spans="1:13" s="51" customFormat="1" ht="25.2" customHeight="1">
      <c r="A908" s="68">
        <f t="shared" si="42"/>
        <v>1</v>
      </c>
      <c r="B908" s="69" t="s">
        <v>323</v>
      </c>
      <c r="C908" s="69"/>
      <c r="D908" s="87"/>
      <c r="E908" s="88">
        <f>VLOOKUP($B908,[1]DG!A:D,[1]DG!$B$2,)</f>
        <v>0</v>
      </c>
      <c r="F908" s="89" t="str">
        <f>VLOOKUP($B908,[1]DG!A:D,[1]DG!$C$2,)</f>
        <v>Khâu ven răng trong D114</v>
      </c>
      <c r="G908" s="88" t="str">
        <f>VLOOKUP($B908,[1]DG!A:D,[1]DG!$D$2,)</f>
        <v>cái</v>
      </c>
      <c r="H908" s="145">
        <v>1</v>
      </c>
      <c r="I908" s="91">
        <f t="shared" si="43"/>
        <v>1</v>
      </c>
      <c r="J908" s="92"/>
      <c r="K908" s="92"/>
      <c r="L908" s="117"/>
      <c r="M908" s="56" t="s">
        <v>51</v>
      </c>
    </row>
    <row r="909" spans="1:13" s="51" customFormat="1" ht="25.2" customHeight="1">
      <c r="A909" s="68">
        <f t="shared" si="42"/>
        <v>1</v>
      </c>
      <c r="B909" s="69" t="s">
        <v>324</v>
      </c>
      <c r="C909" s="69"/>
      <c r="D909" s="87"/>
      <c r="E909" s="88">
        <f>VLOOKUP($B909,[1]DG!A:D,[1]DG!$B$2,)</f>
        <v>0</v>
      </c>
      <c r="F909" s="89" t="str">
        <f>VLOOKUP($B909,[1]DG!A:D,[1]DG!$C$2,)</f>
        <v>Khâu ven răng ngoài D114</v>
      </c>
      <c r="G909" s="88" t="str">
        <f>VLOOKUP($B909,[1]DG!A:D,[1]DG!$D$2,)</f>
        <v>cái</v>
      </c>
      <c r="H909" s="145">
        <v>1</v>
      </c>
      <c r="I909" s="91">
        <f t="shared" si="43"/>
        <v>1</v>
      </c>
      <c r="J909" s="92"/>
      <c r="K909" s="92"/>
      <c r="L909" s="117"/>
      <c r="M909" s="56" t="s">
        <v>51</v>
      </c>
    </row>
    <row r="910" spans="1:13" s="51" customFormat="1" ht="25.2" customHeight="1">
      <c r="A910" s="68">
        <f t="shared" si="42"/>
        <v>1</v>
      </c>
      <c r="B910" s="69" t="s">
        <v>84</v>
      </c>
      <c r="C910" s="69"/>
      <c r="D910" s="87"/>
      <c r="E910" s="88">
        <f>VLOOKUP($B910,[1]DG!A:D,[1]DG!$B$2,)</f>
        <v>0</v>
      </c>
      <c r="F910" s="89" t="str">
        <f>VLOOKUP($B910,[1]DG!A:D,[1]DG!$C$2,)</f>
        <v>Kẹp ép WR cỡ dây 50mm2</v>
      </c>
      <c r="G910" s="88" t="str">
        <f>VLOOKUP($B910,[1]DG!A:D,[1]DG!$D$2,)</f>
        <v>cái</v>
      </c>
      <c r="H910" s="145">
        <v>2</v>
      </c>
      <c r="I910" s="91">
        <f t="shared" si="43"/>
        <v>2</v>
      </c>
      <c r="J910" s="92"/>
      <c r="K910" s="92"/>
      <c r="L910" s="117"/>
      <c r="M910" s="56" t="s">
        <v>51</v>
      </c>
    </row>
    <row r="911" spans="1:13" s="51" customFormat="1" ht="25.2" customHeight="1">
      <c r="A911" s="68">
        <f t="shared" si="42"/>
        <v>1</v>
      </c>
      <c r="B911" s="69" t="s">
        <v>325</v>
      </c>
      <c r="C911" s="69"/>
      <c r="D911" s="87"/>
      <c r="E911" s="88">
        <f>VLOOKUP($B911,[1]DG!A:D,[1]DG!$B$2,)</f>
        <v>0</v>
      </c>
      <c r="F911" s="89" t="str">
        <f>VLOOKUP($B911,[1]DG!A:D,[1]DG!$C$2,)</f>
        <v>Kẹp ép WR cỡ dây 150mm2</v>
      </c>
      <c r="G911" s="88" t="str">
        <f>VLOOKUP($B911,[1]DG!A:D,[1]DG!$D$2,)</f>
        <v>cái</v>
      </c>
      <c r="H911" s="145">
        <v>6</v>
      </c>
      <c r="I911" s="91">
        <f t="shared" si="43"/>
        <v>6</v>
      </c>
      <c r="J911" s="92"/>
      <c r="K911" s="92"/>
      <c r="L911" s="117"/>
      <c r="M911" s="56" t="s">
        <v>51</v>
      </c>
    </row>
    <row r="912" spans="1:13" s="51" customFormat="1" ht="25.2" hidden="1" customHeight="1">
      <c r="A912" s="68">
        <f t="shared" si="42"/>
        <v>0</v>
      </c>
      <c r="B912" s="69" t="str">
        <f>REPLACE(B903,1,3,"npvc")</f>
        <v>npvc114</v>
      </c>
      <c r="C912" s="69"/>
      <c r="D912" s="87"/>
      <c r="E912" s="88">
        <f>VLOOKUP($B912,[1]DG!A:D,[1]DG!$B$2,)</f>
        <v>0</v>
      </c>
      <c r="F912" s="89" t="str">
        <f>VLOOKUP($B912,[1]DG!A:D,[1]DG!$C$2,)</f>
        <v>Nối ống PVC 114</v>
      </c>
      <c r="G912" s="88" t="str">
        <f>VLOOKUP($B912,[1]DG!A:D,[1]DG!$D$2,)</f>
        <v>cái</v>
      </c>
      <c r="H912" s="145">
        <f>1*H891*0</f>
        <v>0</v>
      </c>
      <c r="I912" s="91">
        <f t="shared" si="43"/>
        <v>0</v>
      </c>
      <c r="J912" s="92"/>
      <c r="K912" s="92"/>
      <c r="L912" s="117"/>
      <c r="M912" s="56" t="s">
        <v>51</v>
      </c>
    </row>
    <row r="913" spans="1:13" s="51" customFormat="1" ht="25.2" customHeight="1">
      <c r="A913" s="68">
        <f t="shared" si="42"/>
        <v>1</v>
      </c>
      <c r="B913" s="69" t="s">
        <v>254</v>
      </c>
      <c r="C913" s="69"/>
      <c r="D913" s="87"/>
      <c r="E913" s="88">
        <f>VLOOKUP($B913,[1]DG!A:D,[1]DG!$B$2,)</f>
        <v>0</v>
      </c>
      <c r="F913" s="89" t="str">
        <f>VLOOKUP($B913,[1]DG!A:D,[1]DG!$C$2,)</f>
        <v>Keo dán ống PVC (100gr)</v>
      </c>
      <c r="G913" s="88" t="str">
        <f>VLOOKUP($B913,[1]DG!A:D,[1]DG!$D$2,)</f>
        <v>tuýp</v>
      </c>
      <c r="H913" s="145">
        <f>H891*1</f>
        <v>1</v>
      </c>
      <c r="I913" s="91">
        <f t="shared" si="43"/>
        <v>1</v>
      </c>
      <c r="J913" s="92"/>
      <c r="K913" s="92"/>
      <c r="L913" s="117"/>
      <c r="M913" s="56" t="s">
        <v>51</v>
      </c>
    </row>
    <row r="914" spans="1:13" s="51" customFormat="1" ht="25.2" customHeight="1">
      <c r="A914" s="68">
        <f t="shared" si="42"/>
        <v>1</v>
      </c>
      <c r="B914" s="69" t="s">
        <v>115</v>
      </c>
      <c r="C914" s="69"/>
      <c r="D914" s="87"/>
      <c r="E914" s="88">
        <f>VLOOKUP($B914,[1]DG!A:D,[1]DG!$B$2,)</f>
        <v>0</v>
      </c>
      <c r="F914" s="89" t="str">
        <f>VLOOKUP($B914,[1]DG!A:D,[1]DG!$C$2,)</f>
        <v>Keo silicon bít miệng ống</v>
      </c>
      <c r="G914" s="88" t="str">
        <f>VLOOKUP($B914,[1]DG!A:D,[1]DG!$D$2,)</f>
        <v>ống</v>
      </c>
      <c r="H914" s="145">
        <v>5</v>
      </c>
      <c r="I914" s="91">
        <f t="shared" si="43"/>
        <v>5</v>
      </c>
      <c r="J914" s="92"/>
      <c r="K914" s="92"/>
      <c r="L914" s="117"/>
      <c r="M914" s="56" t="s">
        <v>51</v>
      </c>
    </row>
    <row r="915" spans="1:13" s="51" customFormat="1" ht="25.2" customHeight="1">
      <c r="A915" s="68">
        <f t="shared" si="42"/>
        <v>1</v>
      </c>
      <c r="B915" s="86" t="s">
        <v>148</v>
      </c>
      <c r="C915" s="86"/>
      <c r="D915" s="87"/>
      <c r="E915" s="88">
        <f>VLOOKUP($B915,[1]DG!A:D,[1]DG!$B$2,)</f>
        <v>0</v>
      </c>
      <c r="F915" s="89" t="str">
        <f>VLOOKUP($B915,[1]DG!A:D,[1]DG!$C$2,)</f>
        <v>Băng keo cách điện</v>
      </c>
      <c r="G915" s="88" t="str">
        <f>VLOOKUP($B915,[1]DG!A:D,[1]DG!$D$2,)</f>
        <v>cuộn</v>
      </c>
      <c r="H915" s="145">
        <v>3</v>
      </c>
      <c r="I915" s="91">
        <f t="shared" si="43"/>
        <v>3</v>
      </c>
      <c r="J915" s="92"/>
      <c r="K915" s="92"/>
      <c r="L915" s="117"/>
      <c r="M915" s="56" t="s">
        <v>51</v>
      </c>
    </row>
    <row r="916" spans="1:13" s="51" customFormat="1" ht="25.2" customHeight="1">
      <c r="A916" s="68">
        <f t="shared" si="42"/>
        <v>1</v>
      </c>
      <c r="B916" s="69" t="s">
        <v>200</v>
      </c>
      <c r="C916" s="69"/>
      <c r="D916" s="96"/>
      <c r="E916" s="88" t="str">
        <f>VLOOKUP($B916,[1]DG!A:D,[1]DG!$B$2,)</f>
        <v>07,2407</v>
      </c>
      <c r="F916" s="89" t="str">
        <f>VLOOKUP($B916,[1]DG!A:D,[1]DG!$C$2,)</f>
        <v>Lắp ống nhựa PVC D114</v>
      </c>
      <c r="G916" s="88" t="str">
        <f>VLOOKUP($B916,[1]DG!A:D,[1]DG!$D$2,)</f>
        <v>mét</v>
      </c>
      <c r="H916" s="94">
        <f>H903</f>
        <v>11</v>
      </c>
      <c r="I916" s="91">
        <f t="shared" si="43"/>
        <v>11</v>
      </c>
      <c r="J916" s="92"/>
      <c r="K916" s="92"/>
      <c r="L916" s="117"/>
      <c r="M916" s="56" t="s">
        <v>51</v>
      </c>
    </row>
    <row r="917" spans="1:13" s="51" customFormat="1" ht="25.2" customHeight="1">
      <c r="A917" s="68">
        <f t="shared" si="42"/>
        <v>1</v>
      </c>
      <c r="B917" s="86" t="s">
        <v>326</v>
      </c>
      <c r="C917" s="86"/>
      <c r="D917" s="96"/>
      <c r="E917" s="88" t="str">
        <f>VLOOKUP($B917,[1]DG!A:D,[1]DG!$B$2,)</f>
        <v>04.4202</v>
      </c>
      <c r="F917" s="89" t="str">
        <f>VLOOKUP($B917,[1]DG!A:D,[1]DG!$C$2,)</f>
        <v>Lắp cáp đồng xuống thiết bị D ≤ 150mm2</v>
      </c>
      <c r="G917" s="88" t="str">
        <f>VLOOKUP($B917,[1]DG!A:D,[1]DG!$D$2,)</f>
        <v>m</v>
      </c>
      <c r="H917" s="94">
        <f>H893+H894</f>
        <v>30</v>
      </c>
      <c r="I917" s="91">
        <f t="shared" si="43"/>
        <v>30</v>
      </c>
      <c r="J917" s="92"/>
      <c r="K917" s="92"/>
      <c r="L917" s="117"/>
      <c r="M917" s="56" t="s">
        <v>51</v>
      </c>
    </row>
    <row r="918" spans="1:13" s="51" customFormat="1" ht="25.2" customHeight="1">
      <c r="A918" s="68">
        <f t="shared" si="42"/>
        <v>1</v>
      </c>
      <c r="B918" s="69" t="s">
        <v>117</v>
      </c>
      <c r="C918" s="69"/>
      <c r="D918" s="290">
        <f>IF(H918&gt;0,D891+1,D875)</f>
        <v>7</v>
      </c>
      <c r="E918" s="291"/>
      <c r="F918" s="89" t="str">
        <f>VLOOKUP($B918,[1]DG!A:D,[1]DG!$C$2,)</f>
        <v>Bảng tên trạm, bảng báo nguy hiểm + đinh vít</v>
      </c>
      <c r="G918" s="88" t="str">
        <f>VLOOKUP($B918,[1]DG!A:D,[1]DG!$D$2,)</f>
        <v>bộ</v>
      </c>
      <c r="H918" s="292">
        <f>H835</f>
        <v>1</v>
      </c>
      <c r="I918" s="91">
        <f t="shared" si="43"/>
        <v>1</v>
      </c>
      <c r="J918" s="92"/>
      <c r="K918" s="92"/>
      <c r="L918" s="117"/>
      <c r="M918" s="56" t="s">
        <v>51</v>
      </c>
    </row>
    <row r="919" spans="1:13" s="51" customFormat="1" ht="25.2" customHeight="1">
      <c r="A919" s="68">
        <v>1</v>
      </c>
      <c r="B919" s="69" t="s">
        <v>117</v>
      </c>
      <c r="C919" s="69"/>
      <c r="D919" s="290">
        <v>8</v>
      </c>
      <c r="E919" s="291"/>
      <c r="F919" s="293" t="s">
        <v>327</v>
      </c>
      <c r="G919" s="294" t="str">
        <f>VLOOKUP($B919,[1]DG!A:D,[1]DG!$D$2,)</f>
        <v>bộ</v>
      </c>
      <c r="H919" s="292"/>
      <c r="I919" s="91">
        <f t="shared" si="43"/>
        <v>0</v>
      </c>
      <c r="J919" s="92"/>
      <c r="K919" s="92"/>
      <c r="L919" s="117"/>
      <c r="M919" s="56" t="s">
        <v>51</v>
      </c>
    </row>
    <row r="920" spans="1:13" s="51" customFormat="1" ht="25.2" customHeight="1">
      <c r="A920" s="68">
        <f t="shared" ref="A920:A924" si="44">IF(I920&gt;0,1,0)</f>
        <v>1</v>
      </c>
      <c r="B920" s="69" t="s">
        <v>302</v>
      </c>
      <c r="C920" s="69"/>
      <c r="D920" s="290"/>
      <c r="E920" s="291"/>
      <c r="F920" s="89" t="str">
        <f>VLOOKUP($B920,[1]DG!A:D,[1]DG!$C$2,)</f>
        <v xml:space="preserve">Cáp CVV 4x4mm2  </v>
      </c>
      <c r="G920" s="88" t="str">
        <f>VLOOKUP($B920,[1]DG!A:D,[1]DG!$D$2,)</f>
        <v>mét</v>
      </c>
      <c r="H920" s="250">
        <v>2.5</v>
      </c>
      <c r="I920" s="91">
        <f t="shared" si="43"/>
        <v>2.5</v>
      </c>
      <c r="J920" s="92"/>
      <c r="K920" s="92"/>
      <c r="L920" s="117"/>
      <c r="M920" s="56" t="s">
        <v>51</v>
      </c>
    </row>
    <row r="921" spans="1:13" s="51" customFormat="1" ht="25.2" customHeight="1">
      <c r="A921" s="68">
        <f t="shared" si="44"/>
        <v>1</v>
      </c>
      <c r="B921" s="69" t="s">
        <v>328</v>
      </c>
      <c r="C921" s="69"/>
      <c r="D921" s="290"/>
      <c r="E921" s="291"/>
      <c r="F921" s="89" t="str">
        <f>VLOOKUP($B921,[1]DG!A:D,[1]DG!$C$2,)</f>
        <v>Đầu cosse ép Cu 5mm2</v>
      </c>
      <c r="G921" s="88" t="str">
        <f>VLOOKUP($B921,[1]DG!A:D,[1]DG!$D$2,)</f>
        <v>cái</v>
      </c>
      <c r="H921" s="250">
        <v>6</v>
      </c>
      <c r="I921" s="91">
        <f t="shared" si="43"/>
        <v>6</v>
      </c>
      <c r="J921" s="92"/>
      <c r="K921" s="92"/>
      <c r="L921" s="117"/>
      <c r="M921" s="56" t="s">
        <v>51</v>
      </c>
    </row>
    <row r="922" spans="1:13" s="51" customFormat="1" ht="25.2" customHeight="1">
      <c r="A922" s="68">
        <f t="shared" si="44"/>
        <v>1</v>
      </c>
      <c r="B922" s="69" t="s">
        <v>117</v>
      </c>
      <c r="C922" s="69"/>
      <c r="D922" s="290"/>
      <c r="E922" s="291"/>
      <c r="F922" s="89" t="s">
        <v>329</v>
      </c>
      <c r="G922" s="88" t="s">
        <v>330</v>
      </c>
      <c r="H922" s="250">
        <v>1</v>
      </c>
      <c r="I922" s="91">
        <f t="shared" si="43"/>
        <v>1</v>
      </c>
      <c r="J922" s="92"/>
      <c r="K922" s="92"/>
      <c r="L922" s="117"/>
      <c r="M922" s="56" t="s">
        <v>51</v>
      </c>
    </row>
    <row r="923" spans="1:13" s="51" customFormat="1" ht="25.2" customHeight="1">
      <c r="A923" s="68">
        <f t="shared" si="44"/>
        <v>1</v>
      </c>
      <c r="B923" s="69"/>
      <c r="C923" s="69"/>
      <c r="D923" s="290"/>
      <c r="E923" s="291"/>
      <c r="F923" s="89" t="s">
        <v>331</v>
      </c>
      <c r="G923" s="88" t="s">
        <v>330</v>
      </c>
      <c r="H923" s="250">
        <v>1</v>
      </c>
      <c r="I923" s="91">
        <f t="shared" si="43"/>
        <v>1</v>
      </c>
      <c r="J923" s="92"/>
      <c r="K923" s="92"/>
      <c r="L923" s="117"/>
      <c r="M923" s="56" t="s">
        <v>51</v>
      </c>
    </row>
    <row r="924" spans="1:13" s="51" customFormat="1" ht="25.2" hidden="1" customHeight="1">
      <c r="A924" s="68">
        <f t="shared" si="42"/>
        <v>0</v>
      </c>
      <c r="B924" s="69" t="s">
        <v>117</v>
      </c>
      <c r="C924" s="69"/>
      <c r="D924" s="290">
        <v>8</v>
      </c>
      <c r="E924" s="291"/>
      <c r="F924" s="293" t="s">
        <v>332</v>
      </c>
      <c r="G924" s="294" t="str">
        <f>VLOOKUP($B924,[1]DG!A:D,[1]DG!$D$2,)</f>
        <v>bộ</v>
      </c>
      <c r="H924" s="292"/>
      <c r="I924" s="91">
        <f t="shared" si="43"/>
        <v>0</v>
      </c>
      <c r="J924" s="92"/>
      <c r="K924" s="92"/>
      <c r="L924" s="117"/>
      <c r="M924" s="56" t="s">
        <v>51</v>
      </c>
    </row>
    <row r="925" spans="1:13" s="51" customFormat="1" ht="25.2" hidden="1" customHeight="1">
      <c r="A925" s="68">
        <f t="shared" si="42"/>
        <v>0</v>
      </c>
      <c r="B925" s="69" t="s">
        <v>319</v>
      </c>
      <c r="C925" s="69"/>
      <c r="D925" s="290"/>
      <c r="E925" s="291"/>
      <c r="F925" s="89" t="str">
        <f>VLOOKUP($B925,[1]DG!A:D,[1]DG!$C$2,)</f>
        <v>Cáp đồng bọc CV150</v>
      </c>
      <c r="G925" s="88" t="str">
        <f>VLOOKUP($B925,[1]DG!A:D,[1]DG!$D$2,)</f>
        <v>mét</v>
      </c>
      <c r="H925" s="250"/>
      <c r="I925" s="91">
        <f t="shared" si="43"/>
        <v>0</v>
      </c>
      <c r="J925" s="92"/>
      <c r="K925" s="92"/>
      <c r="L925" s="117"/>
      <c r="M925" s="56" t="s">
        <v>51</v>
      </c>
    </row>
    <row r="926" spans="1:13" s="51" customFormat="1" ht="25.2" hidden="1" customHeight="1">
      <c r="A926" s="68">
        <f t="shared" si="42"/>
        <v>0</v>
      </c>
      <c r="B926" s="69" t="s">
        <v>320</v>
      </c>
      <c r="C926" s="69"/>
      <c r="D926" s="290"/>
      <c r="E926" s="291"/>
      <c r="F926" s="89" t="str">
        <f>VLOOKUP($B926,[1]DG!A:D,[1]DG!$C$2,)</f>
        <v>Cáp đồng bọc CV95</v>
      </c>
      <c r="G926" s="88" t="str">
        <f>VLOOKUP($B926,[1]DG!A:D,[1]DG!$D$2,)</f>
        <v>mét</v>
      </c>
      <c r="H926" s="250"/>
      <c r="I926" s="91">
        <f t="shared" si="43"/>
        <v>0</v>
      </c>
      <c r="J926" s="92"/>
      <c r="K926" s="92"/>
      <c r="L926" s="117"/>
      <c r="M926" s="56" t="s">
        <v>51</v>
      </c>
    </row>
    <row r="927" spans="1:13" s="51" customFormat="1" ht="25.2" hidden="1" customHeight="1">
      <c r="A927" s="68">
        <f t="shared" si="42"/>
        <v>0</v>
      </c>
      <c r="B927" s="69" t="str">
        <f>REPLACE(B925,1,2,"cos")</f>
        <v>cos150</v>
      </c>
      <c r="C927" s="69"/>
      <c r="D927" s="290"/>
      <c r="E927" s="291"/>
      <c r="F927" s="89" t="str">
        <f>VLOOKUP($B927,[1]DG!A:D,[1]DG!$C$2,)</f>
        <v>Đầu cosse ép Cu 150mm2</v>
      </c>
      <c r="G927" s="88" t="str">
        <f>VLOOKUP($B927,[1]DG!A:D,[1]DG!$D$2,)</f>
        <v>cái</v>
      </c>
      <c r="H927" s="250"/>
      <c r="I927" s="91">
        <f t="shared" si="43"/>
        <v>0</v>
      </c>
      <c r="J927" s="92"/>
      <c r="K927" s="92"/>
      <c r="L927" s="117"/>
      <c r="M927" s="56" t="s">
        <v>51</v>
      </c>
    </row>
    <row r="928" spans="1:13" s="51" customFormat="1" ht="25.2" hidden="1" customHeight="1">
      <c r="A928" s="68">
        <f t="shared" si="42"/>
        <v>0</v>
      </c>
      <c r="B928" s="69" t="str">
        <f>REPLACE(B926,1,2,"cos")</f>
        <v>cos95</v>
      </c>
      <c r="C928" s="69"/>
      <c r="D928" s="290"/>
      <c r="E928" s="291"/>
      <c r="F928" s="89" t="str">
        <f>VLOOKUP($B928,[1]DG!A:D,[1]DG!$C$2,)</f>
        <v>Đầu cosse ép Cu 95mm2</v>
      </c>
      <c r="G928" s="88" t="str">
        <f>VLOOKUP($B928,[1]DG!A:D,[1]DG!$D$2,)</f>
        <v>cái</v>
      </c>
      <c r="H928" s="250"/>
      <c r="I928" s="91">
        <f t="shared" si="43"/>
        <v>0</v>
      </c>
      <c r="J928" s="92"/>
      <c r="K928" s="92"/>
      <c r="L928" s="117"/>
      <c r="M928" s="56" t="s">
        <v>51</v>
      </c>
    </row>
    <row r="929" spans="1:13" s="51" customFormat="1" ht="25.2" hidden="1" customHeight="1">
      <c r="A929" s="68">
        <f t="shared" si="42"/>
        <v>0</v>
      </c>
      <c r="B929" s="69" t="str">
        <f>REPLACE(B925,1,2,"chcos")</f>
        <v>chcos150</v>
      </c>
      <c r="C929" s="69"/>
      <c r="D929" s="290"/>
      <c r="E929" s="291"/>
      <c r="F929" s="89" t="str">
        <f>VLOOKUP($B929,[1]DG!A:D,[1]DG!$C$2,)</f>
        <v>Chụp đầu cosse  150mm2</v>
      </c>
      <c r="G929" s="88" t="str">
        <f>VLOOKUP($B929,[1]DG!A:D,[1]DG!$D$2,)</f>
        <v>cái</v>
      </c>
      <c r="H929" s="250"/>
      <c r="I929" s="91">
        <f t="shared" si="43"/>
        <v>0</v>
      </c>
      <c r="J929" s="92"/>
      <c r="K929" s="92"/>
      <c r="L929" s="117"/>
      <c r="M929" s="56" t="s">
        <v>51</v>
      </c>
    </row>
    <row r="930" spans="1:13" s="51" customFormat="1" ht="25.2" hidden="1" customHeight="1">
      <c r="A930" s="68">
        <f t="shared" si="42"/>
        <v>0</v>
      </c>
      <c r="B930" s="69" t="str">
        <f>REPLACE(B926,1,2,"chcos")</f>
        <v>chcos95</v>
      </c>
      <c r="C930" s="69"/>
      <c r="D930" s="290"/>
      <c r="E930" s="291"/>
      <c r="F930" s="89" t="str">
        <f>VLOOKUP($B930,[1]DG!A:D,[1]DG!$C$2,)</f>
        <v>Chụp đầu cosse  95mm2</v>
      </c>
      <c r="G930" s="88" t="str">
        <f>VLOOKUP($B930,[1]DG!A:D,[1]DG!$D$2,)</f>
        <v>cái</v>
      </c>
      <c r="H930" s="250"/>
      <c r="I930" s="91">
        <f t="shared" si="43"/>
        <v>0</v>
      </c>
      <c r="J930" s="92"/>
      <c r="K930" s="92"/>
      <c r="L930" s="117"/>
      <c r="M930" s="56" t="s">
        <v>51</v>
      </c>
    </row>
    <row r="931" spans="1:13" s="51" customFormat="1" ht="25.2" hidden="1" customHeight="1">
      <c r="A931" s="68">
        <f t="shared" si="42"/>
        <v>0</v>
      </c>
      <c r="B931" s="69" t="s">
        <v>144</v>
      </c>
      <c r="C931" s="69"/>
      <c r="D931" s="290"/>
      <c r="E931" s="291"/>
      <c r="F931" s="89" t="str">
        <f>VLOOKUP($B931,[1]DG!A:D,[1]DG!$C$2,)</f>
        <v xml:space="preserve">Ống PVC D114x4,9mm </v>
      </c>
      <c r="G931" s="88" t="str">
        <f>VLOOKUP($B931,[1]DG!A:D,[1]DG!$D$2,)</f>
        <v>m</v>
      </c>
      <c r="H931" s="250"/>
      <c r="I931" s="91">
        <f t="shared" si="43"/>
        <v>0</v>
      </c>
      <c r="J931" s="92"/>
      <c r="K931" s="92"/>
      <c r="L931" s="117"/>
      <c r="M931" s="56" t="s">
        <v>51</v>
      </c>
    </row>
    <row r="932" spans="1:13" s="51" customFormat="1" ht="25.2" hidden="1" customHeight="1">
      <c r="A932" s="68">
        <f t="shared" si="42"/>
        <v>0</v>
      </c>
      <c r="B932" s="69" t="str">
        <f>REPLACE(B931,1,3,"cd")</f>
        <v>cd114</v>
      </c>
      <c r="C932" s="69"/>
      <c r="D932" s="290"/>
      <c r="E932" s="291"/>
      <c r="F932" s="89" t="str">
        <f>VLOOKUP($B932,[1]DG!A:D,[1]DG!$C$2,)</f>
        <v>Cổ dê kẹp ống PVC Ø 114</v>
      </c>
      <c r="G932" s="88" t="str">
        <f>VLOOKUP($B932,[1]DG!A:D,[1]DG!$D$2,)</f>
        <v>bộ</v>
      </c>
      <c r="H932" s="250"/>
      <c r="I932" s="91">
        <f t="shared" si="43"/>
        <v>0</v>
      </c>
      <c r="J932" s="92"/>
      <c r="K932" s="92"/>
      <c r="L932" s="117"/>
      <c r="M932" s="56" t="s">
        <v>51</v>
      </c>
    </row>
    <row r="933" spans="1:13" s="51" customFormat="1" ht="25.2" hidden="1" customHeight="1">
      <c r="A933" s="68">
        <f t="shared" si="42"/>
        <v>0</v>
      </c>
      <c r="B933" s="69" t="str">
        <f>REPLACE(B931,1,3,"cut")&amp;"t"</f>
        <v>cut114t</v>
      </c>
      <c r="C933" s="69"/>
      <c r="D933" s="290"/>
      <c r="E933" s="291"/>
      <c r="F933" s="89" t="str">
        <f>VLOOKUP($B933,[1]DG!A:D,[1]DG!$C$2,)</f>
        <v>Co  90 độ PVC 114</v>
      </c>
      <c r="G933" s="88" t="str">
        <f>VLOOKUP($B933,[1]DG!A:D,[1]DG!$D$2,)</f>
        <v>cái</v>
      </c>
      <c r="H933" s="250"/>
      <c r="I933" s="91">
        <f t="shared" si="43"/>
        <v>0</v>
      </c>
      <c r="J933" s="92"/>
      <c r="K933" s="92"/>
      <c r="L933" s="117"/>
      <c r="M933" s="56" t="s">
        <v>51</v>
      </c>
    </row>
    <row r="934" spans="1:13" s="51" customFormat="1" ht="25.2" hidden="1" customHeight="1">
      <c r="A934" s="68">
        <f t="shared" si="42"/>
        <v>0</v>
      </c>
      <c r="B934" s="69" t="str">
        <f>REPLACE(B931,1,3,"cut")&amp;"l"</f>
        <v>cut114l</v>
      </c>
      <c r="C934" s="69"/>
      <c r="D934" s="290"/>
      <c r="E934" s="291"/>
      <c r="F934" s="89" t="str">
        <f>VLOOKUP($B934,[1]DG!A:D,[1]DG!$C$2,)</f>
        <v>Co 135 độ PVC 114</v>
      </c>
      <c r="G934" s="88" t="str">
        <f>VLOOKUP($B934,[1]DG!A:D,[1]DG!$D$2,)</f>
        <v>cái</v>
      </c>
      <c r="H934" s="250"/>
      <c r="I934" s="91">
        <f t="shared" si="43"/>
        <v>0</v>
      </c>
      <c r="J934" s="92"/>
      <c r="K934" s="92"/>
      <c r="L934" s="117"/>
      <c r="M934" s="56" t="s">
        <v>51</v>
      </c>
    </row>
    <row r="935" spans="1:13" s="51" customFormat="1" ht="25.2" hidden="1" customHeight="1">
      <c r="A935" s="68">
        <f t="shared" si="42"/>
        <v>0</v>
      </c>
      <c r="B935" s="69" t="s">
        <v>323</v>
      </c>
      <c r="C935" s="69"/>
      <c r="D935" s="290"/>
      <c r="E935" s="291"/>
      <c r="F935" s="89" t="str">
        <f>VLOOKUP($B935,[1]DG!A:D,[1]DG!$C$2,)</f>
        <v>Khâu ven răng trong D114</v>
      </c>
      <c r="G935" s="88" t="str">
        <f>VLOOKUP($B935,[1]DG!A:D,[1]DG!$D$2,)</f>
        <v>cái</v>
      </c>
      <c r="H935" s="250"/>
      <c r="I935" s="91">
        <f t="shared" si="43"/>
        <v>0</v>
      </c>
      <c r="J935" s="92"/>
      <c r="K935" s="92"/>
      <c r="L935" s="117"/>
      <c r="M935" s="56" t="s">
        <v>51</v>
      </c>
    </row>
    <row r="936" spans="1:13" s="51" customFormat="1" ht="25.2" hidden="1" customHeight="1">
      <c r="A936" s="68">
        <f t="shared" si="42"/>
        <v>0</v>
      </c>
      <c r="B936" s="69" t="s">
        <v>324</v>
      </c>
      <c r="C936" s="69"/>
      <c r="D936" s="290"/>
      <c r="E936" s="291"/>
      <c r="F936" s="89" t="str">
        <f>VLOOKUP($B936,[1]DG!A:D,[1]DG!$C$2,)</f>
        <v>Khâu ven răng ngoài D114</v>
      </c>
      <c r="G936" s="88" t="str">
        <f>VLOOKUP($B936,[1]DG!A:D,[1]DG!$D$2,)</f>
        <v>cái</v>
      </c>
      <c r="H936" s="250"/>
      <c r="I936" s="91">
        <f t="shared" si="43"/>
        <v>0</v>
      </c>
      <c r="J936" s="92"/>
      <c r="K936" s="92"/>
      <c r="L936" s="117"/>
      <c r="M936" s="56" t="s">
        <v>51</v>
      </c>
    </row>
    <row r="937" spans="1:13" s="51" customFormat="1" ht="25.2" hidden="1" customHeight="1">
      <c r="A937" s="68">
        <f t="shared" si="42"/>
        <v>0</v>
      </c>
      <c r="B937" s="69" t="s">
        <v>254</v>
      </c>
      <c r="C937" s="69"/>
      <c r="D937" s="87"/>
      <c r="E937" s="88">
        <f>VLOOKUP($B937,[1]DG!A:D,[1]DG!$B$2,)</f>
        <v>0</v>
      </c>
      <c r="F937" s="89" t="str">
        <f>VLOOKUP($B937,[1]DG!A:D,[1]DG!$C$2,)</f>
        <v>Keo dán ống PVC (100gr)</v>
      </c>
      <c r="G937" s="88" t="str">
        <f>VLOOKUP($B937,[1]DG!A:D,[1]DG!$D$2,)</f>
        <v>tuýp</v>
      </c>
      <c r="H937" s="145"/>
      <c r="I937" s="91">
        <f t="shared" si="43"/>
        <v>0</v>
      </c>
      <c r="J937" s="92"/>
      <c r="K937" s="92"/>
      <c r="L937" s="117"/>
      <c r="M937" s="56" t="s">
        <v>51</v>
      </c>
    </row>
    <row r="938" spans="1:13" s="51" customFormat="1" ht="25.2" hidden="1" customHeight="1">
      <c r="A938" s="68">
        <f t="shared" si="42"/>
        <v>0</v>
      </c>
      <c r="B938" s="69" t="s">
        <v>115</v>
      </c>
      <c r="C938" s="69"/>
      <c r="D938" s="87"/>
      <c r="E938" s="88">
        <f>VLOOKUP($B938,[1]DG!A:D,[1]DG!$B$2,)</f>
        <v>0</v>
      </c>
      <c r="F938" s="89" t="str">
        <f>VLOOKUP($B938,[1]DG!A:D,[1]DG!$C$2,)</f>
        <v>Keo silicon bít miệng ống</v>
      </c>
      <c r="G938" s="88" t="str">
        <f>VLOOKUP($B938,[1]DG!A:D,[1]DG!$D$2,)</f>
        <v>ống</v>
      </c>
      <c r="H938" s="145"/>
      <c r="I938" s="91">
        <f t="shared" si="43"/>
        <v>0</v>
      </c>
      <c r="J938" s="92"/>
      <c r="K938" s="92"/>
      <c r="L938" s="117"/>
      <c r="M938" s="56" t="s">
        <v>51</v>
      </c>
    </row>
    <row r="939" spans="1:13" s="51" customFormat="1" ht="25.2" hidden="1" customHeight="1">
      <c r="A939" s="68">
        <f t="shared" si="42"/>
        <v>0</v>
      </c>
      <c r="B939" s="69" t="s">
        <v>325</v>
      </c>
      <c r="C939" s="69"/>
      <c r="D939" s="87"/>
      <c r="E939" s="88">
        <f>VLOOKUP($B939,[1]DG!A:D,[1]DG!$B$2,)</f>
        <v>0</v>
      </c>
      <c r="F939" s="89" t="str">
        <f>VLOOKUP($B939,[1]DG!A:D,[1]DG!$C$2,)</f>
        <v>Kẹp ép WR cỡ dây 150mm2</v>
      </c>
      <c r="G939" s="88" t="str">
        <f>VLOOKUP($B939,[1]DG!A:D,[1]DG!$D$2,)</f>
        <v>cái</v>
      </c>
      <c r="H939" s="145"/>
      <c r="I939" s="91">
        <f t="shared" si="43"/>
        <v>0</v>
      </c>
      <c r="J939" s="92"/>
      <c r="K939" s="92"/>
      <c r="L939" s="117"/>
      <c r="M939" s="56" t="s">
        <v>51</v>
      </c>
    </row>
    <row r="940" spans="1:13" s="51" customFormat="1" ht="25.2" hidden="1" customHeight="1">
      <c r="A940" s="68">
        <f t="shared" si="42"/>
        <v>0</v>
      </c>
      <c r="B940" s="86" t="s">
        <v>148</v>
      </c>
      <c r="C940" s="86"/>
      <c r="D940" s="87"/>
      <c r="E940" s="88">
        <f>VLOOKUP($B940,[1]DG!A:D,[1]DG!$B$2,)</f>
        <v>0</v>
      </c>
      <c r="F940" s="89" t="str">
        <f>VLOOKUP($B940,[1]DG!A:D,[1]DG!$C$2,)</f>
        <v>Băng keo cách điện</v>
      </c>
      <c r="G940" s="88" t="str">
        <f>VLOOKUP($B940,[1]DG!A:D,[1]DG!$D$2,)</f>
        <v>cuộn</v>
      </c>
      <c r="H940" s="145"/>
      <c r="I940" s="91">
        <f t="shared" si="43"/>
        <v>0</v>
      </c>
      <c r="J940" s="92"/>
      <c r="K940" s="92"/>
      <c r="L940" s="117"/>
      <c r="M940" s="56" t="s">
        <v>51</v>
      </c>
    </row>
    <row r="941" spans="1:13" s="51" customFormat="1" ht="25.2" hidden="1" customHeight="1">
      <c r="A941" s="68">
        <f t="shared" si="42"/>
        <v>0</v>
      </c>
      <c r="B941" s="69" t="s">
        <v>200</v>
      </c>
      <c r="C941" s="69"/>
      <c r="D941" s="96"/>
      <c r="E941" s="88" t="str">
        <f>VLOOKUP($B941,[1]DG!A:D,[1]DG!$B$2,)</f>
        <v>07,2407</v>
      </c>
      <c r="F941" s="89" t="str">
        <f>VLOOKUP($B941,[1]DG!A:D,[1]DG!$C$2,)</f>
        <v>Lắp ống nhựa PVC D114</v>
      </c>
      <c r="G941" s="88" t="str">
        <f>VLOOKUP($B941,[1]DG!A:D,[1]DG!$D$2,)</f>
        <v>mét</v>
      </c>
      <c r="H941" s="94"/>
      <c r="I941" s="91">
        <f t="shared" si="43"/>
        <v>0</v>
      </c>
      <c r="J941" s="92"/>
      <c r="K941" s="92"/>
      <c r="L941" s="117"/>
      <c r="M941" s="56" t="s">
        <v>51</v>
      </c>
    </row>
    <row r="942" spans="1:13" s="51" customFormat="1" ht="25.2" hidden="1" customHeight="1">
      <c r="A942" s="68">
        <f t="shared" si="42"/>
        <v>0</v>
      </c>
      <c r="B942" s="86" t="s">
        <v>326</v>
      </c>
      <c r="C942" s="86"/>
      <c r="D942" s="96"/>
      <c r="E942" s="88" t="str">
        <f>VLOOKUP($B942,[1]DG!A:D,[1]DG!$B$2,)</f>
        <v>04.4202</v>
      </c>
      <c r="F942" s="89" t="str">
        <f>VLOOKUP($B942,[1]DG!A:D,[1]DG!$C$2,)</f>
        <v>Lắp cáp đồng xuống thiết bị D ≤ 150mm2</v>
      </c>
      <c r="G942" s="88" t="str">
        <f>VLOOKUP($B942,[1]DG!A:D,[1]DG!$D$2,)</f>
        <v>m</v>
      </c>
      <c r="H942" s="94"/>
      <c r="I942" s="91">
        <f t="shared" si="43"/>
        <v>0</v>
      </c>
      <c r="J942" s="92"/>
      <c r="K942" s="92"/>
      <c r="L942" s="117"/>
      <c r="M942" s="56" t="s">
        <v>51</v>
      </c>
    </row>
    <row r="943" spans="1:13" s="51" customFormat="1" ht="25.2" hidden="1" customHeight="1">
      <c r="A943" s="68">
        <f t="shared" si="42"/>
        <v>0</v>
      </c>
      <c r="B943" s="69"/>
      <c r="C943" s="69"/>
      <c r="D943" s="295"/>
      <c r="E943" s="296"/>
      <c r="F943" s="267"/>
      <c r="G943" s="297"/>
      <c r="H943" s="298"/>
      <c r="I943" s="298"/>
      <c r="J943" s="298"/>
      <c r="K943" s="298"/>
      <c r="L943" s="298"/>
      <c r="M943" s="56"/>
    </row>
    <row r="944" spans="1:13" s="51" customFormat="1" ht="25.2" hidden="1" customHeight="1">
      <c r="A944" s="68">
        <f t="shared" si="42"/>
        <v>0</v>
      </c>
      <c r="B944" s="69"/>
      <c r="C944" s="69"/>
      <c r="D944" s="299"/>
      <c r="E944" s="299"/>
      <c r="F944" s="300"/>
      <c r="G944" s="301"/>
      <c r="H944" s="302"/>
      <c r="I944" s="91">
        <f t="shared" si="43"/>
        <v>0</v>
      </c>
      <c r="J944" s="300"/>
      <c r="K944" s="300"/>
      <c r="M944" s="56"/>
    </row>
    <row r="945" spans="1:13" s="51" customFormat="1" ht="25.2" hidden="1" customHeight="1">
      <c r="A945" s="68">
        <f t="shared" si="42"/>
        <v>0</v>
      </c>
      <c r="B945" s="52"/>
      <c r="C945" s="52"/>
      <c r="D945" s="131"/>
      <c r="E945" s="56"/>
      <c r="F945" s="303"/>
      <c r="G945" s="56"/>
      <c r="H945" s="66"/>
      <c r="I945" s="91">
        <f t="shared" si="43"/>
        <v>0</v>
      </c>
      <c r="L945" s="56"/>
      <c r="M945" s="56"/>
    </row>
    <row r="946" spans="1:13" s="51" customFormat="1" ht="25.2" hidden="1" customHeight="1">
      <c r="A946" s="68">
        <f t="shared" si="42"/>
        <v>0</v>
      </c>
      <c r="B946" s="262"/>
      <c r="C946" s="262"/>
      <c r="D946" s="304" t="str">
        <f>"BAÛNG TOÅNG HÔÏP VAÄT LIEÄU, NHAÂN COÂNG, MAÙY THI COÂNG : "&amp;L10&amp;" TRAÏM 3P_160KVA ÑO ÑEÁM HAÏ THEÁ"</f>
        <v>BAÛNG TOÅNG HÔÏP VAÄT LIEÄU, NHAÂN COÂNG, MAÙY THI COÂNG :  TRAÏM 3P_160KVA ÑO ÑEÁM HAÏ THEÁ</v>
      </c>
      <c r="E946" s="131"/>
      <c r="F946" s="131"/>
      <c r="G946" s="131"/>
      <c r="H946" s="132"/>
      <c r="I946" s="91">
        <f t="shared" si="43"/>
        <v>0</v>
      </c>
      <c r="J946" s="300"/>
      <c r="K946" s="300"/>
      <c r="L946" s="56"/>
      <c r="M946" s="56"/>
    </row>
    <row r="947" spans="1:13" s="51" customFormat="1" ht="25.2" hidden="1" customHeight="1">
      <c r="A947" s="68">
        <f t="shared" si="42"/>
        <v>0</v>
      </c>
      <c r="B947" s="69"/>
      <c r="C947" s="69"/>
      <c r="D947" s="265"/>
      <c r="E947" s="266"/>
      <c r="F947" s="267" t="s">
        <v>53</v>
      </c>
      <c r="G947" s="268"/>
      <c r="H947" s="305"/>
      <c r="I947" s="91">
        <f t="shared" si="43"/>
        <v>0</v>
      </c>
      <c r="J947" s="268"/>
      <c r="K947" s="268"/>
      <c r="L947" s="100"/>
      <c r="M947" s="56">
        <v>160</v>
      </c>
    </row>
    <row r="948" spans="1:13" s="51" customFormat="1" ht="25.2" hidden="1" customHeight="1">
      <c r="A948" s="68">
        <f t="shared" si="42"/>
        <v>0</v>
      </c>
      <c r="B948" s="86" t="s">
        <v>333</v>
      </c>
      <c r="C948" s="86"/>
      <c r="D948" s="87">
        <f>IF(H948&gt;0,1,0)</f>
        <v>0</v>
      </c>
      <c r="E948" s="88" t="str">
        <f>VLOOKUP($B948,[1]DG!A:D,[1]DG!$B$2,)</f>
        <v>01.1144</v>
      </c>
      <c r="F948" s="89" t="str">
        <f>VLOOKUP($B948,[1]DG!A:D,[1]DG!$C$2,)</f>
        <v>Máy biến áp 22/0,4kV  160kVA</v>
      </c>
      <c r="G948" s="88" t="str">
        <f>VLOOKUP($B948,[1]DG!A:D,[1]DG!$D$2,)</f>
        <v>máy</v>
      </c>
      <c r="H948" s="306">
        <f>L10</f>
        <v>0</v>
      </c>
      <c r="I948" s="91">
        <f t="shared" si="43"/>
        <v>0</v>
      </c>
      <c r="J948" s="92"/>
      <c r="K948" s="92"/>
      <c r="L948" s="307"/>
      <c r="M948" s="56">
        <v>160</v>
      </c>
    </row>
    <row r="949" spans="1:13" s="51" customFormat="1" ht="25.2" hidden="1" customHeight="1">
      <c r="A949" s="68">
        <f t="shared" si="42"/>
        <v>0</v>
      </c>
      <c r="B949" s="86" t="s">
        <v>56</v>
      </c>
      <c r="C949" s="86"/>
      <c r="D949" s="87">
        <f>IF(H949&gt;0,D948+1,D948)</f>
        <v>0</v>
      </c>
      <c r="E949" s="88" t="str">
        <f>VLOOKUP($B949,[1]DG!A:D,[1]DG!$B$2,)</f>
        <v>02.3155</v>
      </c>
      <c r="F949" s="89" t="str">
        <f>VLOOKUP($B949,[1]DG!A:D,[1]DG!$C$2,)</f>
        <v>FCO 27kV - 100A</v>
      </c>
      <c r="G949" s="88" t="str">
        <f>VLOOKUP($B949,[1]DG!A:D,[1]DG!$D$2,)</f>
        <v>cái</v>
      </c>
      <c r="H949" s="145">
        <f>$H$948*3</f>
        <v>0</v>
      </c>
      <c r="I949" s="91">
        <f t="shared" si="43"/>
        <v>0</v>
      </c>
      <c r="J949" s="146"/>
      <c r="K949" s="146"/>
      <c r="L949" s="96"/>
      <c r="M949" s="56">
        <v>160</v>
      </c>
    </row>
    <row r="950" spans="1:13" s="51" customFormat="1" ht="25.2" hidden="1" customHeight="1">
      <c r="A950" s="68">
        <f t="shared" si="42"/>
        <v>0</v>
      </c>
      <c r="B950" s="86" t="str">
        <f>IF(14=15,"chi10","chi6k")</f>
        <v>chi6k</v>
      </c>
      <c r="C950" s="86"/>
      <c r="D950" s="87">
        <f t="shared" ref="D950:D955" si="45">IF(H950&gt;0,D949+1,D949)</f>
        <v>0</v>
      </c>
      <c r="E950" s="88">
        <f>VLOOKUP($B950,[1]DG!A:D,[1]DG!$B$2,)</f>
        <v>0</v>
      </c>
      <c r="F950" s="89" t="str">
        <f>VLOOKUP($B950,[1]DG!A:D,[1]DG!$C$2,)</f>
        <v>Dây chảy 6K</v>
      </c>
      <c r="G950" s="88" t="str">
        <f>VLOOKUP($B950,[1]DG!A:D,[1]DG!$D$2,)</f>
        <v>Sợi</v>
      </c>
      <c r="H950" s="145">
        <f>H949</f>
        <v>0</v>
      </c>
      <c r="I950" s="91">
        <f t="shared" si="43"/>
        <v>0</v>
      </c>
      <c r="J950" s="146"/>
      <c r="K950" s="146"/>
      <c r="L950" s="96"/>
      <c r="M950" s="56">
        <v>160</v>
      </c>
    </row>
    <row r="951" spans="1:13" s="51" customFormat="1" ht="25.2" hidden="1" customHeight="1">
      <c r="A951" s="68">
        <f t="shared" si="42"/>
        <v>0</v>
      </c>
      <c r="B951" s="69" t="s">
        <v>58</v>
      </c>
      <c r="C951" s="69"/>
      <c r="D951" s="87">
        <f t="shared" si="45"/>
        <v>0</v>
      </c>
      <c r="E951" s="88" t="str">
        <f>VLOOKUP($B951,[1]DG!A:D,[1]DG!$B$2,)</f>
        <v>02.5114</v>
      </c>
      <c r="F951" s="89" t="str">
        <f>VLOOKUP($B951,[1]DG!A:D,[1]DG!$C$2,)</f>
        <v>Chống sét van LA-18KV-10KA</v>
      </c>
      <c r="G951" s="88" t="str">
        <f>VLOOKUP($B951,[1]DG!A:D,[1]DG!$D$2,)</f>
        <v>cái</v>
      </c>
      <c r="H951" s="145">
        <f>H949</f>
        <v>0</v>
      </c>
      <c r="I951" s="91">
        <f t="shared" si="43"/>
        <v>0</v>
      </c>
      <c r="J951" s="146"/>
      <c r="K951" s="146"/>
      <c r="L951" s="96"/>
      <c r="M951" s="56">
        <v>160</v>
      </c>
    </row>
    <row r="952" spans="1:13" s="51" customFormat="1" ht="25.2" hidden="1" customHeight="1">
      <c r="A952" s="68">
        <f t="shared" si="42"/>
        <v>0</v>
      </c>
      <c r="B952" s="86" t="s">
        <v>334</v>
      </c>
      <c r="C952" s="86"/>
      <c r="D952" s="87">
        <f t="shared" si="45"/>
        <v>0</v>
      </c>
      <c r="E952" s="88" t="str">
        <f>VLOOKUP($B952,[1]DG!A:D,[1]DG!$B$2,)</f>
        <v>02.8401</v>
      </c>
      <c r="F952" s="89" t="str">
        <f>VLOOKUP($B952,[1]DG!A:D,[1]DG!$C$2,)</f>
        <v xml:space="preserve">MCCB 3 cực 600V -250A - 36KA </v>
      </c>
      <c r="G952" s="88" t="str">
        <f>VLOOKUP($B952,[1]DG!A:D,[1]DG!$D$2,)</f>
        <v>cái</v>
      </c>
      <c r="H952" s="145">
        <f>$H$948</f>
        <v>0</v>
      </c>
      <c r="I952" s="91">
        <f t="shared" si="43"/>
        <v>0</v>
      </c>
      <c r="J952" s="146"/>
      <c r="K952" s="146"/>
      <c r="L952" s="96"/>
      <c r="M952" s="56">
        <v>160</v>
      </c>
    </row>
    <row r="953" spans="1:13" s="51" customFormat="1" ht="25.2" hidden="1" customHeight="1">
      <c r="A953" s="68">
        <f t="shared" si="42"/>
        <v>0</v>
      </c>
      <c r="B953" s="86" t="s">
        <v>335</v>
      </c>
      <c r="C953" s="86"/>
      <c r="D953" s="87">
        <f t="shared" si="45"/>
        <v>0</v>
      </c>
      <c r="E953" s="88" t="str">
        <f>VLOOKUP($B953,[1]DG!A:D,[1]DG!$B$2,)</f>
        <v>02.8534</v>
      </c>
      <c r="F953" s="89" t="str">
        <f>VLOOKUP($B953,[1]DG!A:D,[1]DG!$C$2,)</f>
        <v>Tủ tụ bù hạ thế 80kVAr</v>
      </c>
      <c r="G953" s="88" t="str">
        <f>VLOOKUP($B953,[1]DG!A:D,[1]DG!$D$2,)</f>
        <v>tủ</v>
      </c>
      <c r="H953" s="145">
        <f>$H$948</f>
        <v>0</v>
      </c>
      <c r="I953" s="91">
        <f t="shared" si="43"/>
        <v>0</v>
      </c>
      <c r="J953" s="146"/>
      <c r="K953" s="146"/>
      <c r="L953" s="96"/>
      <c r="M953" s="56">
        <v>160</v>
      </c>
    </row>
    <row r="954" spans="1:13" s="51" customFormat="1" ht="25.2" hidden="1" customHeight="1">
      <c r="A954" s="68">
        <f t="shared" si="42"/>
        <v>0</v>
      </c>
      <c r="B954" s="86" t="s">
        <v>336</v>
      </c>
      <c r="C954" s="86"/>
      <c r="D954" s="87">
        <f t="shared" si="45"/>
        <v>1</v>
      </c>
      <c r="E954" s="88">
        <f>VLOOKUP($B954,[1]DG!A:D,[1]DG!$B$2,)</f>
        <v>0</v>
      </c>
      <c r="F954" s="195" t="str">
        <f>VLOOKUP($B954,[1]DG!A:D,[1]DG!$C$2,)</f>
        <v>Biến dòng 600V - 250/5A</v>
      </c>
      <c r="G954" s="88" t="str">
        <f>VLOOKUP($B954,[1]DG!A:D,[1]DG!$D$2,)</f>
        <v>cái</v>
      </c>
      <c r="H954" s="308">
        <v>3</v>
      </c>
      <c r="I954" s="91">
        <f t="shared" si="43"/>
        <v>0</v>
      </c>
      <c r="J954" s="146"/>
      <c r="K954" s="146"/>
      <c r="L954" s="309" t="s">
        <v>61</v>
      </c>
      <c r="M954" s="56">
        <v>160</v>
      </c>
    </row>
    <row r="955" spans="1:13" s="51" customFormat="1" ht="25.2" hidden="1" customHeight="1">
      <c r="A955" s="68">
        <f t="shared" si="42"/>
        <v>0</v>
      </c>
      <c r="B955" s="310" t="s">
        <v>337</v>
      </c>
      <c r="C955" s="310"/>
      <c r="D955" s="87">
        <f t="shared" si="45"/>
        <v>1</v>
      </c>
      <c r="E955" s="88" t="str">
        <f>VLOOKUP($B955,[1]DG!A:D,[1]DG!$B$2,)</f>
        <v>05.5104</v>
      </c>
      <c r="F955" s="195" t="str">
        <f>VLOOKUP($B955,[1]DG!A:D,[1]DG!$C$2,)</f>
        <v>Điện kế 3 pha 4 dây 220/380V-5A</v>
      </c>
      <c r="G955" s="88" t="str">
        <f>VLOOKUP($B955,[1]DG!A:D,[1]DG!$D$2,)</f>
        <v>cái</v>
      </c>
      <c r="H955" s="308">
        <f>$H$948</f>
        <v>0</v>
      </c>
      <c r="I955" s="91">
        <f t="shared" si="43"/>
        <v>0</v>
      </c>
      <c r="J955" s="146"/>
      <c r="K955" s="146"/>
      <c r="L955" s="311" t="s">
        <v>61</v>
      </c>
      <c r="M955" s="56">
        <v>160</v>
      </c>
    </row>
    <row r="956" spans="1:13" s="51" customFormat="1" ht="25.2" hidden="1" customHeight="1">
      <c r="A956" s="68">
        <f t="shared" si="42"/>
        <v>0</v>
      </c>
      <c r="B956" s="69"/>
      <c r="C956" s="69"/>
      <c r="D956" s="272"/>
      <c r="E956" s="273"/>
      <c r="F956" s="274"/>
      <c r="G956" s="272"/>
      <c r="H956" s="207"/>
      <c r="I956" s="91">
        <f t="shared" si="43"/>
        <v>0</v>
      </c>
      <c r="J956" s="274"/>
      <c r="K956" s="272"/>
      <c r="L956" s="100"/>
      <c r="M956" s="56">
        <v>160</v>
      </c>
    </row>
    <row r="957" spans="1:13" s="51" customFormat="1" ht="25.2" hidden="1" customHeight="1">
      <c r="A957" s="68">
        <f>IF(M957=$M$23,1,0)</f>
        <v>0</v>
      </c>
      <c r="B957" s="69"/>
      <c r="C957" s="69"/>
      <c r="D957" s="276"/>
      <c r="E957" s="277"/>
      <c r="F957" s="312" t="s">
        <v>64</v>
      </c>
      <c r="G957" s="267"/>
      <c r="H957" s="191"/>
      <c r="I957" s="191">
        <f t="shared" si="43"/>
        <v>0</v>
      </c>
      <c r="J957" s="267"/>
      <c r="K957" s="267"/>
      <c r="L957" s="100"/>
      <c r="M957" s="56">
        <v>160</v>
      </c>
    </row>
    <row r="958" spans="1:13" s="51" customFormat="1" ht="25.2" hidden="1" customHeight="1">
      <c r="A958" s="68">
        <f t="shared" ref="A958:A1043" si="46">IF(I958&gt;0,1,0)</f>
        <v>0</v>
      </c>
      <c r="B958" s="313"/>
      <c r="C958" s="313"/>
      <c r="D958" s="314">
        <f>IF(H958&gt;0,1,0)</f>
        <v>0</v>
      </c>
      <c r="E958" s="315"/>
      <c r="F958" s="316" t="s">
        <v>338</v>
      </c>
      <c r="G958" s="317" t="s">
        <v>339</v>
      </c>
      <c r="H958" s="317">
        <f>H948*2*0</f>
        <v>0</v>
      </c>
      <c r="I958" s="91">
        <f t="shared" si="43"/>
        <v>0</v>
      </c>
      <c r="J958" s="318"/>
      <c r="K958" s="318"/>
      <c r="L958" s="96"/>
      <c r="M958" s="56">
        <v>160</v>
      </c>
    </row>
    <row r="959" spans="1:13" s="51" customFormat="1" ht="25.2" hidden="1" customHeight="1">
      <c r="A959" s="68">
        <f t="shared" si="46"/>
        <v>0</v>
      </c>
      <c r="B959" s="86" t="s">
        <v>69</v>
      </c>
      <c r="C959" s="86"/>
      <c r="D959" s="319"/>
      <c r="E959" s="88"/>
      <c r="F959" s="320" t="str">
        <f>VLOOKUP($B959,[1]DG!A:D,[1]DG!$C$2,)</f>
        <v>Trụ BTLT 12m F350 dự ứng lực</v>
      </c>
      <c r="G959" s="88" t="str">
        <f>VLOOKUP($B959,[1]DG!A:D,[1]DG!$D$2,)</f>
        <v>trụ</v>
      </c>
      <c r="H959" s="321">
        <f>H958</f>
        <v>0</v>
      </c>
      <c r="I959" s="91">
        <f t="shared" si="43"/>
        <v>0</v>
      </c>
      <c r="J959" s="92"/>
      <c r="K959" s="111"/>
      <c r="L959" s="96"/>
      <c r="M959" s="56">
        <v>160</v>
      </c>
    </row>
    <row r="960" spans="1:13" s="51" customFormat="1" ht="25.2" hidden="1" customHeight="1">
      <c r="A960" s="68">
        <f t="shared" si="46"/>
        <v>0</v>
      </c>
      <c r="B960" s="86" t="s">
        <v>70</v>
      </c>
      <c r="C960" s="86"/>
      <c r="D960" s="319"/>
      <c r="E960" s="88"/>
      <c r="F960" s="320" t="str">
        <f>VLOOKUP($B960,[1]DG!A:D,[1]DG!$C$2,)</f>
        <v>Vật liệu dựng trụ</v>
      </c>
      <c r="G960" s="88" t="str">
        <f>VLOOKUP($B960,[1]DG!A:D,[1]DG!$D$2,)</f>
        <v>trụ</v>
      </c>
      <c r="H960" s="321">
        <f>H959</f>
        <v>0</v>
      </c>
      <c r="I960" s="91">
        <f t="shared" si="43"/>
        <v>0</v>
      </c>
      <c r="J960" s="111"/>
      <c r="K960" s="111"/>
      <c r="L960" s="96"/>
      <c r="M960" s="56">
        <v>160</v>
      </c>
    </row>
    <row r="961" spans="1:13" s="51" customFormat="1" ht="25.2" hidden="1" customHeight="1">
      <c r="A961" s="68">
        <f t="shared" si="46"/>
        <v>0</v>
      </c>
      <c r="B961" s="86" t="s">
        <v>340</v>
      </c>
      <c r="C961" s="86"/>
      <c r="D961" s="319"/>
      <c r="E961" s="88" t="str">
        <f>VLOOKUP($B961,[1]DG!A:D,[1]DG!$B$2,)</f>
        <v>04.9203</v>
      </c>
      <c r="F961" s="320" t="str">
        <f>VLOOKUP($B961,[1]DG!A:D,[1]DG!$C$2,)</f>
        <v>Dựng trụ BTLT 12m trong TBA bằng thủ công + cơ giới</v>
      </c>
      <c r="G961" s="88" t="str">
        <f>VLOOKUP($B961,[1]DG!A:D,[1]DG!$D$2,)</f>
        <v>trụ</v>
      </c>
      <c r="H961" s="321">
        <f>H959</f>
        <v>0</v>
      </c>
      <c r="I961" s="91">
        <f t="shared" si="43"/>
        <v>0</v>
      </c>
      <c r="J961" s="92"/>
      <c r="K961" s="92"/>
      <c r="L961" s="96"/>
      <c r="M961" s="56">
        <v>160</v>
      </c>
    </row>
    <row r="962" spans="1:13" s="51" customFormat="1" ht="25.2" hidden="1" customHeight="1">
      <c r="A962" s="68">
        <f t="shared" si="46"/>
        <v>0</v>
      </c>
      <c r="B962" s="313"/>
      <c r="C962" s="313"/>
      <c r="D962" s="314">
        <f>IF(H962&gt;0,1,0)</f>
        <v>0</v>
      </c>
      <c r="E962" s="315"/>
      <c r="F962" s="316" t="s">
        <v>341</v>
      </c>
      <c r="G962" s="317" t="s">
        <v>339</v>
      </c>
      <c r="H962" s="317">
        <f>H948*2*0</f>
        <v>0</v>
      </c>
      <c r="I962" s="91">
        <f t="shared" si="43"/>
        <v>0</v>
      </c>
      <c r="J962" s="318"/>
      <c r="K962" s="318"/>
      <c r="L962" s="117"/>
      <c r="M962" s="56">
        <v>160</v>
      </c>
    </row>
    <row r="963" spans="1:13" s="51" customFormat="1" ht="25.2" hidden="1" customHeight="1">
      <c r="A963" s="68">
        <f t="shared" si="46"/>
        <v>0</v>
      </c>
      <c r="B963" s="86" t="s">
        <v>342</v>
      </c>
      <c r="C963" s="86"/>
      <c r="D963" s="319"/>
      <c r="E963" s="88"/>
      <c r="F963" s="320" t="str">
        <f>VLOOKUP($B963,[1]DG!A:D,[1]DG!$C$2,)</f>
        <v>Trụ BTLT 10,5m F350 dự ứng lực</v>
      </c>
      <c r="G963" s="88" t="str">
        <f>VLOOKUP($B963,[1]DG!A:D,[1]DG!$D$2,)</f>
        <v>trụ</v>
      </c>
      <c r="H963" s="321">
        <f>H962</f>
        <v>0</v>
      </c>
      <c r="I963" s="91">
        <f t="shared" si="43"/>
        <v>0</v>
      </c>
      <c r="J963" s="92"/>
      <c r="K963" s="111"/>
      <c r="L963" s="117"/>
      <c r="M963" s="56">
        <v>160</v>
      </c>
    </row>
    <row r="964" spans="1:13" s="51" customFormat="1" ht="25.2" hidden="1" customHeight="1">
      <c r="A964" s="68">
        <f t="shared" si="46"/>
        <v>0</v>
      </c>
      <c r="B964" s="86" t="s">
        <v>70</v>
      </c>
      <c r="C964" s="86"/>
      <c r="D964" s="319"/>
      <c r="E964" s="88"/>
      <c r="F964" s="320" t="str">
        <f>VLOOKUP($B964,[1]DG!A:D,[1]DG!$C$2,)</f>
        <v>Vật liệu dựng trụ</v>
      </c>
      <c r="G964" s="88" t="str">
        <f>VLOOKUP($B964,[1]DG!A:D,[1]DG!$D$2,)</f>
        <v>trụ</v>
      </c>
      <c r="H964" s="321">
        <f>H963</f>
        <v>0</v>
      </c>
      <c r="I964" s="91">
        <f t="shared" si="43"/>
        <v>0</v>
      </c>
      <c r="J964" s="111"/>
      <c r="K964" s="111"/>
      <c r="L964" s="117"/>
      <c r="M964" s="56">
        <v>160</v>
      </c>
    </row>
    <row r="965" spans="1:13" s="51" customFormat="1" ht="25.2" hidden="1" customHeight="1">
      <c r="A965" s="68">
        <f t="shared" si="46"/>
        <v>0</v>
      </c>
      <c r="B965" s="86" t="s">
        <v>343</v>
      </c>
      <c r="C965" s="86"/>
      <c r="D965" s="319"/>
      <c r="E965" s="88" t="str">
        <f>VLOOKUP($B965,[1]DG!A:D,[1]DG!$B$2,)</f>
        <v>04.9203</v>
      </c>
      <c r="F965" s="320" t="str">
        <f>VLOOKUP($B965,[1]DG!A:D,[1]DG!$C$2,)</f>
        <v>Dựng trụ BTLT 10,5m trong TBA bằng thủ công + cơ giới</v>
      </c>
      <c r="G965" s="88" t="str">
        <f>VLOOKUP($B965,[1]DG!A:D,[1]DG!$D$2,)</f>
        <v>trụ</v>
      </c>
      <c r="H965" s="321">
        <f>H963</f>
        <v>0</v>
      </c>
      <c r="I965" s="91">
        <f t="shared" si="43"/>
        <v>0</v>
      </c>
      <c r="J965" s="92"/>
      <c r="K965" s="92"/>
      <c r="L965" s="117"/>
      <c r="M965" s="56">
        <v>160</v>
      </c>
    </row>
    <row r="966" spans="1:13" s="51" customFormat="1" ht="25.2" hidden="1" customHeight="1">
      <c r="A966" s="68">
        <f t="shared" si="46"/>
        <v>0</v>
      </c>
      <c r="B966" s="322"/>
      <c r="C966" s="322"/>
      <c r="D966" s="220">
        <f>IF(H966&gt;0,D958+1,D958)</f>
        <v>0</v>
      </c>
      <c r="E966" s="315"/>
      <c r="F966" s="316" t="s">
        <v>72</v>
      </c>
      <c r="G966" s="317" t="s">
        <v>344</v>
      </c>
      <c r="H966" s="317">
        <f>H958</f>
        <v>0</v>
      </c>
      <c r="I966" s="91">
        <f t="shared" si="43"/>
        <v>0</v>
      </c>
      <c r="J966" s="111"/>
      <c r="K966" s="111"/>
      <c r="L966" s="96"/>
      <c r="M966" s="56">
        <v>160</v>
      </c>
    </row>
    <row r="967" spans="1:13" s="51" customFormat="1" ht="25.2" hidden="1" customHeight="1">
      <c r="A967" s="68">
        <f t="shared" si="46"/>
        <v>0</v>
      </c>
      <c r="B967" s="86" t="s">
        <v>73</v>
      </c>
      <c r="C967" s="86"/>
      <c r="D967" s="319"/>
      <c r="E967" s="88" t="str">
        <f>VLOOKUP($B967,[1]DG!A:D,[1]DG!$B$2,)</f>
        <v>04.4001</v>
      </c>
      <c r="F967" s="320" t="str">
        <f>VLOOKUP($B967,[1]DG!A:D,[1]DG!$C$2,)</f>
        <v>Đà cản BTCT 1,2m</v>
      </c>
      <c r="G967" s="88" t="str">
        <f>VLOOKUP($B967,[1]DG!A:D,[1]DG!$D$2,)</f>
        <v>cái</v>
      </c>
      <c r="H967" s="321">
        <f>H966</f>
        <v>0</v>
      </c>
      <c r="I967" s="91">
        <f t="shared" si="43"/>
        <v>0</v>
      </c>
      <c r="J967" s="92"/>
      <c r="K967" s="111"/>
      <c r="L967" s="96"/>
      <c r="M967" s="56">
        <v>160</v>
      </c>
    </row>
    <row r="968" spans="1:13" s="51" customFormat="1" ht="25.2" hidden="1" customHeight="1">
      <c r="A968" s="68">
        <f t="shared" si="46"/>
        <v>0</v>
      </c>
      <c r="B968" s="86" t="s">
        <v>74</v>
      </c>
      <c r="C968" s="86"/>
      <c r="D968" s="319"/>
      <c r="E968" s="88"/>
      <c r="F968" s="320" t="str">
        <f>VLOOKUP($B968,[1]DG!A:D,[1]DG!$C$2,)</f>
        <v>Boulon 22x650+ 2 long đền vuông D24-50x50x3/Zn</v>
      </c>
      <c r="G968" s="88" t="str">
        <f>VLOOKUP($B968,[1]DG!A:D,[1]DG!$D$2,)</f>
        <v>bộ</v>
      </c>
      <c r="H968" s="321">
        <f>H967</f>
        <v>0</v>
      </c>
      <c r="I968" s="91">
        <f t="shared" si="43"/>
        <v>0</v>
      </c>
      <c r="J968" s="320"/>
      <c r="K968" s="111"/>
      <c r="L968" s="96"/>
      <c r="M968" s="56">
        <v>160</v>
      </c>
    </row>
    <row r="969" spans="1:13" s="51" customFormat="1" ht="25.2" hidden="1" customHeight="1">
      <c r="A969" s="68">
        <f t="shared" si="46"/>
        <v>0</v>
      </c>
      <c r="B969" s="86" t="str">
        <f>IF(chitiet!G5=1,"MDD1",IF(chitiet!G5=2,"MDD2",IF(chitiet!G5=3,"MDD3",IF(chitiet!G5=4,"MDD4"))))</f>
        <v>MDD3</v>
      </c>
      <c r="C969" s="86"/>
      <c r="D969" s="319"/>
      <c r="E969" s="88" t="str">
        <f>VLOOKUP($B969,[1]DG!A:D,[1]DG!$B$2,)</f>
        <v>03.1013</v>
      </c>
      <c r="F969" s="320" t="str">
        <f>VLOOKUP($B969,[1]DG!A:D,[1]DG!$C$2,)</f>
        <v>Đào hố móng đất cấp 3 sâu &gt;1m</v>
      </c>
      <c r="G969" s="88" t="str">
        <f>VLOOKUP($B969,[1]DG!A:D,[1]DG!$D$2,)</f>
        <v>m3</v>
      </c>
      <c r="H969" s="323">
        <f>1.45*H967</f>
        <v>0</v>
      </c>
      <c r="I969" s="91">
        <f t="shared" si="43"/>
        <v>0</v>
      </c>
      <c r="J969" s="324"/>
      <c r="K969" s="111"/>
      <c r="L969" s="96"/>
      <c r="M969" s="56">
        <v>160</v>
      </c>
    </row>
    <row r="970" spans="1:13" s="51" customFormat="1" ht="25.2" hidden="1" customHeight="1">
      <c r="A970" s="68">
        <f t="shared" si="46"/>
        <v>0</v>
      </c>
      <c r="B970" s="86" t="str">
        <f>IF(chitiet!G5=1,"MDAP1",IF(chitiet!G5=2,"MDAP2",IF(chitiet!G5=3,"MDAP3",IF(chitiet!G5=4,"MDAP4"))))</f>
        <v>MDAP3</v>
      </c>
      <c r="C970" s="86"/>
      <c r="D970" s="319"/>
      <c r="E970" s="88" t="str">
        <f>VLOOKUP($B970,[1]DG!A:D,[1]DG!$B$2,)</f>
        <v>03.4113</v>
      </c>
      <c r="F970" s="320" t="str">
        <f>VLOOKUP($B970,[1]DG!A:D,[1]DG!$C$2,)</f>
        <v>Đắp đất hố móng, độ chặt k=0,95</v>
      </c>
      <c r="G970" s="88" t="str">
        <f>VLOOKUP($B970,[1]DG!A:D,[1]DG!$D$2,)</f>
        <v>m3</v>
      </c>
      <c r="H970" s="323">
        <f>1.37*H966</f>
        <v>0</v>
      </c>
      <c r="I970" s="91">
        <f t="shared" si="43"/>
        <v>0</v>
      </c>
      <c r="J970" s="324"/>
      <c r="K970" s="111"/>
      <c r="L970" s="96"/>
      <c r="M970" s="56">
        <v>160</v>
      </c>
    </row>
    <row r="971" spans="1:13" s="51" customFormat="1" ht="25.2" hidden="1" customHeight="1">
      <c r="A971" s="68">
        <f t="shared" si="46"/>
        <v>0</v>
      </c>
      <c r="B971" s="322"/>
      <c r="C971" s="322"/>
      <c r="D971" s="220">
        <f>IF(H971&gt;0,D963+1,D963)</f>
        <v>0</v>
      </c>
      <c r="E971" s="315"/>
      <c r="F971" s="316" t="s">
        <v>345</v>
      </c>
      <c r="G971" s="317" t="s">
        <v>344</v>
      </c>
      <c r="H971" s="317">
        <f>H962*0</f>
        <v>0</v>
      </c>
      <c r="I971" s="91">
        <f t="shared" si="43"/>
        <v>0</v>
      </c>
      <c r="J971" s="111"/>
      <c r="K971" s="111"/>
      <c r="L971" s="117"/>
      <c r="M971" s="56">
        <v>160</v>
      </c>
    </row>
    <row r="972" spans="1:13" s="51" customFormat="1" ht="25.2" hidden="1" customHeight="1">
      <c r="A972" s="68">
        <f t="shared" si="46"/>
        <v>0</v>
      </c>
      <c r="B972" s="86" t="s">
        <v>73</v>
      </c>
      <c r="C972" s="86"/>
      <c r="D972" s="319"/>
      <c r="E972" s="88" t="str">
        <f>VLOOKUP($B972,[1]DG!A:D,[1]DG!$B$2,)</f>
        <v>04.4001</v>
      </c>
      <c r="F972" s="320" t="str">
        <f>VLOOKUP($B972,[1]DG!A:D,[1]DG!$C$2,)</f>
        <v>Đà cản BTCT 1,2m</v>
      </c>
      <c r="G972" s="88" t="str">
        <f>VLOOKUP($B972,[1]DG!A:D,[1]DG!$D$2,)</f>
        <v>cái</v>
      </c>
      <c r="H972" s="321">
        <f>H971</f>
        <v>0</v>
      </c>
      <c r="I972" s="91">
        <f t="shared" si="43"/>
        <v>0</v>
      </c>
      <c r="J972" s="92"/>
      <c r="K972" s="111"/>
      <c r="L972" s="117"/>
      <c r="M972" s="56">
        <v>160</v>
      </c>
    </row>
    <row r="973" spans="1:13" s="51" customFormat="1" ht="25.2" hidden="1" customHeight="1">
      <c r="A973" s="68">
        <f t="shared" si="46"/>
        <v>0</v>
      </c>
      <c r="B973" s="86" t="s">
        <v>74</v>
      </c>
      <c r="C973" s="86"/>
      <c r="D973" s="319"/>
      <c r="E973" s="88"/>
      <c r="F973" s="320" t="str">
        <f>VLOOKUP($B973,[1]DG!A:D,[1]DG!$C$2,)</f>
        <v>Boulon 22x650+ 2 long đền vuông D24-50x50x3/Zn</v>
      </c>
      <c r="G973" s="88" t="str">
        <f>VLOOKUP($B973,[1]DG!A:D,[1]DG!$D$2,)</f>
        <v>bộ</v>
      </c>
      <c r="H973" s="321">
        <f>H972</f>
        <v>0</v>
      </c>
      <c r="I973" s="91">
        <f t="shared" si="43"/>
        <v>0</v>
      </c>
      <c r="J973" s="320"/>
      <c r="K973" s="111"/>
      <c r="L973" s="117"/>
      <c r="M973" s="56">
        <v>160</v>
      </c>
    </row>
    <row r="974" spans="1:13" s="51" customFormat="1" ht="25.2" hidden="1" customHeight="1">
      <c r="A974" s="68">
        <f t="shared" si="46"/>
        <v>0</v>
      </c>
      <c r="B974" s="86" t="str">
        <f>IF(chitiet!G5=1,"MDD1",IF(chitiet!G5=2,"MDD2",IF(chitiet!G5=3,"MDD3",IF(chitiet!G5=4,"MDD4"))))</f>
        <v>MDD3</v>
      </c>
      <c r="C974" s="86"/>
      <c r="D974" s="319"/>
      <c r="E974" s="88" t="str">
        <f>VLOOKUP($B974,[1]DG!A:D,[1]DG!$B$2,)</f>
        <v>03.1013</v>
      </c>
      <c r="F974" s="320" t="str">
        <f>VLOOKUP($B974,[1]DG!A:D,[1]DG!$C$2,)</f>
        <v>Đào hố móng đất cấp 3 sâu &gt;1m</v>
      </c>
      <c r="G974" s="88" t="str">
        <f>VLOOKUP($B974,[1]DG!A:D,[1]DG!$D$2,)</f>
        <v>m3</v>
      </c>
      <c r="H974" s="323">
        <f>1.48*H972</f>
        <v>0</v>
      </c>
      <c r="I974" s="91">
        <f t="shared" si="43"/>
        <v>0</v>
      </c>
      <c r="J974" s="324"/>
      <c r="K974" s="111"/>
      <c r="L974" s="117"/>
      <c r="M974" s="56">
        <v>160</v>
      </c>
    </row>
    <row r="975" spans="1:13" s="51" customFormat="1" ht="25.2" hidden="1" customHeight="1">
      <c r="A975" s="68">
        <f t="shared" si="46"/>
        <v>0</v>
      </c>
      <c r="B975" s="86" t="str">
        <f>IF(chitiet!G5=1,"MDAP1",IF(chitiet!G5=2,"MDAP2",IF(chitiet!G5=3,"MDAP3",IF(chitiet!G5=4,"MDAP4"))))</f>
        <v>MDAP3</v>
      </c>
      <c r="C975" s="86"/>
      <c r="D975" s="319"/>
      <c r="E975" s="88" t="str">
        <f>VLOOKUP($B975,[1]DG!A:D,[1]DG!$B$2,)</f>
        <v>03.4113</v>
      </c>
      <c r="F975" s="320" t="str">
        <f>VLOOKUP($B975,[1]DG!A:D,[1]DG!$C$2,)</f>
        <v>Đắp đất hố móng, độ chặt k=0,95</v>
      </c>
      <c r="G975" s="88" t="str">
        <f>VLOOKUP($B975,[1]DG!A:D,[1]DG!$D$2,)</f>
        <v>m3</v>
      </c>
      <c r="H975" s="323">
        <f>1.39*H971</f>
        <v>0</v>
      </c>
      <c r="I975" s="91">
        <f t="shared" si="43"/>
        <v>0</v>
      </c>
      <c r="J975" s="324"/>
      <c r="K975" s="111"/>
      <c r="L975" s="117"/>
      <c r="M975" s="56">
        <v>160</v>
      </c>
    </row>
    <row r="976" spans="1:13" s="51" customFormat="1" ht="25.2" hidden="1" customHeight="1">
      <c r="A976" s="68">
        <f t="shared" si="46"/>
        <v>0</v>
      </c>
      <c r="B976" s="69"/>
      <c r="C976" s="69"/>
      <c r="D976" s="220">
        <f>IF(H976&gt;0,D966+1,D966)</f>
        <v>0</v>
      </c>
      <c r="E976" s="325"/>
      <c r="F976" s="316" t="s">
        <v>346</v>
      </c>
      <c r="G976" s="314" t="s">
        <v>67</v>
      </c>
      <c r="H976" s="326"/>
      <c r="I976" s="91">
        <f t="shared" si="43"/>
        <v>0</v>
      </c>
      <c r="J976" s="327"/>
      <c r="K976" s="327"/>
      <c r="L976" s="117"/>
      <c r="M976" s="56">
        <v>160</v>
      </c>
    </row>
    <row r="977" spans="1:13" s="51" customFormat="1" ht="25.2" hidden="1" customHeight="1">
      <c r="A977" s="68">
        <f>IF(A976&gt;0,1,0)</f>
        <v>0</v>
      </c>
      <c r="B977" s="69"/>
      <c r="C977" s="69"/>
      <c r="D977" s="111"/>
      <c r="E977" s="328"/>
      <c r="F977" s="243" t="s">
        <v>68</v>
      </c>
      <c r="G977" s="87"/>
      <c r="H977" s="145"/>
      <c r="I977" s="91">
        <f t="shared" si="43"/>
        <v>0</v>
      </c>
      <c r="J977" s="282"/>
      <c r="K977" s="282"/>
      <c r="L977" s="117"/>
      <c r="M977" s="56">
        <v>160</v>
      </c>
    </row>
    <row r="978" spans="1:13" s="51" customFormat="1" ht="25.2" hidden="1" customHeight="1">
      <c r="A978" s="68">
        <f t="shared" si="46"/>
        <v>0</v>
      </c>
      <c r="B978" s="86" t="s">
        <v>347</v>
      </c>
      <c r="C978" s="86"/>
      <c r="D978" s="111"/>
      <c r="E978" s="88" t="str">
        <f>VLOOKUP($B978,[1]DG!A:D,[1]DG!$B$2,)</f>
        <v>05.6105</v>
      </c>
      <c r="F978" s="89" t="str">
        <f>VLOOKUP($B978,[1]DG!A:D,[1]DG!$C$2,)&amp;": 2 cái"</f>
        <v>Đà U160x68x5x2800 đỡ MBA: 2 cái</v>
      </c>
      <c r="G978" s="88" t="str">
        <f>VLOOKUP($B978,[1]DG!A:D,[1]DG!$D$2,)</f>
        <v>cái</v>
      </c>
      <c r="H978" s="145">
        <f>52.049*$H$976*2</f>
        <v>0</v>
      </c>
      <c r="I978" s="91">
        <f t="shared" si="43"/>
        <v>0</v>
      </c>
      <c r="J978" s="92"/>
      <c r="K978" s="92"/>
      <c r="L978" s="117"/>
      <c r="M978" s="56">
        <v>160</v>
      </c>
    </row>
    <row r="979" spans="1:13" s="51" customFormat="1" ht="25.2" hidden="1" customHeight="1">
      <c r="A979" s="68">
        <f t="shared" si="46"/>
        <v>0</v>
      </c>
      <c r="B979" s="86" t="s">
        <v>348</v>
      </c>
      <c r="C979" s="86"/>
      <c r="D979" s="111"/>
      <c r="E979" s="88" t="str">
        <f>VLOOKUP($B979,[1]DG!A:D,[1]DG!$B$2,)</f>
        <v>05.6101</v>
      </c>
      <c r="F979" s="89" t="str">
        <f>VLOOKUP($B979,[1]DG!A:D,[1]DG!$C$2,)&amp;": 4 cái"</f>
        <v>Đà U100x46x4.5x400 : 4 cái</v>
      </c>
      <c r="G979" s="88" t="str">
        <f>VLOOKUP($B979,[1]DG!A:D,[1]DG!$D$2,)</f>
        <v>cái</v>
      </c>
      <c r="H979" s="145">
        <f>$H$976*2.713*4</f>
        <v>0</v>
      </c>
      <c r="I979" s="91">
        <f t="shared" si="43"/>
        <v>0</v>
      </c>
      <c r="J979" s="92"/>
      <c r="K979" s="92"/>
      <c r="L979" s="117"/>
      <c r="M979" s="56">
        <v>160</v>
      </c>
    </row>
    <row r="980" spans="1:13" s="51" customFormat="1" ht="25.2" hidden="1" customHeight="1">
      <c r="A980" s="68">
        <f t="shared" si="46"/>
        <v>0</v>
      </c>
      <c r="B980" s="86" t="s">
        <v>349</v>
      </c>
      <c r="C980" s="86"/>
      <c r="D980" s="111"/>
      <c r="E980" s="88" t="str">
        <f>VLOOKUP($B980,[1]DG!A:D,[1]DG!$B$2,)</f>
        <v>05.6101</v>
      </c>
      <c r="F980" s="89" t="str">
        <f>VLOOKUP($B980,[1]DG!A:D,[1]DG!$C$2,)&amp;": 2 cái"</f>
        <v>Đà U100x46x5x800 : 2 cái</v>
      </c>
      <c r="G980" s="88" t="str">
        <f>VLOOKUP($B980,[1]DG!A:D,[1]DG!$D$2,)</f>
        <v>cái</v>
      </c>
      <c r="H980" s="145">
        <f>$H$976*5.426*2</f>
        <v>0</v>
      </c>
      <c r="I980" s="91">
        <f t="shared" si="43"/>
        <v>0</v>
      </c>
      <c r="J980" s="92"/>
      <c r="K980" s="92"/>
      <c r="L980" s="117"/>
      <c r="M980" s="56">
        <v>160</v>
      </c>
    </row>
    <row r="981" spans="1:13" s="51" customFormat="1" ht="25.2" hidden="1" customHeight="1">
      <c r="A981" s="68">
        <f t="shared" si="46"/>
        <v>0</v>
      </c>
      <c r="B981" s="69" t="s">
        <v>350</v>
      </c>
      <c r="C981" s="69"/>
      <c r="D981" s="111"/>
      <c r="E981" s="88">
        <f>VLOOKUP($B981,[1]DG!A:D,[1]DG!$B$2,)</f>
        <v>0</v>
      </c>
      <c r="F981" s="89" t="str">
        <f>VLOOKUP($B981,[1]DG!A:D,[1]DG!$C$2,)</f>
        <v>Boulon 16x400VRS+ 4 long đền vuông D18-50x50x3/Zn</v>
      </c>
      <c r="G981" s="88" t="str">
        <f>VLOOKUP($B981,[1]DG!A:D,[1]DG!$D$2,)</f>
        <v>bộ</v>
      </c>
      <c r="H981" s="145">
        <f>$H$976*10</f>
        <v>0</v>
      </c>
      <c r="I981" s="91">
        <f t="shared" si="43"/>
        <v>0</v>
      </c>
      <c r="J981" s="92"/>
      <c r="K981" s="92"/>
      <c r="L981" s="117"/>
      <c r="M981" s="56">
        <v>160</v>
      </c>
    </row>
    <row r="982" spans="1:13" s="51" customFormat="1" ht="25.2" hidden="1" customHeight="1">
      <c r="A982" s="68">
        <f t="shared" si="46"/>
        <v>0</v>
      </c>
      <c r="B982" s="69" t="s">
        <v>265</v>
      </c>
      <c r="C982" s="69"/>
      <c r="D982" s="111"/>
      <c r="E982" s="88">
        <f>VLOOKUP($B982,[1]DG!A:D,[1]DG!$B$2,)</f>
        <v>0</v>
      </c>
      <c r="F982" s="89" t="str">
        <f>VLOOKUP($B982,[1]DG!A:D,[1]DG!$C$2,)</f>
        <v>Boulon 16x400+ 2 long đền vuông D18-50x50x3/Zn</v>
      </c>
      <c r="G982" s="88" t="str">
        <f>VLOOKUP($B982,[1]DG!A:D,[1]DG!$D$2,)</f>
        <v>bộ</v>
      </c>
      <c r="H982" s="145">
        <f>$H$976*2</f>
        <v>0</v>
      </c>
      <c r="I982" s="91">
        <f t="shared" si="43"/>
        <v>0</v>
      </c>
      <c r="J982" s="92"/>
      <c r="K982" s="92"/>
      <c r="L982" s="117"/>
      <c r="M982" s="56">
        <v>160</v>
      </c>
    </row>
    <row r="983" spans="1:13" s="51" customFormat="1" ht="25.2" hidden="1" customHeight="1">
      <c r="A983" s="68">
        <f t="shared" si="46"/>
        <v>0</v>
      </c>
      <c r="B983" s="69" t="s">
        <v>123</v>
      </c>
      <c r="C983" s="69"/>
      <c r="D983" s="111"/>
      <c r="E983" s="88">
        <f>VLOOKUP($B983,[1]DG!A:D,[1]DG!$B$2,)</f>
        <v>0</v>
      </c>
      <c r="F983" s="89" t="str">
        <f>VLOOKUP($B983,[1]DG!A:D,[1]DG!$C$2,)</f>
        <v>Boulon 16x350+ 2 long đền vuông D18-50x50x3/Zn</v>
      </c>
      <c r="G983" s="88" t="str">
        <f>VLOOKUP($B983,[1]DG!A:D,[1]DG!$D$2,)</f>
        <v>bộ</v>
      </c>
      <c r="H983" s="145">
        <f>$H$976*12</f>
        <v>0</v>
      </c>
      <c r="I983" s="91">
        <f t="shared" si="43"/>
        <v>0</v>
      </c>
      <c r="J983" s="92"/>
      <c r="K983" s="92"/>
      <c r="L983" s="117"/>
      <c r="M983" s="56">
        <v>160</v>
      </c>
    </row>
    <row r="984" spans="1:13" s="51" customFormat="1" ht="25.2" hidden="1" customHeight="1">
      <c r="A984" s="68">
        <f t="shared" si="46"/>
        <v>0</v>
      </c>
      <c r="B984" s="69"/>
      <c r="C984" s="69"/>
      <c r="D984" s="220">
        <f>IF(H984&gt;0,D974+1,D974)</f>
        <v>1</v>
      </c>
      <c r="E984" s="325"/>
      <c r="F984" s="316" t="s">
        <v>351</v>
      </c>
      <c r="G984" s="314" t="s">
        <v>67</v>
      </c>
      <c r="H984" s="326">
        <v>1</v>
      </c>
      <c r="I984" s="91">
        <f t="shared" si="43"/>
        <v>0</v>
      </c>
      <c r="J984" s="327"/>
      <c r="K984" s="327"/>
      <c r="L984" s="117"/>
      <c r="M984" s="56">
        <v>160</v>
      </c>
    </row>
    <row r="985" spans="1:13" s="51" customFormat="1" ht="25.2" hidden="1" customHeight="1">
      <c r="A985" s="68">
        <f>IF(A984&gt;0,1,0)</f>
        <v>0</v>
      </c>
      <c r="B985" s="69"/>
      <c r="C985" s="69"/>
      <c r="D985" s="111"/>
      <c r="E985" s="328"/>
      <c r="F985" s="243" t="s">
        <v>68</v>
      </c>
      <c r="G985" s="87"/>
      <c r="H985" s="145"/>
      <c r="I985" s="91">
        <f t="shared" si="43"/>
        <v>0</v>
      </c>
      <c r="J985" s="282"/>
      <c r="K985" s="282"/>
      <c r="L985" s="117"/>
      <c r="M985" s="56">
        <v>160</v>
      </c>
    </row>
    <row r="986" spans="1:13" s="51" customFormat="1" ht="25.2" hidden="1" customHeight="1">
      <c r="A986" s="68">
        <f t="shared" ref="A986:A999" si="47">IF(I986&gt;0,1,0)</f>
        <v>0</v>
      </c>
      <c r="B986" s="86" t="s">
        <v>352</v>
      </c>
      <c r="C986" s="86"/>
      <c r="D986" s="111"/>
      <c r="E986" s="88">
        <f>VLOOKUP($B986,[1]DG!A:D,[1]DG!$B$2,)</f>
        <v>0</v>
      </c>
      <c r="F986" s="89" t="str">
        <f>VLOOKUP($B986,[1]DG!A:D,[1]DG!$C$2,)</f>
        <v>Đà U100x46x4.5x500</v>
      </c>
      <c r="G986" s="88" t="str">
        <f>VLOOKUP($B986,[1]DG!A:D,[1]DG!$D$2,)</f>
        <v>cái</v>
      </c>
      <c r="H986" s="145">
        <v>2</v>
      </c>
      <c r="I986" s="91">
        <f t="shared" si="43"/>
        <v>0</v>
      </c>
      <c r="J986" s="92"/>
      <c r="K986" s="92"/>
      <c r="L986" s="117"/>
      <c r="M986" s="56">
        <v>160</v>
      </c>
    </row>
    <row r="987" spans="1:13" s="51" customFormat="1" ht="25.2" hidden="1" customHeight="1">
      <c r="A987" s="68">
        <f t="shared" si="47"/>
        <v>0</v>
      </c>
      <c r="B987" s="86" t="s">
        <v>353</v>
      </c>
      <c r="C987" s="86"/>
      <c r="D987" s="111"/>
      <c r="E987" s="88">
        <f>VLOOKUP($B987,[1]DG!A:D,[1]DG!$B$2,)</f>
        <v>0</v>
      </c>
      <c r="F987" s="89" t="str">
        <f>VLOOKUP($B987,[1]DG!A:D,[1]DG!$C$2,)</f>
        <v>Đà U100x46x4.5x700</v>
      </c>
      <c r="G987" s="88" t="str">
        <f>VLOOKUP($B987,[1]DG!A:D,[1]DG!$D$2,)</f>
        <v>cái</v>
      </c>
      <c r="H987" s="145">
        <v>3</v>
      </c>
      <c r="I987" s="91">
        <f t="shared" si="43"/>
        <v>0</v>
      </c>
      <c r="J987" s="92"/>
      <c r="K987" s="92"/>
      <c r="L987" s="117"/>
      <c r="M987" s="56">
        <v>160</v>
      </c>
    </row>
    <row r="988" spans="1:13" s="51" customFormat="1" ht="25.2" hidden="1" customHeight="1">
      <c r="A988" s="68">
        <f t="shared" si="47"/>
        <v>0</v>
      </c>
      <c r="B988" s="86" t="s">
        <v>354</v>
      </c>
      <c r="C988" s="86"/>
      <c r="D988" s="111"/>
      <c r="E988" s="88">
        <f>VLOOKUP($B988,[1]DG!A:D,[1]DG!$B$2,)</f>
        <v>0</v>
      </c>
      <c r="F988" s="89" t="str">
        <f>VLOOKUP($B988,[1]DG!A:D,[1]DG!$C$2,)</f>
        <v>Đà U100x68x5x740</v>
      </c>
      <c r="G988" s="88" t="str">
        <f>VLOOKUP($B988,[1]DG!A:D,[1]DG!$D$2,)</f>
        <v>cái</v>
      </c>
      <c r="H988" s="145">
        <v>1</v>
      </c>
      <c r="I988" s="91">
        <f t="shared" ref="I988:I1051" si="48">IF(M988=$M$23,H988+J988-K988,0)</f>
        <v>0</v>
      </c>
      <c r="J988" s="92"/>
      <c r="K988" s="92"/>
      <c r="L988" s="117"/>
      <c r="M988" s="56">
        <v>160</v>
      </c>
    </row>
    <row r="989" spans="1:13" s="51" customFormat="1" ht="25.2" hidden="1" customHeight="1">
      <c r="A989" s="68">
        <f t="shared" si="47"/>
        <v>0</v>
      </c>
      <c r="B989" s="86" t="s">
        <v>355</v>
      </c>
      <c r="C989" s="86"/>
      <c r="D989" s="111"/>
      <c r="E989" s="88">
        <f>VLOOKUP($B989,[1]DG!A:D,[1]DG!$B$2,)</f>
        <v>0</v>
      </c>
      <c r="F989" s="89" t="str">
        <f>VLOOKUP($B989,[1]DG!A:D,[1]DG!$C$2,)</f>
        <v>Đà U100x68x5x1100</v>
      </c>
      <c r="G989" s="88" t="str">
        <f>VLOOKUP($B989,[1]DG!A:D,[1]DG!$D$2,)</f>
        <v>cái</v>
      </c>
      <c r="H989" s="145">
        <v>2</v>
      </c>
      <c r="I989" s="91">
        <f t="shared" si="48"/>
        <v>0</v>
      </c>
      <c r="J989" s="92"/>
      <c r="K989" s="92"/>
      <c r="L989" s="117"/>
      <c r="M989" s="56">
        <v>160</v>
      </c>
    </row>
    <row r="990" spans="1:13" s="51" customFormat="1" ht="25.2" hidden="1" customHeight="1">
      <c r="A990" s="68">
        <f t="shared" si="47"/>
        <v>0</v>
      </c>
      <c r="B990" s="86" t="s">
        <v>356</v>
      </c>
      <c r="C990" s="86"/>
      <c r="D990" s="111"/>
      <c r="E990" s="88">
        <f>VLOOKUP($B990,[1]DG!A:D,[1]DG!$B$2,)</f>
        <v>0</v>
      </c>
      <c r="F990" s="89" t="str">
        <f>VLOOKUP($B990,[1]DG!A:D,[1]DG!$C$2,)</f>
        <v>Đà U100x68x5x1449</v>
      </c>
      <c r="G990" s="88" t="str">
        <f>VLOOKUP($B990,[1]DG!A:D,[1]DG!$D$2,)</f>
        <v>cái</v>
      </c>
      <c r="H990" s="145">
        <v>1</v>
      </c>
      <c r="I990" s="91">
        <f t="shared" si="48"/>
        <v>0</v>
      </c>
      <c r="J990" s="92"/>
      <c r="K990" s="92"/>
      <c r="L990" s="117"/>
      <c r="M990" s="56">
        <v>160</v>
      </c>
    </row>
    <row r="991" spans="1:13" s="51" customFormat="1" ht="25.2" hidden="1" customHeight="1">
      <c r="A991" s="68">
        <f t="shared" si="47"/>
        <v>0</v>
      </c>
      <c r="B991" s="86" t="s">
        <v>357</v>
      </c>
      <c r="C991" s="86"/>
      <c r="D991" s="111"/>
      <c r="E991" s="88">
        <f>VLOOKUP($B991,[1]DG!A:D,[1]DG!$B$2,)</f>
        <v>0</v>
      </c>
      <c r="F991" s="89" t="str">
        <f>VLOOKUP($B991,[1]DG!A:D,[1]DG!$C$2,)</f>
        <v>Đà U100x68x5x1700</v>
      </c>
      <c r="G991" s="88" t="str">
        <f>VLOOKUP($B991,[1]DG!A:D,[1]DG!$D$2,)</f>
        <v>cái</v>
      </c>
      <c r="H991" s="145">
        <v>2</v>
      </c>
      <c r="I991" s="91">
        <f t="shared" si="48"/>
        <v>0</v>
      </c>
      <c r="J991" s="92"/>
      <c r="K991" s="92"/>
      <c r="L991" s="117"/>
      <c r="M991" s="56">
        <v>160</v>
      </c>
    </row>
    <row r="992" spans="1:13" s="51" customFormat="1" ht="25.2" hidden="1" customHeight="1">
      <c r="A992" s="68">
        <f t="shared" si="47"/>
        <v>0</v>
      </c>
      <c r="B992" s="86" t="s">
        <v>358</v>
      </c>
      <c r="C992" s="86"/>
      <c r="D992" s="111"/>
      <c r="E992" s="88">
        <f>VLOOKUP($B992,[1]DG!A:D,[1]DG!$B$2,)</f>
        <v>0</v>
      </c>
      <c r="F992" s="89" t="str">
        <f>VLOOKUP($B992,[1]DG!A:D,[1]DG!$C$2,)</f>
        <v>Đà U100x68x5x2100</v>
      </c>
      <c r="G992" s="88" t="str">
        <f>VLOOKUP($B992,[1]DG!A:D,[1]DG!$D$2,)</f>
        <v>cái</v>
      </c>
      <c r="H992" s="145">
        <v>2</v>
      </c>
      <c r="I992" s="91">
        <f t="shared" si="48"/>
        <v>0</v>
      </c>
      <c r="J992" s="92"/>
      <c r="K992" s="92"/>
      <c r="L992" s="117"/>
      <c r="M992" s="56">
        <v>160</v>
      </c>
    </row>
    <row r="993" spans="1:13" s="51" customFormat="1" ht="25.2" hidden="1" customHeight="1">
      <c r="A993" s="68">
        <f t="shared" si="47"/>
        <v>0</v>
      </c>
      <c r="B993" s="69" t="s">
        <v>231</v>
      </c>
      <c r="C993" s="69"/>
      <c r="D993" s="111"/>
      <c r="E993" s="88">
        <f>VLOOKUP($B993,[1]DG!A:D,[1]DG!$B$2,)</f>
        <v>0</v>
      </c>
      <c r="F993" s="89" t="str">
        <f>VLOOKUP($B993,[1]DG!A:D,[1]DG!$C$2,)</f>
        <v>Boulon 16x50+ 2 long đền vuông D18-50x50x3/Zn</v>
      </c>
      <c r="G993" s="88" t="str">
        <f>VLOOKUP($B993,[1]DG!A:D,[1]DG!$D$2,)</f>
        <v>bộ</v>
      </c>
      <c r="H993" s="145">
        <v>24</v>
      </c>
      <c r="I993" s="91">
        <f t="shared" si="48"/>
        <v>0</v>
      </c>
      <c r="J993" s="92"/>
      <c r="K993" s="92"/>
      <c r="L993" s="117"/>
      <c r="M993" s="56">
        <v>160</v>
      </c>
    </row>
    <row r="994" spans="1:13" s="51" customFormat="1" ht="25.2" hidden="1" customHeight="1">
      <c r="A994" s="68">
        <f t="shared" si="47"/>
        <v>0</v>
      </c>
      <c r="B994" s="69" t="s">
        <v>359</v>
      </c>
      <c r="C994" s="69"/>
      <c r="D994" s="111"/>
      <c r="E994" s="88">
        <f>VLOOKUP($B994,[1]DG!A:D,[1]DG!$B$2,)</f>
        <v>0</v>
      </c>
      <c r="F994" s="89" t="str">
        <f>VLOOKUP($B994,[1]DG!A:D,[1]DG!$C$2,)</f>
        <v>Boulon 16x200+ 2 long đền vuông D18-50x50x3/Zn</v>
      </c>
      <c r="G994" s="88" t="str">
        <f>VLOOKUP($B994,[1]DG!A:D,[1]DG!$D$2,)</f>
        <v>bộ</v>
      </c>
      <c r="H994" s="145">
        <v>4</v>
      </c>
      <c r="I994" s="91">
        <f t="shared" si="48"/>
        <v>0</v>
      </c>
      <c r="J994" s="92"/>
      <c r="K994" s="92"/>
      <c r="L994" s="117"/>
      <c r="M994" s="56">
        <v>160</v>
      </c>
    </row>
    <row r="995" spans="1:13" s="51" customFormat="1" ht="25.2" hidden="1" customHeight="1">
      <c r="A995" s="68">
        <f t="shared" si="47"/>
        <v>0</v>
      </c>
      <c r="B995" s="69" t="s">
        <v>360</v>
      </c>
      <c r="C995" s="69"/>
      <c r="D995" s="111"/>
      <c r="E995" s="88">
        <f>VLOOKUP($B995,[1]DG!A:D,[1]DG!$B$2,)</f>
        <v>0</v>
      </c>
      <c r="F995" s="89" t="str">
        <f>VLOOKUP($B995,[1]DG!A:D,[1]DG!$C$2,)</f>
        <v>Boulon 16x350VRS+ 4 long đền vuông D18-50x50x3/Zn</v>
      </c>
      <c r="G995" s="88" t="str">
        <f>VLOOKUP($B995,[1]DG!A:D,[1]DG!$D$2,)</f>
        <v>bộ</v>
      </c>
      <c r="H995" s="145">
        <v>4</v>
      </c>
      <c r="I995" s="91">
        <f t="shared" si="48"/>
        <v>0</v>
      </c>
      <c r="J995" s="92"/>
      <c r="K995" s="92"/>
      <c r="L995" s="117"/>
      <c r="M995" s="56">
        <v>160</v>
      </c>
    </row>
    <row r="996" spans="1:13" s="51" customFormat="1" ht="25.2" hidden="1" customHeight="1">
      <c r="A996" s="68">
        <f t="shared" si="47"/>
        <v>0</v>
      </c>
      <c r="B996" s="69" t="s">
        <v>361</v>
      </c>
      <c r="C996" s="69"/>
      <c r="D996" s="111"/>
      <c r="E996" s="88">
        <f>VLOOKUP($B996,[1]DG!A:D,[1]DG!$B$2,)</f>
        <v>0</v>
      </c>
      <c r="F996" s="89" t="str">
        <f>VLOOKUP($B996,[1]DG!A:D,[1]DG!$C$2,)</f>
        <v>Boulon 16x750VRS+ 4 long đền vuông D18-50x50x3/Zn</v>
      </c>
      <c r="G996" s="88" t="str">
        <f>VLOOKUP($B996,[1]DG!A:D,[1]DG!$D$2,)</f>
        <v>bộ</v>
      </c>
      <c r="H996" s="145">
        <v>6</v>
      </c>
      <c r="I996" s="91">
        <f t="shared" si="48"/>
        <v>0</v>
      </c>
      <c r="J996" s="92"/>
      <c r="K996" s="92"/>
      <c r="L996" s="117"/>
      <c r="M996" s="56">
        <v>160</v>
      </c>
    </row>
    <row r="997" spans="1:13" s="51" customFormat="1" ht="25.2" hidden="1" customHeight="1">
      <c r="A997" s="68">
        <f t="shared" si="47"/>
        <v>0</v>
      </c>
      <c r="B997" s="69" t="s">
        <v>362</v>
      </c>
      <c r="C997" s="69"/>
      <c r="D997" s="111"/>
      <c r="E997" s="88">
        <f>VLOOKUP($B997,[1]DG!A:D,[1]DG!$B$2,)</f>
        <v>0</v>
      </c>
      <c r="F997" s="89" t="str">
        <f>VLOOKUP($B997,[1]DG!A:D,[1]DG!$C$2,)</f>
        <v>Boulon 16x800VRS+ 4 long đền vuông D18-50x50x3/Zn</v>
      </c>
      <c r="G997" s="88" t="str">
        <f>VLOOKUP($B997,[1]DG!A:D,[1]DG!$D$2,)</f>
        <v>bộ</v>
      </c>
      <c r="H997" s="145">
        <v>4</v>
      </c>
      <c r="I997" s="91">
        <f t="shared" si="48"/>
        <v>0</v>
      </c>
      <c r="J997" s="92"/>
      <c r="K997" s="92"/>
      <c r="L997" s="117"/>
      <c r="M997" s="56">
        <v>160</v>
      </c>
    </row>
    <row r="998" spans="1:13" s="51" customFormat="1" ht="25.2" hidden="1" customHeight="1">
      <c r="A998" s="68">
        <f t="shared" si="47"/>
        <v>0</v>
      </c>
      <c r="B998" s="69" t="s">
        <v>363</v>
      </c>
      <c r="C998" s="69"/>
      <c r="D998" s="111"/>
      <c r="E998" s="88" t="str">
        <f>VLOOKUP($B998,[1]DG!A:D,[1]DG!$B$2,)</f>
        <v>05.6044</v>
      </c>
      <c r="F998" s="89" t="s">
        <v>364</v>
      </c>
      <c r="G998" s="88" t="s">
        <v>365</v>
      </c>
      <c r="H998" s="145">
        <v>0.24</v>
      </c>
      <c r="I998" s="91">
        <f t="shared" si="48"/>
        <v>0</v>
      </c>
      <c r="J998" s="92"/>
      <c r="K998" s="92"/>
      <c r="L998" s="117"/>
      <c r="M998" s="56">
        <v>160</v>
      </c>
    </row>
    <row r="999" spans="1:13" s="51" customFormat="1" ht="25.2" hidden="1" customHeight="1">
      <c r="A999" s="68">
        <f t="shared" si="47"/>
        <v>0</v>
      </c>
      <c r="B999" s="69" t="s">
        <v>363</v>
      </c>
      <c r="C999" s="69"/>
      <c r="D999" s="111"/>
      <c r="E999" s="88" t="str">
        <f>VLOOKUP($B999,[1]DG!A:D,[1]DG!$B$2,)</f>
        <v>05.6044</v>
      </c>
      <c r="F999" s="89" t="str">
        <f>VLOOKUP($B999,[1]DG!A:D,[1]DG!$C$2,)</f>
        <v>Lắp xà cột Pi loại ≤140kg/xà</v>
      </c>
      <c r="G999" s="88" t="str">
        <f>VLOOKUP($B999,[1]DG!A:D,[1]DG!$D$2,)</f>
        <v>bộ</v>
      </c>
      <c r="H999" s="145">
        <v>1</v>
      </c>
      <c r="I999" s="91">
        <f t="shared" si="48"/>
        <v>0</v>
      </c>
      <c r="J999" s="92"/>
      <c r="K999" s="92"/>
      <c r="L999" s="117"/>
      <c r="M999" s="56">
        <v>160</v>
      </c>
    </row>
    <row r="1000" spans="1:13" s="51" customFormat="1" ht="25.2" hidden="1" customHeight="1">
      <c r="A1000" s="68">
        <f t="shared" si="46"/>
        <v>0</v>
      </c>
      <c r="B1000" s="69"/>
      <c r="C1000" s="69"/>
      <c r="D1000" s="220">
        <f>IF(H1000&gt;0,D976+1,D976)</f>
        <v>0</v>
      </c>
      <c r="E1000" s="238"/>
      <c r="F1000" s="329" t="s">
        <v>366</v>
      </c>
      <c r="G1000" s="220" t="s">
        <v>67</v>
      </c>
      <c r="H1000" s="240">
        <f>$H$976*2*0</f>
        <v>0</v>
      </c>
      <c r="I1000" s="91">
        <f t="shared" si="48"/>
        <v>0</v>
      </c>
      <c r="J1000" s="95"/>
      <c r="K1000" s="95"/>
      <c r="L1000" s="117"/>
      <c r="M1000" s="56">
        <v>160</v>
      </c>
    </row>
    <row r="1001" spans="1:13" s="51" customFormat="1" ht="25.2" hidden="1" customHeight="1">
      <c r="A1001" s="68">
        <f>IF(A1000&gt;0,1,0)</f>
        <v>0</v>
      </c>
      <c r="B1001" s="69"/>
      <c r="C1001" s="69"/>
      <c r="D1001" s="111"/>
      <c r="E1001" s="88"/>
      <c r="F1001" s="243" t="s">
        <v>68</v>
      </c>
      <c r="G1001" s="87"/>
      <c r="H1001" s="145"/>
      <c r="I1001" s="91">
        <f t="shared" si="48"/>
        <v>0</v>
      </c>
      <c r="J1001" s="95"/>
      <c r="K1001" s="95"/>
      <c r="L1001" s="117"/>
      <c r="M1001" s="56">
        <v>160</v>
      </c>
    </row>
    <row r="1002" spans="1:13" s="51" customFormat="1" ht="25.2" hidden="1" customHeight="1">
      <c r="A1002" s="68">
        <f t="shared" si="46"/>
        <v>0</v>
      </c>
      <c r="B1002" s="86" t="s">
        <v>367</v>
      </c>
      <c r="C1002" s="86"/>
      <c r="D1002" s="111"/>
      <c r="E1002" s="88">
        <f>VLOOKUP($B1002,[1]DG!A:D,[1]DG!$B$2,)</f>
        <v>0</v>
      </c>
      <c r="F1002" s="89" t="str">
        <f>VLOOKUP($B1002,[1]DG!A:D,[1]DG!$C$2,)</f>
        <v>Sắt góc L75 x75 x8</v>
      </c>
      <c r="G1002" s="88" t="str">
        <f>VLOOKUP($B1002,[1]DG!A:D,[1]DG!$D$2,)</f>
        <v>kg</v>
      </c>
      <c r="H1002" s="145">
        <f>H1000*9.02*(2.6+3*0.07)*2</f>
        <v>0</v>
      </c>
      <c r="I1002" s="91">
        <f t="shared" si="48"/>
        <v>0</v>
      </c>
      <c r="J1002" s="92"/>
      <c r="K1002" s="92"/>
      <c r="L1002" s="117"/>
      <c r="M1002" s="56">
        <v>160</v>
      </c>
    </row>
    <row r="1003" spans="1:13" s="51" customFormat="1" ht="25.2" hidden="1" customHeight="1">
      <c r="A1003" s="68">
        <f t="shared" si="46"/>
        <v>0</v>
      </c>
      <c r="B1003" s="69" t="s">
        <v>368</v>
      </c>
      <c r="C1003" s="69"/>
      <c r="D1003" s="111"/>
      <c r="E1003" s="88">
        <f>VLOOKUP($B1003,[1]DG!A:D,[1]DG!$B$2,)</f>
        <v>0</v>
      </c>
      <c r="F1003" s="89" t="str">
        <f>VLOOKUP($B1003,[1]DG!A:D,[1]DG!$C$2,)</f>
        <v>Boulon 16x300VRS+ 4 long đền vuông D18-50x50x3/Zn</v>
      </c>
      <c r="G1003" s="88" t="str">
        <f>VLOOKUP($B1003,[1]DG!A:D,[1]DG!$D$2,)</f>
        <v>bộ</v>
      </c>
      <c r="H1003" s="145">
        <f>H1000*2</f>
        <v>0</v>
      </c>
      <c r="I1003" s="91">
        <f t="shared" si="48"/>
        <v>0</v>
      </c>
      <c r="J1003" s="92"/>
      <c r="K1003" s="92"/>
      <c r="L1003" s="117"/>
      <c r="M1003" s="56">
        <v>160</v>
      </c>
    </row>
    <row r="1004" spans="1:13" s="51" customFormat="1" ht="25.2" hidden="1" customHeight="1">
      <c r="A1004" s="68">
        <f t="shared" si="46"/>
        <v>0</v>
      </c>
      <c r="B1004" s="69" t="s">
        <v>65</v>
      </c>
      <c r="C1004" s="69"/>
      <c r="D1004" s="111"/>
      <c r="E1004" s="88">
        <f>VLOOKUP($B1004,[1]DG!A:D,[1]DG!$B$2,)</f>
        <v>0</v>
      </c>
      <c r="F1004" s="89" t="str">
        <f>VLOOKUP($B1004,[1]DG!A:D,[1]DG!$C$2,)</f>
        <v>Boulon 16x300+ 2 long đền vuông D18-50x50x3/Zn</v>
      </c>
      <c r="G1004" s="88" t="str">
        <f>VLOOKUP($B1004,[1]DG!A:D,[1]DG!$D$2,)</f>
        <v>bộ</v>
      </c>
      <c r="H1004" s="145">
        <f>H1000*2</f>
        <v>0</v>
      </c>
      <c r="I1004" s="91">
        <f t="shared" si="48"/>
        <v>0</v>
      </c>
      <c r="J1004" s="92"/>
      <c r="K1004" s="92"/>
      <c r="L1004" s="117"/>
      <c r="M1004" s="56">
        <v>160</v>
      </c>
    </row>
    <row r="1005" spans="1:13" s="51" customFormat="1" ht="25.2" hidden="1" customHeight="1">
      <c r="A1005" s="68">
        <f t="shared" si="46"/>
        <v>0</v>
      </c>
      <c r="B1005" s="69" t="s">
        <v>237</v>
      </c>
      <c r="C1005" s="69"/>
      <c r="D1005" s="111"/>
      <c r="E1005" s="88">
        <f>VLOOKUP($B1005,[1]DG!A:D,[1]DG!$B$2,)</f>
        <v>0</v>
      </c>
      <c r="F1005" s="89" t="str">
        <f>VLOOKUP($B1005,[1]DG!A:D,[1]DG!$C$2,)</f>
        <v>Boulon 16x250+ 2 long đền vuông D18-50x50x3/Zn</v>
      </c>
      <c r="G1005" s="88" t="str">
        <f>VLOOKUP($B1005,[1]DG!A:D,[1]DG!$D$2,)</f>
        <v>bộ</v>
      </c>
      <c r="H1005" s="145">
        <f>H1004</f>
        <v>0</v>
      </c>
      <c r="I1005" s="91">
        <f t="shared" si="48"/>
        <v>0</v>
      </c>
      <c r="J1005" s="92"/>
      <c r="K1005" s="92"/>
      <c r="L1005" s="117"/>
      <c r="M1005" s="56">
        <v>160</v>
      </c>
    </row>
    <row r="1006" spans="1:13" s="51" customFormat="1" ht="25.2" hidden="1" customHeight="1">
      <c r="A1006" s="68">
        <f t="shared" si="46"/>
        <v>0</v>
      </c>
      <c r="B1006" s="69" t="s">
        <v>363</v>
      </c>
      <c r="C1006" s="69"/>
      <c r="D1006" s="111"/>
      <c r="E1006" s="88" t="str">
        <f>VLOOKUP($B1006,[1]DG!A:D,[1]DG!$B$2,)</f>
        <v>05.6044</v>
      </c>
      <c r="F1006" s="89" t="str">
        <f>VLOOKUP($B1006,[1]DG!A:D,[1]DG!$C$2,)</f>
        <v>Lắp xà cột Pi loại ≤140kg/xà</v>
      </c>
      <c r="G1006" s="88" t="str">
        <f>VLOOKUP($B1006,[1]DG!A:D,[1]DG!$D$2,)</f>
        <v>bộ</v>
      </c>
      <c r="H1006" s="145">
        <f>H1000</f>
        <v>0</v>
      </c>
      <c r="I1006" s="91">
        <f t="shared" si="48"/>
        <v>0</v>
      </c>
      <c r="J1006" s="92"/>
      <c r="K1006" s="92"/>
      <c r="L1006" s="117"/>
      <c r="M1006" s="56">
        <v>160</v>
      </c>
    </row>
    <row r="1007" spans="1:13" s="51" customFormat="1" ht="25.2" hidden="1" customHeight="1">
      <c r="A1007" s="68">
        <f t="shared" si="46"/>
        <v>0</v>
      </c>
      <c r="B1007" s="69"/>
      <c r="C1007" s="69"/>
      <c r="D1007" s="220">
        <f>IF(H1007&gt;0,D1000+1,D1000)</f>
        <v>0</v>
      </c>
      <c r="E1007" s="238"/>
      <c r="F1007" s="329" t="s">
        <v>369</v>
      </c>
      <c r="G1007" s="220" t="s">
        <v>67</v>
      </c>
      <c r="H1007" s="240">
        <f>$H$976*2</f>
        <v>0</v>
      </c>
      <c r="I1007" s="91">
        <f t="shared" si="48"/>
        <v>0</v>
      </c>
      <c r="J1007" s="95"/>
      <c r="K1007" s="95"/>
      <c r="L1007" s="117"/>
      <c r="M1007" s="56">
        <v>160</v>
      </c>
    </row>
    <row r="1008" spans="1:13" s="51" customFormat="1" ht="25.2" hidden="1" customHeight="1">
      <c r="A1008" s="68">
        <f>IF(A1007&gt;0,1,0)</f>
        <v>0</v>
      </c>
      <c r="B1008" s="69"/>
      <c r="C1008" s="69"/>
      <c r="D1008" s="111"/>
      <c r="E1008" s="242"/>
      <c r="F1008" s="243" t="s">
        <v>68</v>
      </c>
      <c r="G1008" s="87"/>
      <c r="H1008" s="145"/>
      <c r="I1008" s="91">
        <f t="shared" si="48"/>
        <v>0</v>
      </c>
      <c r="J1008" s="95"/>
      <c r="K1008" s="95"/>
      <c r="L1008" s="117"/>
      <c r="M1008" s="56">
        <v>160</v>
      </c>
    </row>
    <row r="1009" spans="1:13" s="51" customFormat="1" ht="25.2" hidden="1" customHeight="1">
      <c r="A1009" s="68">
        <f t="shared" si="46"/>
        <v>0</v>
      </c>
      <c r="B1009" s="86" t="s">
        <v>367</v>
      </c>
      <c r="C1009" s="86"/>
      <c r="D1009" s="111"/>
      <c r="E1009" s="88">
        <f>VLOOKUP($B1009,[1]DG!A:D,[1]DG!$B$2,)</f>
        <v>0</v>
      </c>
      <c r="F1009" s="89" t="str">
        <f>VLOOKUP($B1009,[1]DG!A:D,[1]DG!$C$2,)</f>
        <v>Sắt góc L75 x75 x8</v>
      </c>
      <c r="G1009" s="88" t="str">
        <f>VLOOKUP($B1009,[1]DG!A:D,[1]DG!$D$2,)</f>
        <v>kg</v>
      </c>
      <c r="H1009" s="145">
        <f>$H$1007*9.42*(2.6+3*0.07)</f>
        <v>0</v>
      </c>
      <c r="I1009" s="91">
        <f t="shared" si="48"/>
        <v>0</v>
      </c>
      <c r="J1009" s="92"/>
      <c r="K1009" s="92"/>
      <c r="L1009" s="117"/>
      <c r="M1009" s="56">
        <v>160</v>
      </c>
    </row>
    <row r="1010" spans="1:13" s="51" customFormat="1" ht="25.2" hidden="1" customHeight="1">
      <c r="A1010" s="68">
        <f t="shared" si="46"/>
        <v>0</v>
      </c>
      <c r="B1010" s="69" t="s">
        <v>237</v>
      </c>
      <c r="C1010" s="69"/>
      <c r="D1010" s="111"/>
      <c r="E1010" s="88">
        <f>VLOOKUP($B1010,[1]DG!A:D,[1]DG!$B$2,)</f>
        <v>0</v>
      </c>
      <c r="F1010" s="89" t="str">
        <f>VLOOKUP($B1010,[1]DG!A:D,[1]DG!$C$2,)</f>
        <v>Boulon 16x250+ 2 long đền vuông D18-50x50x3/Zn</v>
      </c>
      <c r="G1010" s="88" t="str">
        <f>VLOOKUP($B1010,[1]DG!A:D,[1]DG!$D$2,)</f>
        <v>bộ</v>
      </c>
      <c r="H1010" s="145">
        <f>IF($H$1007=0,0,2)</f>
        <v>0</v>
      </c>
      <c r="I1010" s="91">
        <f t="shared" si="48"/>
        <v>0</v>
      </c>
      <c r="J1010" s="92"/>
      <c r="K1010" s="92"/>
      <c r="L1010" s="117"/>
      <c r="M1010" s="56">
        <v>160</v>
      </c>
    </row>
    <row r="1011" spans="1:13" s="51" customFormat="1" ht="25.2" hidden="1" customHeight="1">
      <c r="A1011" s="68">
        <f t="shared" si="46"/>
        <v>0</v>
      </c>
      <c r="B1011" s="69" t="s">
        <v>65</v>
      </c>
      <c r="C1011" s="69"/>
      <c r="D1011" s="111"/>
      <c r="E1011" s="88">
        <f>VLOOKUP($B1011,[1]DG!A:D,[1]DG!$B$2,)</f>
        <v>0</v>
      </c>
      <c r="F1011" s="89" t="str">
        <f>VLOOKUP($B1011,[1]DG!A:D,[1]DG!$C$2,)</f>
        <v>Boulon 16x300+ 2 long đền vuông D18-50x50x3/Zn</v>
      </c>
      <c r="G1011" s="88" t="str">
        <f>VLOOKUP($B1011,[1]DG!A:D,[1]DG!$D$2,)</f>
        <v>bộ</v>
      </c>
      <c r="H1011" s="145">
        <f>IF($H$1007=0,0,2)</f>
        <v>0</v>
      </c>
      <c r="I1011" s="91">
        <f t="shared" si="48"/>
        <v>0</v>
      </c>
      <c r="J1011" s="92"/>
      <c r="K1011" s="92"/>
      <c r="L1011" s="117"/>
      <c r="M1011" s="56">
        <v>160</v>
      </c>
    </row>
    <row r="1012" spans="1:13" s="51" customFormat="1" ht="25.2" hidden="1" customHeight="1">
      <c r="A1012" s="68">
        <f t="shared" si="46"/>
        <v>0</v>
      </c>
      <c r="B1012" s="69" t="s">
        <v>370</v>
      </c>
      <c r="C1012" s="69"/>
      <c r="D1012" s="111"/>
      <c r="E1012" s="88">
        <f>VLOOKUP($B1012,[1]DG!A:D,[1]DG!$B$2,)</f>
        <v>0</v>
      </c>
      <c r="F1012" s="89" t="str">
        <f>VLOOKUP($B1012,[1]DG!A:D,[1]DG!$C$2,)</f>
        <v>Bass LI bắt FCO</v>
      </c>
      <c r="G1012" s="88" t="str">
        <f>VLOOKUP($B1012,[1]DG!A:D,[1]DG!$D$2,)</f>
        <v>Bộ</v>
      </c>
      <c r="H1012" s="145"/>
      <c r="I1012" s="91">
        <f t="shared" si="48"/>
        <v>0</v>
      </c>
      <c r="J1012" s="92"/>
      <c r="K1012" s="92"/>
      <c r="L1012" s="117"/>
      <c r="M1012" s="56">
        <v>160</v>
      </c>
    </row>
    <row r="1013" spans="1:13" s="51" customFormat="1" ht="25.2" hidden="1" customHeight="1">
      <c r="A1013" s="68">
        <f t="shared" si="46"/>
        <v>0</v>
      </c>
      <c r="B1013" s="69" t="s">
        <v>363</v>
      </c>
      <c r="C1013" s="69"/>
      <c r="D1013" s="111"/>
      <c r="E1013" s="88" t="str">
        <f>VLOOKUP($B1013,[1]DG!A:D,[1]DG!$B$2,)</f>
        <v>05.6044</v>
      </c>
      <c r="F1013" s="195" t="str">
        <f>VLOOKUP($B1013,[1]DG!A:D,[1]DG!$C$2,)</f>
        <v>Lắp xà cột Pi loại ≤140kg/xà</v>
      </c>
      <c r="G1013" s="88" t="str">
        <f>VLOOKUP($B1013,[1]DG!A:D,[1]DG!$D$2,)</f>
        <v>bộ</v>
      </c>
      <c r="H1013" s="145">
        <f>$H$1007/2</f>
        <v>0</v>
      </c>
      <c r="I1013" s="91">
        <f t="shared" si="48"/>
        <v>0</v>
      </c>
      <c r="J1013" s="92"/>
      <c r="K1013" s="92"/>
      <c r="L1013" s="117"/>
      <c r="M1013" s="56">
        <v>160</v>
      </c>
    </row>
    <row r="1014" spans="1:13" s="51" customFormat="1" ht="25.2" hidden="1" customHeight="1">
      <c r="A1014" s="68">
        <f t="shared" si="46"/>
        <v>0</v>
      </c>
      <c r="B1014" s="69"/>
      <c r="C1014" s="69"/>
      <c r="D1014" s="220">
        <f>IF(H1014&gt;0,D1007+1,D1007)</f>
        <v>0</v>
      </c>
      <c r="E1014" s="238"/>
      <c r="F1014" s="329" t="s">
        <v>371</v>
      </c>
      <c r="G1014" s="220" t="s">
        <v>67</v>
      </c>
      <c r="H1014" s="240">
        <f>$H$976*1</f>
        <v>0</v>
      </c>
      <c r="I1014" s="91">
        <f t="shared" si="48"/>
        <v>0</v>
      </c>
      <c r="J1014" s="95"/>
      <c r="K1014" s="95"/>
      <c r="L1014" s="117"/>
      <c r="M1014" s="56">
        <v>160</v>
      </c>
    </row>
    <row r="1015" spans="1:13" s="51" customFormat="1" ht="25.2" hidden="1" customHeight="1">
      <c r="A1015" s="68">
        <f>IF(A1014&gt;0,1,0)</f>
        <v>0</v>
      </c>
      <c r="B1015" s="69"/>
      <c r="C1015" s="69"/>
      <c r="D1015" s="111"/>
      <c r="E1015" s="242"/>
      <c r="F1015" s="243" t="s">
        <v>68</v>
      </c>
      <c r="G1015" s="87"/>
      <c r="H1015" s="145"/>
      <c r="I1015" s="91">
        <f t="shared" si="48"/>
        <v>0</v>
      </c>
      <c r="J1015" s="95"/>
      <c r="K1015" s="95"/>
      <c r="L1015" s="117"/>
      <c r="M1015" s="56">
        <v>160</v>
      </c>
    </row>
    <row r="1016" spans="1:13" s="51" customFormat="1" ht="25.2" hidden="1" customHeight="1">
      <c r="A1016" s="68">
        <f t="shared" si="46"/>
        <v>0</v>
      </c>
      <c r="B1016" s="86" t="s">
        <v>372</v>
      </c>
      <c r="C1016" s="86"/>
      <c r="D1016" s="111"/>
      <c r="E1016" s="88">
        <f>VLOOKUP($B1016,[1]DG!A:D,[1]DG!$B$2,)</f>
        <v>0</v>
      </c>
      <c r="F1016" s="89" t="str">
        <f>VLOOKUP($B1016,[1]DG!A:D,[1]DG!$C$2,)</f>
        <v>Xà composite 110x800x5 dài 2,6m</v>
      </c>
      <c r="G1016" s="88" t="str">
        <f>VLOOKUP($B1016,[1]DG!A:D,[1]DG!$D$2,)</f>
        <v>cái</v>
      </c>
      <c r="H1016" s="145">
        <f>H1014</f>
        <v>0</v>
      </c>
      <c r="I1016" s="91">
        <f t="shared" si="48"/>
        <v>0</v>
      </c>
      <c r="J1016" s="92"/>
      <c r="K1016" s="92"/>
      <c r="L1016" s="117"/>
      <c r="M1016" s="56">
        <v>160</v>
      </c>
    </row>
    <row r="1017" spans="1:13" s="51" customFormat="1" ht="25.2" hidden="1" customHeight="1">
      <c r="A1017" s="68">
        <f t="shared" si="46"/>
        <v>0</v>
      </c>
      <c r="B1017" s="69" t="s">
        <v>123</v>
      </c>
      <c r="C1017" s="69"/>
      <c r="D1017" s="111"/>
      <c r="E1017" s="88">
        <f>VLOOKUP($B1017,[1]DG!A:D,[1]DG!$B$2,)</f>
        <v>0</v>
      </c>
      <c r="F1017" s="89" t="str">
        <f>VLOOKUP($B1017,[1]DG!A:D,[1]DG!$C$2,)</f>
        <v>Boulon 16x350+ 2 long đền vuông D18-50x50x3/Zn</v>
      </c>
      <c r="G1017" s="88" t="str">
        <f>VLOOKUP($B1017,[1]DG!A:D,[1]DG!$D$2,)</f>
        <v>bộ</v>
      </c>
      <c r="H1017" s="145">
        <f>IF($H$1007=0,0,2)</f>
        <v>0</v>
      </c>
      <c r="I1017" s="91">
        <f t="shared" si="48"/>
        <v>0</v>
      </c>
      <c r="J1017" s="92"/>
      <c r="K1017" s="92"/>
      <c r="L1017" s="117"/>
      <c r="M1017" s="56">
        <v>160</v>
      </c>
    </row>
    <row r="1018" spans="1:13" s="51" customFormat="1" ht="25.2" hidden="1" customHeight="1">
      <c r="A1018" s="68">
        <f t="shared" si="46"/>
        <v>0</v>
      </c>
      <c r="B1018" s="69" t="s">
        <v>370</v>
      </c>
      <c r="C1018" s="69"/>
      <c r="D1018" s="111"/>
      <c r="E1018" s="88">
        <f>VLOOKUP($B1018,[1]DG!A:D,[1]DG!$B$2,)</f>
        <v>0</v>
      </c>
      <c r="F1018" s="89" t="str">
        <f>VLOOKUP($B1018,[1]DG!A:D,[1]DG!$C$2,)</f>
        <v>Bass LI bắt FCO</v>
      </c>
      <c r="G1018" s="88" t="str">
        <f>VLOOKUP($B1018,[1]DG!A:D,[1]DG!$D$2,)</f>
        <v>Bộ</v>
      </c>
      <c r="H1018" s="145"/>
      <c r="I1018" s="91">
        <f t="shared" si="48"/>
        <v>0</v>
      </c>
      <c r="J1018" s="92"/>
      <c r="K1018" s="92"/>
      <c r="L1018" s="117"/>
      <c r="M1018" s="56">
        <v>160</v>
      </c>
    </row>
    <row r="1019" spans="1:13" s="51" customFormat="1" ht="25.2" hidden="1" customHeight="1">
      <c r="A1019" s="68">
        <f t="shared" si="46"/>
        <v>0</v>
      </c>
      <c r="B1019" s="69" t="s">
        <v>126</v>
      </c>
      <c r="C1019" s="69"/>
      <c r="D1019" s="111"/>
      <c r="E1019" s="88" t="str">
        <f>VLOOKUP($B1019,[1]DG!A:D,[1]DG!$B$2,)</f>
        <v>05.6401</v>
      </c>
      <c r="F1019" s="195" t="str">
        <f>VLOOKUP($B1019,[1]DG!A:D,[1]DG!$C$2,)</f>
        <v>Lắp xà đỡ ≤ 25kg</v>
      </c>
      <c r="G1019" s="88" t="str">
        <f>VLOOKUP($B1019,[1]DG!A:D,[1]DG!$D$2,)</f>
        <v>bộ</v>
      </c>
      <c r="H1019" s="145">
        <f>$H$1007/2</f>
        <v>0</v>
      </c>
      <c r="I1019" s="91">
        <f t="shared" si="48"/>
        <v>0</v>
      </c>
      <c r="J1019" s="92"/>
      <c r="K1019" s="92"/>
      <c r="L1019" s="117"/>
      <c r="M1019" s="56">
        <v>160</v>
      </c>
    </row>
    <row r="1020" spans="1:13" s="51" customFormat="1" ht="25.2" hidden="1" customHeight="1">
      <c r="A1020" s="68">
        <f t="shared" si="46"/>
        <v>0</v>
      </c>
      <c r="B1020" s="69"/>
      <c r="C1020" s="69"/>
      <c r="D1020" s="220">
        <f>IF(H1020&gt;0,D1014+1,D1007)</f>
        <v>0</v>
      </c>
      <c r="E1020" s="238"/>
      <c r="F1020" s="329" t="s">
        <v>373</v>
      </c>
      <c r="G1020" s="220" t="s">
        <v>67</v>
      </c>
      <c r="H1020" s="240">
        <f>$H$976*2</f>
        <v>0</v>
      </c>
      <c r="I1020" s="91">
        <f t="shared" si="48"/>
        <v>0</v>
      </c>
      <c r="J1020" s="95"/>
      <c r="K1020" s="95"/>
      <c r="L1020" s="117"/>
      <c r="M1020" s="56">
        <v>160</v>
      </c>
    </row>
    <row r="1021" spans="1:13" s="51" customFormat="1" ht="25.2" hidden="1" customHeight="1">
      <c r="A1021" s="68">
        <f>IF(A1020&gt;0,1,0)</f>
        <v>0</v>
      </c>
      <c r="B1021" s="69"/>
      <c r="C1021" s="69"/>
      <c r="D1021" s="111"/>
      <c r="E1021" s="242"/>
      <c r="F1021" s="243" t="s">
        <v>68</v>
      </c>
      <c r="G1021" s="87"/>
      <c r="H1021" s="145"/>
      <c r="I1021" s="91">
        <f t="shared" si="48"/>
        <v>0</v>
      </c>
      <c r="J1021" s="95"/>
      <c r="K1021" s="95"/>
      <c r="L1021" s="117"/>
      <c r="M1021" s="56">
        <v>160</v>
      </c>
    </row>
    <row r="1022" spans="1:13" s="51" customFormat="1" ht="25.2" hidden="1" customHeight="1">
      <c r="A1022" s="68">
        <f t="shared" si="46"/>
        <v>0</v>
      </c>
      <c r="B1022" s="69" t="s">
        <v>367</v>
      </c>
      <c r="C1022" s="69"/>
      <c r="D1022" s="111"/>
      <c r="E1022" s="88">
        <f>VLOOKUP($B1022,[1]DG!A:D,[1]DG!$B$2,)</f>
        <v>0</v>
      </c>
      <c r="F1022" s="89" t="str">
        <f>VLOOKUP($B1022,[1]DG!A:D,[1]DG!$C$2,)</f>
        <v>Sắt góc L75 x75 x8</v>
      </c>
      <c r="G1022" s="88" t="str">
        <f>VLOOKUP($B1022,[1]DG!A:D,[1]DG!$D$2,)</f>
        <v>kg</v>
      </c>
      <c r="H1022" s="145">
        <f>$H$1020*9.42*2.6</f>
        <v>0</v>
      </c>
      <c r="I1022" s="91">
        <f t="shared" si="48"/>
        <v>0</v>
      </c>
      <c r="J1022" s="92"/>
      <c r="K1022" s="92"/>
      <c r="L1022" s="117"/>
      <c r="M1022" s="56">
        <v>160</v>
      </c>
    </row>
    <row r="1023" spans="1:13" s="51" customFormat="1" ht="25.2" hidden="1" customHeight="1">
      <c r="A1023" s="68">
        <f t="shared" si="46"/>
        <v>0</v>
      </c>
      <c r="B1023" s="69" t="s">
        <v>265</v>
      </c>
      <c r="C1023" s="69"/>
      <c r="D1023" s="111"/>
      <c r="E1023" s="88">
        <f>VLOOKUP($B1023,[1]DG!A:D,[1]DG!$B$2,)</f>
        <v>0</v>
      </c>
      <c r="F1023" s="89" t="str">
        <f>VLOOKUP($B1023,[1]DG!A:D,[1]DG!$C$2,)</f>
        <v>Boulon 16x400+ 2 long đền vuông D18-50x50x3/Zn</v>
      </c>
      <c r="G1023" s="88" t="str">
        <f>VLOOKUP($B1023,[1]DG!A:D,[1]DG!$D$2,)</f>
        <v>bộ</v>
      </c>
      <c r="H1023" s="145">
        <f>$H$1020*2</f>
        <v>0</v>
      </c>
      <c r="I1023" s="91">
        <f t="shared" si="48"/>
        <v>0</v>
      </c>
      <c r="J1023" s="92"/>
      <c r="K1023" s="92"/>
      <c r="L1023" s="117"/>
      <c r="M1023" s="56">
        <v>160</v>
      </c>
    </row>
    <row r="1024" spans="1:13" s="51" customFormat="1" ht="25.2" hidden="1" customHeight="1">
      <c r="A1024" s="68">
        <f t="shared" si="46"/>
        <v>0</v>
      </c>
      <c r="B1024" s="69" t="s">
        <v>131</v>
      </c>
      <c r="C1024" s="69"/>
      <c r="D1024" s="111"/>
      <c r="E1024" s="88">
        <f>VLOOKUP($B1024,[1]DG!A:D,[1]DG!$B$2,)</f>
        <v>0</v>
      </c>
      <c r="F1024" s="89" t="str">
        <f>VLOOKUP($B1024,[1]DG!A:D,[1]DG!$C$2,)</f>
        <v>Boulon 12x40+ 2 long đền vuông D14-50x50x3/Zn</v>
      </c>
      <c r="G1024" s="88" t="str">
        <f>VLOOKUP($B1024,[1]DG!A:D,[1]DG!$D$2,)</f>
        <v>bộ</v>
      </c>
      <c r="H1024" s="145">
        <f>$H$1020*2</f>
        <v>0</v>
      </c>
      <c r="I1024" s="91">
        <f t="shared" si="48"/>
        <v>0</v>
      </c>
      <c r="J1024" s="92"/>
      <c r="K1024" s="92"/>
      <c r="L1024" s="117"/>
      <c r="M1024" s="56">
        <v>160</v>
      </c>
    </row>
    <row r="1025" spans="1:13" s="51" customFormat="1" ht="25.2" hidden="1" customHeight="1">
      <c r="A1025" s="68">
        <f t="shared" si="46"/>
        <v>0</v>
      </c>
      <c r="B1025" s="69" t="s">
        <v>363</v>
      </c>
      <c r="C1025" s="69"/>
      <c r="D1025" s="111"/>
      <c r="E1025" s="88" t="str">
        <f>VLOOKUP($B1025,[1]DG!A:D,[1]DG!$B$2,)</f>
        <v>05.6044</v>
      </c>
      <c r="F1025" s="195" t="str">
        <f>VLOOKUP($B1025,[1]DG!A:D,[1]DG!$C$2,)</f>
        <v>Lắp xà cột Pi loại ≤140kg/xà</v>
      </c>
      <c r="G1025" s="88" t="str">
        <f>VLOOKUP($B1025,[1]DG!A:D,[1]DG!$D$2,)</f>
        <v>bộ</v>
      </c>
      <c r="H1025" s="145">
        <f>$H$1020/2</f>
        <v>0</v>
      </c>
      <c r="I1025" s="91">
        <f t="shared" si="48"/>
        <v>0</v>
      </c>
      <c r="J1025" s="92"/>
      <c r="K1025" s="92"/>
      <c r="L1025" s="117"/>
      <c r="M1025" s="56">
        <v>160</v>
      </c>
    </row>
    <row r="1026" spans="1:13" s="51" customFormat="1" ht="25.2" hidden="1" customHeight="1">
      <c r="A1026" s="68">
        <f t="shared" si="46"/>
        <v>0</v>
      </c>
      <c r="B1026" s="69" t="s">
        <v>374</v>
      </c>
      <c r="C1026" s="69"/>
      <c r="D1026" s="111"/>
      <c r="E1026" s="88" t="str">
        <f>VLOOKUP($B1026,[1]DG!A:D,[1]DG!$B$2,)</f>
        <v>02.1115</v>
      </c>
      <c r="F1026" s="89" t="str">
        <f>VLOOKUP($B1026,[1]DG!A:D,[1]DG!$C$2,)</f>
        <v>Bốc dỡ xà, thép thanh</v>
      </c>
      <c r="G1026" s="88" t="str">
        <f>VLOOKUP($B1026,[1]DG!A:D,[1]DG!$D$2,)</f>
        <v>tấn</v>
      </c>
      <c r="H1026" s="145">
        <f>0.05*0</f>
        <v>0</v>
      </c>
      <c r="I1026" s="91">
        <f t="shared" si="48"/>
        <v>0</v>
      </c>
      <c r="J1026" s="92"/>
      <c r="K1026" s="92"/>
      <c r="L1026" s="117"/>
      <c r="M1026" s="56">
        <v>160</v>
      </c>
    </row>
    <row r="1027" spans="1:13" s="51" customFormat="1" ht="25.2" hidden="1" customHeight="1">
      <c r="A1027" s="68">
        <f t="shared" si="46"/>
        <v>0</v>
      </c>
      <c r="B1027" s="69" t="s">
        <v>65</v>
      </c>
      <c r="C1027" s="69"/>
      <c r="D1027" s="111"/>
      <c r="E1027" s="88">
        <f>VLOOKUP($B1027,[1]DG!A:D,[1]DG!$B$2,)</f>
        <v>0</v>
      </c>
      <c r="F1027" s="89" t="str">
        <f>VLOOKUP($B1027,[1]DG!A:D,[1]DG!$C$2,)</f>
        <v>Boulon 16x300+ 2 long đền vuông D18-50x50x3/Zn</v>
      </c>
      <c r="G1027" s="88" t="s">
        <v>375</v>
      </c>
      <c r="H1027" s="145">
        <f>H1020*2*0</f>
        <v>0</v>
      </c>
      <c r="I1027" s="91">
        <f t="shared" si="48"/>
        <v>0</v>
      </c>
      <c r="J1027" s="92"/>
      <c r="K1027" s="92"/>
      <c r="L1027" s="117"/>
      <c r="M1027" s="56">
        <v>160</v>
      </c>
    </row>
    <row r="1028" spans="1:13" s="51" customFormat="1" ht="25.2" hidden="1" customHeight="1">
      <c r="A1028" s="68">
        <f t="shared" si="46"/>
        <v>0</v>
      </c>
      <c r="B1028" s="69" t="s">
        <v>237</v>
      </c>
      <c r="C1028" s="69"/>
      <c r="D1028" s="111"/>
      <c r="E1028" s="88">
        <f>VLOOKUP($B1028,[1]DG!A:D,[1]DG!$B$2,)</f>
        <v>0</v>
      </c>
      <c r="F1028" s="89" t="str">
        <f>VLOOKUP($B1028,[1]DG!A:D,[1]DG!$C$2,)</f>
        <v>Boulon 16x250+ 2 long đền vuông D18-50x50x3/Zn</v>
      </c>
      <c r="G1028" s="88" t="s">
        <v>375</v>
      </c>
      <c r="H1028" s="145">
        <f>2*H1020*2*0</f>
        <v>0</v>
      </c>
      <c r="I1028" s="91">
        <f t="shared" si="48"/>
        <v>0</v>
      </c>
      <c r="J1028" s="92"/>
      <c r="K1028" s="92"/>
      <c r="L1028" s="117"/>
      <c r="M1028" s="56">
        <v>160</v>
      </c>
    </row>
    <row r="1029" spans="1:13" s="51" customFormat="1" ht="25.2" hidden="1" customHeight="1" collapsed="1">
      <c r="A1029" s="68">
        <f t="shared" si="46"/>
        <v>0</v>
      </c>
      <c r="B1029" s="69"/>
      <c r="C1029" s="69"/>
      <c r="D1029" s="220">
        <f>IF(H1029&gt;0,D1020+1,D1020)</f>
        <v>0</v>
      </c>
      <c r="E1029" s="238"/>
      <c r="F1029" s="329" t="s">
        <v>376</v>
      </c>
      <c r="G1029" s="220" t="s">
        <v>67</v>
      </c>
      <c r="H1029" s="240">
        <f>H948*0</f>
        <v>0</v>
      </c>
      <c r="I1029" s="91">
        <f t="shared" si="48"/>
        <v>0</v>
      </c>
      <c r="J1029" s="146"/>
      <c r="K1029" s="146"/>
      <c r="L1029" s="96"/>
      <c r="M1029" s="56">
        <v>160</v>
      </c>
    </row>
    <row r="1030" spans="1:13" s="51" customFormat="1" ht="25.2" hidden="1" customHeight="1">
      <c r="A1030" s="68">
        <f>IF(A1029&gt;0,1,0)</f>
        <v>0</v>
      </c>
      <c r="B1030" s="69"/>
      <c r="C1030" s="69"/>
      <c r="D1030" s="111"/>
      <c r="E1030" s="242"/>
      <c r="F1030" s="243" t="s">
        <v>68</v>
      </c>
      <c r="G1030" s="87"/>
      <c r="H1030" s="145"/>
      <c r="I1030" s="91">
        <f t="shared" si="48"/>
        <v>0</v>
      </c>
      <c r="J1030" s="146"/>
      <c r="K1030" s="146"/>
      <c r="L1030" s="96"/>
      <c r="M1030" s="56">
        <v>160</v>
      </c>
    </row>
    <row r="1031" spans="1:13" s="51" customFormat="1" ht="25.2" hidden="1" customHeight="1">
      <c r="A1031" s="68">
        <f t="shared" si="46"/>
        <v>0</v>
      </c>
      <c r="B1031" s="69" t="s">
        <v>367</v>
      </c>
      <c r="C1031" s="69"/>
      <c r="D1031" s="111"/>
      <c r="E1031" s="88">
        <f>VLOOKUP($B1031,[1]DG!A:D,[1]DG!$B$2,)</f>
        <v>0</v>
      </c>
      <c r="F1031" s="89" t="str">
        <f>VLOOKUP($B1031,[1]DG!A:D,[1]DG!$C$2,)</f>
        <v>Sắt góc L75 x75 x8</v>
      </c>
      <c r="G1031" s="88" t="s">
        <v>377</v>
      </c>
      <c r="H1031" s="145">
        <f>H1029*9.02*(2.4+4*0.07)*2</f>
        <v>0</v>
      </c>
      <c r="I1031" s="91">
        <f t="shared" si="48"/>
        <v>0</v>
      </c>
      <c r="J1031" s="146"/>
      <c r="K1031" s="146"/>
      <c r="L1031" s="96"/>
      <c r="M1031" s="56">
        <v>160</v>
      </c>
    </row>
    <row r="1032" spans="1:13" s="51" customFormat="1" ht="25.2" hidden="1" customHeight="1">
      <c r="A1032" s="68">
        <f t="shared" si="46"/>
        <v>0</v>
      </c>
      <c r="B1032" s="69" t="s">
        <v>378</v>
      </c>
      <c r="C1032" s="69"/>
      <c r="D1032" s="111"/>
      <c r="E1032" s="88">
        <f>VLOOKUP($B1032,[1]DG!A:D,[1]DG!$B$2,)</f>
        <v>0</v>
      </c>
      <c r="F1032" s="89" t="str">
        <f>VLOOKUP($B1032,[1]DG!A:D,[1]DG!$C$2,)&amp;" (Thanh choáng 810)"</f>
        <v>Sắt góc L50 x50 x5 (Thanh choáng 810)</v>
      </c>
      <c r="G1032" s="88" t="s">
        <v>377</v>
      </c>
      <c r="H1032" s="145">
        <f>H1029*3.77*0.81*4</f>
        <v>0</v>
      </c>
      <c r="I1032" s="91">
        <f t="shared" si="48"/>
        <v>0</v>
      </c>
      <c r="J1032" s="146"/>
      <c r="K1032" s="146"/>
      <c r="L1032" s="96"/>
      <c r="M1032" s="56">
        <v>160</v>
      </c>
    </row>
    <row r="1033" spans="1:13" s="51" customFormat="1" ht="25.2" hidden="1" customHeight="1">
      <c r="A1033" s="68">
        <f t="shared" si="46"/>
        <v>0</v>
      </c>
      <c r="B1033" s="69" t="s">
        <v>65</v>
      </c>
      <c r="C1033" s="69"/>
      <c r="D1033" s="111"/>
      <c r="E1033" s="88">
        <f>VLOOKUP($B1033,[1]DG!A:D,[1]DG!$B$2,)</f>
        <v>0</v>
      </c>
      <c r="F1033" s="89" t="str">
        <f>VLOOKUP($B1033,[1]DG!A:D,[1]DG!$C$2,)</f>
        <v>Boulon 16x300+ 2 long đền vuông D18-50x50x3/Zn</v>
      </c>
      <c r="G1033" s="88" t="s">
        <v>375</v>
      </c>
      <c r="H1033" s="145">
        <f>H1029*2</f>
        <v>0</v>
      </c>
      <c r="I1033" s="91">
        <f t="shared" si="48"/>
        <v>0</v>
      </c>
      <c r="J1033" s="146"/>
      <c r="K1033" s="146"/>
      <c r="L1033" s="96"/>
      <c r="M1033" s="56">
        <v>160</v>
      </c>
    </row>
    <row r="1034" spans="1:13" s="51" customFormat="1" ht="25.2" hidden="1" customHeight="1">
      <c r="A1034" s="68">
        <f t="shared" si="46"/>
        <v>0</v>
      </c>
      <c r="B1034" s="69" t="s">
        <v>231</v>
      </c>
      <c r="C1034" s="69"/>
      <c r="D1034" s="111"/>
      <c r="E1034" s="88">
        <f>VLOOKUP($B1034,[1]DG!A:D,[1]DG!$B$2,)</f>
        <v>0</v>
      </c>
      <c r="F1034" s="89" t="str">
        <f>VLOOKUP($B1034,[1]DG!A:D,[1]DG!$C$2,)</f>
        <v>Boulon 16x50+ 2 long đền vuông D18-50x50x3/Zn</v>
      </c>
      <c r="G1034" s="88" t="s">
        <v>375</v>
      </c>
      <c r="H1034" s="145">
        <f>H1029*4</f>
        <v>0</v>
      </c>
      <c r="I1034" s="91">
        <f t="shared" si="48"/>
        <v>0</v>
      </c>
      <c r="J1034" s="146"/>
      <c r="K1034" s="146"/>
      <c r="L1034" s="96"/>
      <c r="M1034" s="56">
        <v>160</v>
      </c>
    </row>
    <row r="1035" spans="1:13" s="51" customFormat="1" ht="25.2" hidden="1" customHeight="1">
      <c r="A1035" s="68">
        <f t="shared" si="46"/>
        <v>0</v>
      </c>
      <c r="B1035" s="69" t="s">
        <v>368</v>
      </c>
      <c r="C1035" s="69"/>
      <c r="D1035" s="111"/>
      <c r="E1035" s="88">
        <f>VLOOKUP($B1035,[1]DG!A:D,[1]DG!$B$2,)</f>
        <v>0</v>
      </c>
      <c r="F1035" s="89" t="str">
        <f>VLOOKUP($B1035,[1]DG!A:D,[1]DG!$C$2,)</f>
        <v>Boulon 16x300VRS+ 4 long đền vuông D18-50x50x3/Zn</v>
      </c>
      <c r="G1035" s="88" t="s">
        <v>375</v>
      </c>
      <c r="H1035" s="145">
        <f>H1029*4</f>
        <v>0</v>
      </c>
      <c r="I1035" s="91">
        <f t="shared" si="48"/>
        <v>0</v>
      </c>
      <c r="J1035" s="146"/>
      <c r="K1035" s="146"/>
      <c r="L1035" s="96"/>
      <c r="M1035" s="56">
        <v>160</v>
      </c>
    </row>
    <row r="1036" spans="1:13" s="51" customFormat="1" ht="25.2" hidden="1" customHeight="1">
      <c r="A1036" s="68">
        <f t="shared" si="46"/>
        <v>0</v>
      </c>
      <c r="B1036" s="69" t="s">
        <v>379</v>
      </c>
      <c r="C1036" s="69"/>
      <c r="D1036" s="111"/>
      <c r="E1036" s="88" t="str">
        <f>VLOOKUP($B1036,[1]DG!A:D,[1]DG!$B$2,)</f>
        <v>05.6203</v>
      </c>
      <c r="F1036" s="89" t="str">
        <f>VLOOKUP($B1036,[1]DG!A:D,[1]DG!$C$2,)</f>
        <v>Lắp xà néo ≤ 100kg</v>
      </c>
      <c r="G1036" s="88" t="s">
        <v>375</v>
      </c>
      <c r="H1036" s="145">
        <f>H1029</f>
        <v>0</v>
      </c>
      <c r="I1036" s="91">
        <f t="shared" si="48"/>
        <v>0</v>
      </c>
      <c r="J1036" s="146"/>
      <c r="K1036" s="146"/>
      <c r="L1036" s="96"/>
      <c r="M1036" s="56">
        <v>160</v>
      </c>
    </row>
    <row r="1037" spans="1:13" s="51" customFormat="1" ht="25.2" hidden="1" customHeight="1">
      <c r="A1037" s="68">
        <f t="shared" si="46"/>
        <v>0</v>
      </c>
      <c r="B1037" s="69"/>
      <c r="C1037" s="69"/>
      <c r="D1037" s="220">
        <f>IF(H1037&gt;0,D1029+1,D1029)</f>
        <v>0</v>
      </c>
      <c r="E1037" s="238"/>
      <c r="F1037" s="329" t="s">
        <v>380</v>
      </c>
      <c r="G1037" s="220" t="s">
        <v>67</v>
      </c>
      <c r="H1037" s="240">
        <f>H948*1*0</f>
        <v>0</v>
      </c>
      <c r="I1037" s="91">
        <f t="shared" si="48"/>
        <v>0</v>
      </c>
      <c r="J1037" s="146"/>
      <c r="K1037" s="146"/>
      <c r="L1037" s="96"/>
      <c r="M1037" s="56">
        <v>160</v>
      </c>
    </row>
    <row r="1038" spans="1:13" s="51" customFormat="1" ht="25.2" hidden="1" customHeight="1">
      <c r="A1038" s="68">
        <f>IF(A1037&gt;0,1,0)</f>
        <v>0</v>
      </c>
      <c r="B1038" s="69"/>
      <c r="C1038" s="69"/>
      <c r="D1038" s="111"/>
      <c r="E1038" s="242"/>
      <c r="F1038" s="243" t="s">
        <v>68</v>
      </c>
      <c r="G1038" s="87"/>
      <c r="H1038" s="145"/>
      <c r="I1038" s="91">
        <f t="shared" si="48"/>
        <v>0</v>
      </c>
      <c r="J1038" s="146"/>
      <c r="K1038" s="146"/>
      <c r="L1038" s="96"/>
      <c r="M1038" s="56">
        <v>160</v>
      </c>
    </row>
    <row r="1039" spans="1:13" s="51" customFormat="1" ht="25.2" hidden="1" customHeight="1">
      <c r="A1039" s="68">
        <f t="shared" si="46"/>
        <v>0</v>
      </c>
      <c r="B1039" s="69" t="s">
        <v>367</v>
      </c>
      <c r="C1039" s="69"/>
      <c r="D1039" s="111"/>
      <c r="E1039" s="88">
        <f>VLOOKUP($B1039,[1]DG!A:D,[1]DG!$B$2,)</f>
        <v>0</v>
      </c>
      <c r="F1039" s="89" t="str">
        <f>VLOOKUP($B1039,[1]DG!A:D,[1]DG!$C$2,)</f>
        <v>Sắt góc L75 x75 x8</v>
      </c>
      <c r="G1039" s="88" t="s">
        <v>377</v>
      </c>
      <c r="H1039" s="145">
        <f>H1037*9.02*(2.4+4*0.07)</f>
        <v>0</v>
      </c>
      <c r="I1039" s="91">
        <f t="shared" si="48"/>
        <v>0</v>
      </c>
      <c r="J1039" s="146"/>
      <c r="K1039" s="146"/>
      <c r="L1039" s="96"/>
      <c r="M1039" s="56">
        <v>160</v>
      </c>
    </row>
    <row r="1040" spans="1:13" s="51" customFormat="1" ht="25.2" hidden="1" customHeight="1">
      <c r="A1040" s="68">
        <f t="shared" si="46"/>
        <v>0</v>
      </c>
      <c r="B1040" s="69" t="s">
        <v>378</v>
      </c>
      <c r="C1040" s="69"/>
      <c r="D1040" s="111"/>
      <c r="E1040" s="88">
        <f>VLOOKUP($B1040,[1]DG!A:D,[1]DG!$B$2,)</f>
        <v>0</v>
      </c>
      <c r="F1040" s="89" t="str">
        <f>VLOOKUP($B1040,[1]DG!A:D,[1]DG!$C$2,)&amp;" (Thanh choáng 810)"</f>
        <v>Sắt góc L50 x50 x5 (Thanh choáng 810)</v>
      </c>
      <c r="G1040" s="88" t="s">
        <v>377</v>
      </c>
      <c r="H1040" s="145">
        <f>H1037*3.77*0.81*2</f>
        <v>0</v>
      </c>
      <c r="I1040" s="91">
        <f t="shared" si="48"/>
        <v>0</v>
      </c>
      <c r="J1040" s="146"/>
      <c r="K1040" s="146"/>
      <c r="L1040" s="96"/>
      <c r="M1040" s="56">
        <v>160</v>
      </c>
    </row>
    <row r="1041" spans="1:13" s="51" customFormat="1" ht="25.2" hidden="1" customHeight="1">
      <c r="A1041" s="68">
        <f t="shared" si="46"/>
        <v>0</v>
      </c>
      <c r="B1041" s="69" t="s">
        <v>123</v>
      </c>
      <c r="C1041" s="69"/>
      <c r="D1041" s="111"/>
      <c r="E1041" s="88">
        <f>VLOOKUP($B1041,[1]DG!A:D,[1]DG!$B$2,)</f>
        <v>0</v>
      </c>
      <c r="F1041" s="89" t="str">
        <f>VLOOKUP($B1041,[1]DG!A:D,[1]DG!$C$2,)</f>
        <v>Boulon 16x350+ 2 long đền vuông D18-50x50x3/Zn</v>
      </c>
      <c r="G1041" s="88" t="s">
        <v>375</v>
      </c>
      <c r="H1041" s="145">
        <f>H1037*2</f>
        <v>0</v>
      </c>
      <c r="I1041" s="91">
        <f t="shared" si="48"/>
        <v>0</v>
      </c>
      <c r="J1041" s="146"/>
      <c r="K1041" s="146"/>
      <c r="L1041" s="96"/>
      <c r="M1041" s="56">
        <v>160</v>
      </c>
    </row>
    <row r="1042" spans="1:13" s="51" customFormat="1" ht="25.2" hidden="1" customHeight="1">
      <c r="A1042" s="68">
        <f t="shared" si="46"/>
        <v>0</v>
      </c>
      <c r="B1042" s="69" t="s">
        <v>231</v>
      </c>
      <c r="C1042" s="69"/>
      <c r="D1042" s="111"/>
      <c r="E1042" s="88">
        <f>VLOOKUP($B1042,[1]DG!A:D,[1]DG!$B$2,)</f>
        <v>0</v>
      </c>
      <c r="F1042" s="89" t="str">
        <f>VLOOKUP($B1042,[1]DG!A:D,[1]DG!$C$2,)</f>
        <v>Boulon 16x50+ 2 long đền vuông D18-50x50x3/Zn</v>
      </c>
      <c r="G1042" s="88" t="s">
        <v>375</v>
      </c>
      <c r="H1042" s="145">
        <f>H1037*2</f>
        <v>0</v>
      </c>
      <c r="I1042" s="91">
        <f t="shared" si="48"/>
        <v>0</v>
      </c>
      <c r="J1042" s="146"/>
      <c r="K1042" s="146"/>
      <c r="L1042" s="96"/>
      <c r="M1042" s="56">
        <v>160</v>
      </c>
    </row>
    <row r="1043" spans="1:13" s="51" customFormat="1" ht="25.2" hidden="1" customHeight="1">
      <c r="A1043" s="68">
        <f t="shared" si="46"/>
        <v>0</v>
      </c>
      <c r="B1043" s="69" t="s">
        <v>381</v>
      </c>
      <c r="C1043" s="69"/>
      <c r="D1043" s="111"/>
      <c r="E1043" s="88">
        <f>VLOOKUP($B1043,[1]DG!A:D,[1]DG!$B$2,)</f>
        <v>0</v>
      </c>
      <c r="F1043" s="89" t="str">
        <f>VLOOKUP($B1043,[1]DG!A:D,[1]DG!$C$2,)</f>
        <v>Bass LI bắt FCO</v>
      </c>
      <c r="G1043" s="88" t="s">
        <v>375</v>
      </c>
      <c r="H1043" s="145">
        <f>IF(H1037&gt;0,3,)</f>
        <v>0</v>
      </c>
      <c r="I1043" s="91">
        <f t="shared" si="48"/>
        <v>0</v>
      </c>
      <c r="J1043" s="146"/>
      <c r="K1043" s="146"/>
      <c r="L1043" s="96"/>
      <c r="M1043" s="56">
        <v>160</v>
      </c>
    </row>
    <row r="1044" spans="1:13" s="51" customFormat="1" ht="25.2" hidden="1" customHeight="1">
      <c r="A1044" s="68">
        <f t="shared" ref="A1044:A1109" si="49">IF(I1044&gt;0,1,0)</f>
        <v>0</v>
      </c>
      <c r="B1044" s="69" t="s">
        <v>382</v>
      </c>
      <c r="C1044" s="69"/>
      <c r="D1044" s="111"/>
      <c r="E1044" s="88" t="str">
        <f>VLOOKUP($B1044,[1]DG!A:D,[1]DG!$B$2,)</f>
        <v>06.3231</v>
      </c>
      <c r="F1044" s="89" t="str">
        <f>VLOOKUP($B1044,[1]DG!A:D,[1]DG!$C$2,)</f>
        <v xml:space="preserve">Cổ dê chống lắc 8x80x800 </v>
      </c>
      <c r="G1044" s="88" t="s">
        <v>375</v>
      </c>
      <c r="H1044" s="145">
        <f>H1037*0</f>
        <v>0</v>
      </c>
      <c r="I1044" s="91">
        <f t="shared" si="48"/>
        <v>0</v>
      </c>
      <c r="J1044" s="146"/>
      <c r="K1044" s="146"/>
      <c r="L1044" s="96"/>
      <c r="M1044" s="56">
        <v>160</v>
      </c>
    </row>
    <row r="1045" spans="1:13" s="51" customFormat="1" ht="25.2" hidden="1" customHeight="1">
      <c r="A1045" s="68">
        <f t="shared" si="49"/>
        <v>0</v>
      </c>
      <c r="B1045" s="69" t="s">
        <v>383</v>
      </c>
      <c r="C1045" s="69"/>
      <c r="D1045" s="111"/>
      <c r="E1045" s="88" t="str">
        <f>VLOOKUP($B1045,[1]DG!A:D,[1]DG!$B$2,)</f>
        <v>05.6102</v>
      </c>
      <c r="F1045" s="89" t="str">
        <f>VLOOKUP($B1045,[1]DG!A:D,[1]DG!$C$2,)</f>
        <v>Lắp xà đỡ ≤ 50kg</v>
      </c>
      <c r="G1045" s="88" t="s">
        <v>375</v>
      </c>
      <c r="H1045" s="145">
        <f>H1037</f>
        <v>0</v>
      </c>
      <c r="I1045" s="91">
        <f t="shared" si="48"/>
        <v>0</v>
      </c>
      <c r="J1045" s="146"/>
      <c r="K1045" s="146"/>
      <c r="L1045" s="96"/>
      <c r="M1045" s="56">
        <v>160</v>
      </c>
    </row>
    <row r="1046" spans="1:13" s="51" customFormat="1" ht="25.2" hidden="1" customHeight="1">
      <c r="A1046" s="68">
        <f t="shared" si="49"/>
        <v>0</v>
      </c>
      <c r="B1046" s="69"/>
      <c r="C1046" s="69"/>
      <c r="D1046" s="220">
        <f>IF(H1046&gt;0,D1037+1,D1037)</f>
        <v>0</v>
      </c>
      <c r="E1046" s="238"/>
      <c r="F1046" s="329" t="s">
        <v>384</v>
      </c>
      <c r="G1046" s="220" t="s">
        <v>67</v>
      </c>
      <c r="H1046" s="240">
        <f>H948</f>
        <v>0</v>
      </c>
      <c r="I1046" s="91">
        <f t="shared" si="48"/>
        <v>0</v>
      </c>
      <c r="J1046" s="146"/>
      <c r="K1046" s="146"/>
      <c r="L1046" s="96"/>
      <c r="M1046" s="56">
        <v>160</v>
      </c>
    </row>
    <row r="1047" spans="1:13" s="51" customFormat="1" ht="25.2" hidden="1" customHeight="1">
      <c r="A1047" s="68">
        <f>IF(A1046&gt;0,1,0)</f>
        <v>0</v>
      </c>
      <c r="B1047" s="330"/>
      <c r="C1047" s="330"/>
      <c r="D1047" s="111"/>
      <c r="E1047" s="242"/>
      <c r="F1047" s="243" t="s">
        <v>68</v>
      </c>
      <c r="G1047" s="87"/>
      <c r="H1047" s="145"/>
      <c r="I1047" s="91">
        <f t="shared" si="48"/>
        <v>0</v>
      </c>
      <c r="J1047" s="146"/>
      <c r="K1047" s="146"/>
      <c r="L1047" s="96"/>
      <c r="M1047" s="56">
        <v>160</v>
      </c>
    </row>
    <row r="1048" spans="1:13" s="51" customFormat="1" ht="25.2" hidden="1" customHeight="1">
      <c r="A1048" s="68">
        <f t="shared" si="49"/>
        <v>0</v>
      </c>
      <c r="B1048" s="69" t="s">
        <v>81</v>
      </c>
      <c r="C1048" s="69"/>
      <c r="D1048" s="111"/>
      <c r="E1048" s="88">
        <f>VLOOKUP($B1048,[1]DG!A:D,[1]DG!$B$2,)</f>
        <v>0</v>
      </c>
      <c r="F1048" s="89" t="str">
        <f>VLOOKUP($B1048,[1]DG!A:D,[1]DG!$C$2,)</f>
        <v>Cáp đồng trần M25mm2</v>
      </c>
      <c r="G1048" s="88" t="str">
        <f>VLOOKUP($B1048,[1]DG!A:D,[1]DG!$D$2,)</f>
        <v>kg</v>
      </c>
      <c r="H1048" s="145">
        <v>12</v>
      </c>
      <c r="I1048" s="91">
        <f t="shared" si="48"/>
        <v>0</v>
      </c>
      <c r="J1048" s="146"/>
      <c r="K1048" s="146"/>
      <c r="L1048" s="96"/>
      <c r="M1048" s="56">
        <v>160</v>
      </c>
    </row>
    <row r="1049" spans="1:13" s="51" customFormat="1" ht="25.2" hidden="1" customHeight="1">
      <c r="A1049" s="68">
        <f t="shared" si="49"/>
        <v>0</v>
      </c>
      <c r="B1049" s="69" t="s">
        <v>81</v>
      </c>
      <c r="C1049" s="69"/>
      <c r="D1049" s="111"/>
      <c r="E1049" s="88">
        <f>VLOOKUP($B1049,[1]DG!A:D,[1]DG!$B$2,)</f>
        <v>0</v>
      </c>
      <c r="F1049" s="89" t="str">
        <f>VLOOKUP($B1049,[1]DG!A:D,[1]DG!$C$2,)&amp;": 17m nối lên vỏ các thiết bị"</f>
        <v>Cáp đồng trần M25mm2: 17m nối lên vỏ các thiết bị</v>
      </c>
      <c r="G1049" s="88" t="str">
        <f>VLOOKUP($B1049,[1]DG!A:D,[1]DG!$D$2,)</f>
        <v>kg</v>
      </c>
      <c r="H1049" s="145">
        <f>17*0.224*H1046*0</f>
        <v>0</v>
      </c>
      <c r="I1049" s="91">
        <f t="shared" si="48"/>
        <v>0</v>
      </c>
      <c r="J1049" s="146"/>
      <c r="K1049" s="146"/>
      <c r="L1049" s="96"/>
      <c r="M1049" s="56">
        <v>160</v>
      </c>
    </row>
    <row r="1050" spans="1:13" s="51" customFormat="1" ht="25.2" hidden="1" customHeight="1">
      <c r="A1050" s="68">
        <f t="shared" si="49"/>
        <v>0</v>
      </c>
      <c r="B1050" s="86" t="s">
        <v>82</v>
      </c>
      <c r="C1050" s="86"/>
      <c r="D1050" s="111"/>
      <c r="E1050" s="88">
        <f>VLOOKUP($B1050,[1]DG!A:D,[1]DG!$B$2,)</f>
        <v>0</v>
      </c>
      <c r="F1050" s="89" t="str">
        <f>VLOOKUP($B1050,[1]DG!A:D,[1]DG!$C$2,)</f>
        <v>Cọc tiếp đất Þ 16- 2,4m + kẹp cọc mạ đồng</v>
      </c>
      <c r="G1050" s="88" t="str">
        <f>VLOOKUP($B1050,[1]DG!A:D,[1]DG!$D$2,)</f>
        <v>bộ</v>
      </c>
      <c r="H1050" s="145">
        <f>I2*$H$1046</f>
        <v>0</v>
      </c>
      <c r="I1050" s="91">
        <f t="shared" si="48"/>
        <v>0</v>
      </c>
      <c r="J1050" s="146"/>
      <c r="K1050" s="146"/>
      <c r="L1050" s="96"/>
      <c r="M1050" s="56">
        <v>160</v>
      </c>
    </row>
    <row r="1051" spans="1:13" s="51" customFormat="1" ht="25.2" hidden="1" customHeight="1">
      <c r="A1051" s="68">
        <f t="shared" si="49"/>
        <v>0</v>
      </c>
      <c r="B1051" s="86" t="s">
        <v>385</v>
      </c>
      <c r="C1051" s="86"/>
      <c r="D1051" s="111"/>
      <c r="E1051" s="88">
        <f>VLOOKUP($B1051,[1]DG!A:D,[1]DG!$B$2,)</f>
        <v>0</v>
      </c>
      <c r="F1051" s="89" t="str">
        <f>VLOOKUP($B1051,[1]DG!A:D,[1]DG!$C$2,)</f>
        <v>Cáp đồng bọc CV25</v>
      </c>
      <c r="G1051" s="88" t="str">
        <f>VLOOKUP($B1051,[1]DG!A:D,[1]DG!$D$2,)</f>
        <v>mét</v>
      </c>
      <c r="H1051" s="145">
        <v>2</v>
      </c>
      <c r="I1051" s="91">
        <f t="shared" si="48"/>
        <v>0</v>
      </c>
      <c r="J1051" s="146"/>
      <c r="K1051" s="146"/>
      <c r="L1051" s="117"/>
      <c r="M1051" s="56">
        <v>160</v>
      </c>
    </row>
    <row r="1052" spans="1:13" s="51" customFormat="1" ht="25.2" hidden="1" customHeight="1">
      <c r="A1052" s="68">
        <f t="shared" si="49"/>
        <v>0</v>
      </c>
      <c r="B1052" s="86" t="s">
        <v>83</v>
      </c>
      <c r="C1052" s="86"/>
      <c r="D1052" s="111"/>
      <c r="E1052" s="88" t="str">
        <f>VLOOKUP($B1052,[1]DG!A:D,[1]DG!$B$2,)</f>
        <v>07.2403</v>
      </c>
      <c r="F1052" s="89" t="str">
        <f>VLOOKUP($B1052,[1]DG!A:D,[1]DG!$C$2,)</f>
        <v xml:space="preserve">Ống PVC D21x1,6mm </v>
      </c>
      <c r="G1052" s="88" t="str">
        <f>VLOOKUP($B1052,[1]DG!A:D,[1]DG!$D$2,)</f>
        <v>m</v>
      </c>
      <c r="H1052" s="145">
        <v>2</v>
      </c>
      <c r="I1052" s="91">
        <f t="shared" ref="I1052:I1138" si="50">IF(M1052=$M$23,H1052+J1052-K1052,0)</f>
        <v>0</v>
      </c>
      <c r="J1052" s="146"/>
      <c r="K1052" s="146"/>
      <c r="L1052" s="117"/>
      <c r="M1052" s="56">
        <v>160</v>
      </c>
    </row>
    <row r="1053" spans="1:13" s="51" customFormat="1" ht="25.2" hidden="1" customHeight="1">
      <c r="A1053" s="68">
        <f t="shared" si="49"/>
        <v>0</v>
      </c>
      <c r="B1053" s="69" t="s">
        <v>184</v>
      </c>
      <c r="C1053" s="69"/>
      <c r="D1053" s="111"/>
      <c r="E1053" s="88">
        <f>VLOOKUP($B1053,[1]DG!A:D,[1]DG!$B$2,)</f>
        <v>0</v>
      </c>
      <c r="F1053" s="89" t="str">
        <f>VLOOKUP($B1053,[1]DG!A:D,[1]DG!$C$2,)&amp; " bắt dây trung tính "</f>
        <v xml:space="preserve">Kẹp ép WR cỡ dây 50mm2 bắt dây trung tính </v>
      </c>
      <c r="G1053" s="88" t="str">
        <f>VLOOKUP($B1053,[1]DG!A:D,[1]DG!$D$2,)</f>
        <v>cái</v>
      </c>
      <c r="H1053" s="145">
        <f>2*$H$1046</f>
        <v>0</v>
      </c>
      <c r="I1053" s="91">
        <f t="shared" si="50"/>
        <v>0</v>
      </c>
      <c r="J1053" s="146"/>
      <c r="K1053" s="146"/>
      <c r="L1053" s="96"/>
      <c r="M1053" s="56">
        <v>160</v>
      </c>
    </row>
    <row r="1054" spans="1:13" s="51" customFormat="1" ht="25.2" hidden="1" customHeight="1">
      <c r="A1054" s="68">
        <f t="shared" si="49"/>
        <v>0</v>
      </c>
      <c r="B1054" s="69" t="s">
        <v>386</v>
      </c>
      <c r="C1054" s="69"/>
      <c r="D1054" s="331"/>
      <c r="E1054" s="88">
        <f>VLOOKUP($B1054,[1]DG!A:D,[1]DG!$B$2,)</f>
        <v>0</v>
      </c>
      <c r="F1054" s="89" t="str">
        <f>VLOOKUP($B1054,[1]DG!A:D,[1]DG!$C$2,)&amp;": bắt lưới tiếp địa"</f>
        <v>Kẹp ép cỡ dây 25mm2: bắt lưới tiếp địa</v>
      </c>
      <c r="G1054" s="88" t="str">
        <f>VLOOKUP($B1054,[1]DG!A:D,[1]DG!$D$2,)</f>
        <v>cái</v>
      </c>
      <c r="H1054" s="145">
        <f>$H$1046*4</f>
        <v>0</v>
      </c>
      <c r="I1054" s="91">
        <f t="shared" si="50"/>
        <v>0</v>
      </c>
      <c r="J1054" s="146"/>
      <c r="K1054" s="146"/>
      <c r="L1054" s="96"/>
      <c r="M1054" s="56">
        <v>160</v>
      </c>
    </row>
    <row r="1055" spans="1:13" s="51" customFormat="1" ht="25.2" hidden="1" customHeight="1">
      <c r="A1055" s="68">
        <f t="shared" si="49"/>
        <v>0</v>
      </c>
      <c r="B1055" s="86" t="s">
        <v>131</v>
      </c>
      <c r="C1055" s="86"/>
      <c r="D1055" s="111"/>
      <c r="E1055" s="88">
        <f>VLOOKUP($B1055,[1]DG!A:D,[1]DG!$B$2,)</f>
        <v>0</v>
      </c>
      <c r="F1055" s="89" t="str">
        <f>VLOOKUP($B1055,[1]DG!A:D,[1]DG!$C$2,)</f>
        <v>Boulon 12x40+ 2 long đền vuông D14-50x50x3/Zn</v>
      </c>
      <c r="G1055" s="88" t="str">
        <f>VLOOKUP($B1055,[1]DG!A:D,[1]DG!$D$2,)</f>
        <v>bộ</v>
      </c>
      <c r="H1055" s="145">
        <f>$H$1046*0</f>
        <v>0</v>
      </c>
      <c r="I1055" s="91">
        <f t="shared" si="50"/>
        <v>0</v>
      </c>
      <c r="J1055" s="146"/>
      <c r="K1055" s="146"/>
      <c r="L1055" s="96"/>
      <c r="M1055" s="56">
        <v>160</v>
      </c>
    </row>
    <row r="1056" spans="1:13" s="51" customFormat="1" ht="25.2" hidden="1" customHeight="1">
      <c r="A1056" s="68">
        <f t="shared" si="49"/>
        <v>0</v>
      </c>
      <c r="B1056" s="86" t="s">
        <v>198</v>
      </c>
      <c r="C1056" s="86"/>
      <c r="D1056" s="111"/>
      <c r="E1056" s="88" t="str">
        <f>VLOOKUP($B1056,[1]DG!A:D,[1]DG!$B$2,)</f>
        <v>03.4001</v>
      </c>
      <c r="F1056" s="89" t="str">
        <f>VLOOKUP($B1056,[1]DG!A:D,[1]DG!$C$2,)</f>
        <v>Đầu cosse ép Cu 25mm2</v>
      </c>
      <c r="G1056" s="88" t="str">
        <f>VLOOKUP($B1056,[1]DG!A:D,[1]DG!$D$2,)</f>
        <v>cái</v>
      </c>
      <c r="H1056" s="145">
        <f>H1055*2</f>
        <v>0</v>
      </c>
      <c r="I1056" s="91">
        <f t="shared" si="50"/>
        <v>0</v>
      </c>
      <c r="J1056" s="146"/>
      <c r="K1056" s="146"/>
      <c r="L1056" s="96"/>
      <c r="M1056" s="56">
        <v>160</v>
      </c>
    </row>
    <row r="1057" spans="1:16" s="51" customFormat="1" ht="25.2" hidden="1" customHeight="1">
      <c r="A1057" s="68">
        <f t="shared" si="49"/>
        <v>0</v>
      </c>
      <c r="B1057" s="86" t="s">
        <v>86</v>
      </c>
      <c r="C1057" s="86"/>
      <c r="D1057" s="111"/>
      <c r="E1057" s="88" t="str">
        <f>VLOOKUP($B1057,[1]DG!A:D,[1]DG!$B$2,)</f>
        <v>06.3231</v>
      </c>
      <c r="F1057" s="89" t="str">
        <f>VLOOKUP($B1057,[1]DG!A:D,[1]DG!$C$2,)&amp;": CD-250"</f>
        <v>Cổ dê kẹp ống PVC  21: CD-250</v>
      </c>
      <c r="G1057" s="88" t="str">
        <f>VLOOKUP($B1057,[1]DG!A:D,[1]DG!$D$2,)</f>
        <v>bộ</v>
      </c>
      <c r="H1057" s="145">
        <f>$H$1046*0.415*0</f>
        <v>0</v>
      </c>
      <c r="I1057" s="91">
        <f t="shared" si="50"/>
        <v>0</v>
      </c>
      <c r="J1057" s="146"/>
      <c r="K1057" s="146"/>
      <c r="L1057" s="117"/>
      <c r="M1057" s="56">
        <v>160</v>
      </c>
    </row>
    <row r="1058" spans="1:16" s="51" customFormat="1" ht="25.2" hidden="1" customHeight="1">
      <c r="A1058" s="68">
        <f t="shared" si="49"/>
        <v>0</v>
      </c>
      <c r="B1058" s="86" t="s">
        <v>86</v>
      </c>
      <c r="C1058" s="86"/>
      <c r="D1058" s="111"/>
      <c r="E1058" s="88" t="str">
        <f>VLOOKUP($B1058,[1]DG!A:D,[1]DG!$B$2,)</f>
        <v>06.3231</v>
      </c>
      <c r="F1058" s="89" t="str">
        <f>VLOOKUP($B1058,[1]DG!A:D,[1]DG!$C$2,)&amp;": CD-280"</f>
        <v>Cổ dê kẹp ống PVC  21: CD-280</v>
      </c>
      <c r="G1058" s="88" t="str">
        <f>VLOOKUP($B1058,[1]DG!A:D,[1]DG!$D$2,)</f>
        <v>bộ</v>
      </c>
      <c r="H1058" s="145">
        <f>$H$1046*0.452*0</f>
        <v>0</v>
      </c>
      <c r="I1058" s="91">
        <f t="shared" si="50"/>
        <v>0</v>
      </c>
      <c r="J1058" s="146"/>
      <c r="K1058" s="146"/>
      <c r="L1058" s="117"/>
      <c r="M1058" s="56">
        <v>160</v>
      </c>
    </row>
    <row r="1059" spans="1:16" s="51" customFormat="1" ht="25.2" hidden="1" customHeight="1">
      <c r="A1059" s="68">
        <f t="shared" si="49"/>
        <v>0</v>
      </c>
      <c r="B1059" s="86" t="s">
        <v>86</v>
      </c>
      <c r="C1059" s="86"/>
      <c r="D1059" s="111"/>
      <c r="E1059" s="88" t="str">
        <f>VLOOKUP($B1059,[1]DG!A:D,[1]DG!$B$2,)</f>
        <v>06.3231</v>
      </c>
      <c r="F1059" s="89" t="str">
        <f>VLOOKUP($B1059,[1]DG!A:D,[1]DG!$C$2,)&amp;": CD-320"</f>
        <v>Cổ dê kẹp ống PVC  21: CD-320</v>
      </c>
      <c r="G1059" s="88" t="str">
        <f>VLOOKUP($B1059,[1]DG!A:D,[1]DG!$D$2,)</f>
        <v>bộ</v>
      </c>
      <c r="H1059" s="145">
        <f>$H$1046*0.501*0</f>
        <v>0</v>
      </c>
      <c r="I1059" s="91">
        <f t="shared" si="50"/>
        <v>0</v>
      </c>
      <c r="J1059" s="146"/>
      <c r="K1059" s="146"/>
      <c r="L1059" s="117"/>
      <c r="M1059" s="56">
        <v>160</v>
      </c>
    </row>
    <row r="1060" spans="1:16" s="51" customFormat="1" ht="25.2" hidden="1" customHeight="1">
      <c r="A1060" s="68">
        <f t="shared" si="49"/>
        <v>0</v>
      </c>
      <c r="B1060" s="86" t="s">
        <v>87</v>
      </c>
      <c r="C1060" s="86"/>
      <c r="D1060" s="111"/>
      <c r="E1060" s="88" t="str">
        <f>VLOOKUP($B1060,[1]DG!A:D,[1]DG!$B$2,)</f>
        <v>06.2110</v>
      </c>
      <c r="F1060" s="195" t="str">
        <f>VLOOKUP($B1060,[1]DG!A:D,[1]DG!$C$2,)&amp;": CD-320"</f>
        <v>Lắp cổ dề: CD-320</v>
      </c>
      <c r="G1060" s="88" t="str">
        <f>VLOOKUP($B1060,[1]DG!A:D,[1]DG!$D$2,)</f>
        <v>bộ</v>
      </c>
      <c r="H1060" s="145">
        <f>$H$1046*0</f>
        <v>0</v>
      </c>
      <c r="I1060" s="91">
        <f t="shared" si="50"/>
        <v>0</v>
      </c>
      <c r="J1060" s="146"/>
      <c r="K1060" s="146"/>
      <c r="L1060" s="117"/>
      <c r="M1060" s="56">
        <v>160</v>
      </c>
    </row>
    <row r="1061" spans="1:16" s="51" customFormat="1" ht="25.2" hidden="1" customHeight="1">
      <c r="A1061" s="68">
        <f t="shared" si="49"/>
        <v>0</v>
      </c>
      <c r="B1061" s="86" t="s">
        <v>131</v>
      </c>
      <c r="C1061" s="86"/>
      <c r="D1061" s="111"/>
      <c r="E1061" s="88">
        <f>VLOOKUP($B1061,[1]DG!A:D,[1]DG!$B$2,)</f>
        <v>0</v>
      </c>
      <c r="F1061" s="89" t="str">
        <f>VLOOKUP($B1061,[1]DG!A:D,[1]DG!$C$2,)</f>
        <v>Boulon 12x40+ 2 long đền vuông D14-50x50x3/Zn</v>
      </c>
      <c r="G1061" s="88" t="str">
        <f>VLOOKUP($B1061,[1]DG!A:D,[1]DG!$D$2,)</f>
        <v>bộ</v>
      </c>
      <c r="H1061" s="145">
        <f>$H$1046*6*0</f>
        <v>0</v>
      </c>
      <c r="I1061" s="91">
        <f t="shared" si="50"/>
        <v>0</v>
      </c>
      <c r="J1061" s="146"/>
      <c r="K1061" s="146"/>
      <c r="L1061" s="117"/>
      <c r="M1061" s="56">
        <v>160</v>
      </c>
    </row>
    <row r="1062" spans="1:16" s="51" customFormat="1" ht="25.2" hidden="1" customHeight="1">
      <c r="A1062" s="68">
        <f t="shared" si="49"/>
        <v>0</v>
      </c>
      <c r="B1062" s="86" t="s">
        <v>290</v>
      </c>
      <c r="C1062" s="86"/>
      <c r="D1062" s="111"/>
      <c r="E1062" s="88">
        <f>VLOOKUP($B1062,[1]DG!A:D,[1]DG!$B$2,)</f>
        <v>0</v>
      </c>
      <c r="F1062" s="89" t="str">
        <f>VLOOKUP($B1062,[1]DG!A:D,[1]DG!$C$2,)</f>
        <v>Giếng tiếp địa khoan đất</v>
      </c>
      <c r="G1062" s="88" t="str">
        <f>VLOOKUP($B1062,[1]DG!A:D,[1]DG!$D$2,)</f>
        <v>Cái</v>
      </c>
      <c r="H1062" s="145">
        <f>M3*H1046</f>
        <v>0</v>
      </c>
      <c r="I1062" s="91">
        <f t="shared" si="50"/>
        <v>0</v>
      </c>
      <c r="J1062" s="146"/>
      <c r="K1062" s="146"/>
      <c r="L1062" s="96"/>
      <c r="M1062" s="56">
        <v>160</v>
      </c>
    </row>
    <row r="1063" spans="1:16" s="51" customFormat="1" ht="25.2" hidden="1" customHeight="1">
      <c r="A1063" s="68">
        <f t="shared" si="49"/>
        <v>0</v>
      </c>
      <c r="B1063" s="86" t="str">
        <f>"DTD"&amp;chitiet!G5</f>
        <v>DTD3</v>
      </c>
      <c r="C1063" s="86"/>
      <c r="D1063" s="87"/>
      <c r="E1063" s="88" t="str">
        <f>VLOOKUP($B1063,[1]DG!A:D,[1]DG!$B$2,)</f>
        <v>03.3123</v>
      </c>
      <c r="F1063" s="195" t="str">
        <f>VLOOKUP($B1063,[1]DG!A:D,[1]DG!$C$2,)</f>
        <v>Đào rãnh tiếp địa đất cấp 3</v>
      </c>
      <c r="G1063" s="88" t="str">
        <f>VLOOKUP($B1063,[1]DG!A:D,[1]DG!$D$2,)</f>
        <v>m3</v>
      </c>
      <c r="H1063" s="167">
        <v>1.44</v>
      </c>
      <c r="I1063" s="332">
        <f t="shared" si="50"/>
        <v>0</v>
      </c>
      <c r="J1063" s="146"/>
      <c r="K1063" s="146"/>
      <c r="L1063" s="96"/>
      <c r="M1063" s="56">
        <v>160</v>
      </c>
    </row>
    <row r="1064" spans="1:16" s="51" customFormat="1" ht="25.2" hidden="1" customHeight="1">
      <c r="A1064" s="68">
        <f t="shared" si="49"/>
        <v>0</v>
      </c>
      <c r="B1064" s="86" t="str">
        <f>"DATD"&amp;chitiet!G5</f>
        <v>DATD3</v>
      </c>
      <c r="C1064" s="86"/>
      <c r="D1064" s="87"/>
      <c r="E1064" s="88" t="str">
        <f>VLOOKUP($B1064,[1]DG!A:D,[1]DG!$B$2,)</f>
        <v>03.4123</v>
      </c>
      <c r="F1064" s="195" t="str">
        <f>VLOOKUP($B1064,[1]DG!A:D,[1]DG!$C$2,)</f>
        <v>Đắp đất rãnh tiếp độ chặt k=0,85</v>
      </c>
      <c r="G1064" s="88" t="str">
        <f>VLOOKUP($B1064,[1]DG!A:D,[1]DG!$D$2,)</f>
        <v>m3</v>
      </c>
      <c r="H1064" s="333">
        <f>H1063</f>
        <v>1.44</v>
      </c>
      <c r="I1064" s="332">
        <f t="shared" si="50"/>
        <v>0</v>
      </c>
      <c r="J1064" s="146"/>
      <c r="K1064" s="146"/>
      <c r="L1064" s="96"/>
      <c r="M1064" s="56">
        <v>160</v>
      </c>
    </row>
    <row r="1065" spans="1:16" s="51" customFormat="1" ht="25.2" hidden="1" customHeight="1">
      <c r="A1065" s="68">
        <f t="shared" si="49"/>
        <v>0</v>
      </c>
      <c r="B1065" s="86" t="s">
        <v>89</v>
      </c>
      <c r="C1065" s="86"/>
      <c r="D1065" s="87"/>
      <c r="E1065" s="88" t="str">
        <f>VLOOKUP($B1065,[1]DG!A:D,[1]DG!$B$2,)</f>
        <v>04.7001</v>
      </c>
      <c r="F1065" s="195" t="str">
        <f>VLOOKUP($B1065,[1]DG!A:D,[1]DG!$C$2,)</f>
        <v>Đóng cọc tiếp địa trong TBA</v>
      </c>
      <c r="G1065" s="88" t="str">
        <f>VLOOKUP($B1065,[1]DG!A:D,[1]DG!$D$2,)</f>
        <v>cọc</v>
      </c>
      <c r="H1065" s="94">
        <f>I2*L10</f>
        <v>0</v>
      </c>
      <c r="I1065" s="91">
        <f t="shared" si="50"/>
        <v>0</v>
      </c>
      <c r="J1065" s="146"/>
      <c r="K1065" s="146"/>
      <c r="L1065" s="96"/>
      <c r="M1065" s="56">
        <v>160</v>
      </c>
    </row>
    <row r="1066" spans="1:16" s="51" customFormat="1" ht="25.2" hidden="1" customHeight="1">
      <c r="A1066" s="68">
        <f t="shared" si="49"/>
        <v>0</v>
      </c>
      <c r="B1066" s="86" t="s">
        <v>387</v>
      </c>
      <c r="C1066" s="86"/>
      <c r="D1066" s="111"/>
      <c r="E1066" s="88" t="str">
        <f>VLOOKUP($B1066,[1]DG!A:D,[1]DG!$B$2,)</f>
        <v>04.7002</v>
      </c>
      <c r="F1066" s="195" t="str">
        <f>VLOOKUP($B1066,[1]DG!A:D,[1]DG!$C$2,)</f>
        <v>Kéo dây tiếp địa trong TBA</v>
      </c>
      <c r="G1066" s="88" t="str">
        <f>VLOOKUP($B1066,[1]DG!A:D,[1]DG!$D$2,)</f>
        <v>mét</v>
      </c>
      <c r="H1066" s="145">
        <v>54</v>
      </c>
      <c r="I1066" s="91">
        <f t="shared" si="50"/>
        <v>0</v>
      </c>
      <c r="J1066" s="146"/>
      <c r="K1066" s="146"/>
      <c r="L1066" s="96"/>
      <c r="M1066" s="56">
        <v>160</v>
      </c>
    </row>
    <row r="1067" spans="1:16" s="51" customFormat="1" ht="25.2" hidden="1" customHeight="1">
      <c r="A1067" s="68">
        <f t="shared" si="49"/>
        <v>0</v>
      </c>
      <c r="B1067" s="69"/>
      <c r="C1067" s="69"/>
      <c r="D1067" s="220">
        <f>IF(H1067&gt;0,D1046+1,D1046)</f>
        <v>0</v>
      </c>
      <c r="E1067" s="238"/>
      <c r="F1067" s="239" t="s">
        <v>388</v>
      </c>
      <c r="G1067" s="220" t="s">
        <v>67</v>
      </c>
      <c r="H1067" s="240"/>
      <c r="I1067" s="91">
        <f t="shared" si="50"/>
        <v>0</v>
      </c>
      <c r="J1067" s="146"/>
      <c r="K1067" s="146"/>
      <c r="L1067" s="117"/>
      <c r="M1067" s="56">
        <v>160</v>
      </c>
    </row>
    <row r="1068" spans="1:16" s="51" customFormat="1" ht="25.2" hidden="1" customHeight="1">
      <c r="A1068" s="68">
        <f>IF(A1067&gt;0,1,0)</f>
        <v>0</v>
      </c>
      <c r="B1068" s="69"/>
      <c r="C1068" s="69"/>
      <c r="D1068" s="111"/>
      <c r="E1068" s="242"/>
      <c r="F1068" s="243" t="s">
        <v>68</v>
      </c>
      <c r="G1068" s="87"/>
      <c r="H1068" s="145"/>
      <c r="I1068" s="91">
        <f t="shared" si="50"/>
        <v>0</v>
      </c>
      <c r="J1068" s="146"/>
      <c r="K1068" s="146"/>
      <c r="L1068" s="117"/>
      <c r="M1068" s="56">
        <v>160</v>
      </c>
    </row>
    <row r="1069" spans="1:16" s="51" customFormat="1" ht="25.2" hidden="1" customHeight="1">
      <c r="A1069" s="68">
        <f t="shared" si="49"/>
        <v>0</v>
      </c>
      <c r="B1069" s="69" t="s">
        <v>293</v>
      </c>
      <c r="C1069" s="69"/>
      <c r="D1069" s="87"/>
      <c r="E1069" s="88">
        <f>VLOOKUP($B1069,[1]DG!A:D,[1]DG!$B$2,)</f>
        <v>0</v>
      </c>
      <c r="F1069" s="89" t="str">
        <f>VLOOKUP($B1069,[1]DG!A:D,[1]DG!$C$2,)</f>
        <v>Ximăng (PC40)</v>
      </c>
      <c r="G1069" s="88" t="str">
        <f>VLOOKUP($B1069,[1]DG!A:D,[1]DG!$D$2,)</f>
        <v>kg</v>
      </c>
      <c r="H1069" s="145">
        <f>H1067*M1072</f>
        <v>0</v>
      </c>
      <c r="I1069" s="91">
        <f t="shared" si="50"/>
        <v>0</v>
      </c>
      <c r="J1069" s="146"/>
      <c r="K1069" s="146"/>
      <c r="L1069" s="117"/>
      <c r="M1069" s="56">
        <v>160</v>
      </c>
    </row>
    <row r="1070" spans="1:16" s="51" customFormat="1" ht="25.2" hidden="1" customHeight="1">
      <c r="A1070" s="68">
        <f t="shared" si="49"/>
        <v>0</v>
      </c>
      <c r="B1070" s="69" t="s">
        <v>389</v>
      </c>
      <c r="C1070" s="69"/>
      <c r="D1070" s="111"/>
      <c r="E1070" s="88">
        <f>VLOOKUP($B1070,[1]DG!A:D,[1]DG!$B$2,)</f>
        <v>0</v>
      </c>
      <c r="F1070" s="89" t="str">
        <f>VLOOKUP($B1070,[1]DG!A:D,[1]DG!$C$2,)</f>
        <v>Cát vàng</v>
      </c>
      <c r="G1070" s="88" t="str">
        <f>VLOOKUP($B1070,[1]DG!A:D,[1]DG!$D$2,)</f>
        <v>m3</v>
      </c>
      <c r="H1070" s="145">
        <f>H1067*N1072</f>
        <v>0</v>
      </c>
      <c r="I1070" s="91">
        <f t="shared" si="50"/>
        <v>0</v>
      </c>
      <c r="J1070" s="146"/>
      <c r="K1070" s="146"/>
      <c r="L1070" s="117"/>
      <c r="M1070" s="56">
        <v>160</v>
      </c>
    </row>
    <row r="1071" spans="1:16" s="51" customFormat="1" ht="25.2" hidden="1" customHeight="1">
      <c r="A1071" s="68">
        <f t="shared" si="49"/>
        <v>0</v>
      </c>
      <c r="B1071" s="69" t="s">
        <v>295</v>
      </c>
      <c r="C1071" s="69"/>
      <c r="D1071" s="111"/>
      <c r="E1071" s="88">
        <f>VLOOKUP($B1071,[1]DG!A:D,[1]DG!$B$2,)</f>
        <v>0</v>
      </c>
      <c r="F1071" s="89" t="str">
        <f>VLOOKUP($B1071,[1]DG!A:D,[1]DG!$C$2,)</f>
        <v>Đá 1x2</v>
      </c>
      <c r="G1071" s="88" t="str">
        <f>VLOOKUP($B1071,[1]DG!A:D,[1]DG!$D$2,)</f>
        <v>m3</v>
      </c>
      <c r="H1071" s="145">
        <f>H1067*O1072</f>
        <v>0</v>
      </c>
      <c r="I1071" s="91">
        <f t="shared" si="50"/>
        <v>0</v>
      </c>
      <c r="J1071" s="146"/>
      <c r="K1071" s="146"/>
      <c r="L1071" s="117"/>
      <c r="M1071" s="56">
        <v>160</v>
      </c>
    </row>
    <row r="1072" spans="1:16" s="51" customFormat="1" ht="25.2" hidden="1" customHeight="1">
      <c r="A1072" s="68">
        <f t="shared" si="49"/>
        <v>0</v>
      </c>
      <c r="B1072" s="69" t="s">
        <v>296</v>
      </c>
      <c r="C1072" s="69"/>
      <c r="D1072" s="87"/>
      <c r="E1072" s="88" t="str">
        <f>VLOOKUP($B1072,[1]DG!A:D,[1]DG!$B$2,)</f>
        <v>04.1203c</v>
      </c>
      <c r="F1072" s="89" t="str">
        <f>VLOOKUP($B1072,[1]DG!A:D,[1]DG!$C$2,)</f>
        <v>Đổ bê tông móng trụ &lt;=250cm-M200 đá 1x2</v>
      </c>
      <c r="G1072" s="88" t="str">
        <f>VLOOKUP($B1072,[1]DG!A:D,[1]DG!$D$2,)</f>
        <v>m3</v>
      </c>
      <c r="H1072" s="145">
        <f>H1067*(0.4*3*1-2*3.14*0.15^2*0.4)*1.025</f>
        <v>0</v>
      </c>
      <c r="I1072" s="91">
        <f t="shared" si="50"/>
        <v>0</v>
      </c>
      <c r="J1072" s="146"/>
      <c r="K1072" s="146"/>
      <c r="L1072" s="117"/>
      <c r="M1072" s="56">
        <v>160</v>
      </c>
      <c r="N1072" s="245">
        <f>1.025*0.45</f>
        <v>0.46124999999999999</v>
      </c>
      <c r="O1072" s="245">
        <f>1.025*0.866</f>
        <v>0.88764999999999994</v>
      </c>
      <c r="P1072" s="246"/>
    </row>
    <row r="1073" spans="1:16" s="51" customFormat="1" ht="25.2" hidden="1" customHeight="1">
      <c r="A1073" s="68">
        <f t="shared" si="49"/>
        <v>0</v>
      </c>
      <c r="B1073" s="69"/>
      <c r="C1073" s="69"/>
      <c r="D1073" s="220">
        <f>IF(H1073&gt;0,D1067+1,D1067)</f>
        <v>0</v>
      </c>
      <c r="E1073" s="238"/>
      <c r="F1073" s="239" t="s">
        <v>390</v>
      </c>
      <c r="G1073" s="220" t="s">
        <v>67</v>
      </c>
      <c r="H1073" s="240"/>
      <c r="I1073" s="91">
        <f t="shared" si="50"/>
        <v>0</v>
      </c>
      <c r="J1073" s="146"/>
      <c r="K1073" s="146"/>
      <c r="L1073" s="117"/>
      <c r="M1073" s="56">
        <v>160</v>
      </c>
    </row>
    <row r="1074" spans="1:16" s="51" customFormat="1" ht="25.2" hidden="1" customHeight="1">
      <c r="A1074" s="68">
        <f>IF(A1073&gt;0,1,0)</f>
        <v>0</v>
      </c>
      <c r="B1074" s="69"/>
      <c r="C1074" s="69"/>
      <c r="D1074" s="111"/>
      <c r="E1074" s="242"/>
      <c r="F1074" s="243" t="s">
        <v>68</v>
      </c>
      <c r="G1074" s="87"/>
      <c r="H1074" s="145"/>
      <c r="I1074" s="91">
        <f t="shared" si="50"/>
        <v>0</v>
      </c>
      <c r="J1074" s="146"/>
      <c r="K1074" s="146"/>
      <c r="L1074" s="117"/>
      <c r="M1074" s="56">
        <v>160</v>
      </c>
    </row>
    <row r="1075" spans="1:16" s="51" customFormat="1" ht="25.2" hidden="1" customHeight="1">
      <c r="A1075" s="68">
        <f t="shared" si="49"/>
        <v>0</v>
      </c>
      <c r="B1075" s="69" t="s">
        <v>293</v>
      </c>
      <c r="C1075" s="69"/>
      <c r="D1075" s="87"/>
      <c r="E1075" s="88">
        <f>VLOOKUP($B1075,[1]DG!A:D,[1]DG!$B$2,)</f>
        <v>0</v>
      </c>
      <c r="F1075" s="89" t="str">
        <f>VLOOKUP($B1075,[1]DG!A:D,[1]DG!$C$2,)</f>
        <v>Ximăng (PC40)</v>
      </c>
      <c r="G1075" s="88" t="str">
        <f>VLOOKUP($B1075,[1]DG!A:D,[1]DG!$D$2,)</f>
        <v>kg</v>
      </c>
      <c r="H1075" s="145">
        <f>H1078*M1078</f>
        <v>0</v>
      </c>
      <c r="I1075" s="91">
        <f t="shared" si="50"/>
        <v>0</v>
      </c>
      <c r="J1075" s="146"/>
      <c r="K1075" s="146"/>
      <c r="L1075" s="117"/>
      <c r="M1075" s="56">
        <v>160</v>
      </c>
    </row>
    <row r="1076" spans="1:16" s="51" customFormat="1" ht="25.2" hidden="1" customHeight="1">
      <c r="A1076" s="68">
        <f t="shared" si="49"/>
        <v>0</v>
      </c>
      <c r="B1076" s="69" t="s">
        <v>389</v>
      </c>
      <c r="C1076" s="69"/>
      <c r="D1076" s="111"/>
      <c r="E1076" s="88">
        <f>VLOOKUP($B1076,[1]DG!A:D,[1]DG!$B$2,)</f>
        <v>0</v>
      </c>
      <c r="F1076" s="89" t="str">
        <f>VLOOKUP($B1076,[1]DG!A:D,[1]DG!$C$2,)</f>
        <v>Cát vàng</v>
      </c>
      <c r="G1076" s="88" t="str">
        <f>VLOOKUP($B1076,[1]DG!A:D,[1]DG!$D$2,)</f>
        <v>m3</v>
      </c>
      <c r="H1076" s="244">
        <f>H1078*N1078</f>
        <v>0</v>
      </c>
      <c r="I1076" s="91">
        <f t="shared" si="50"/>
        <v>0</v>
      </c>
      <c r="J1076" s="146"/>
      <c r="K1076" s="146"/>
      <c r="L1076" s="117"/>
      <c r="M1076" s="56">
        <v>160</v>
      </c>
    </row>
    <row r="1077" spans="1:16" s="51" customFormat="1" ht="25.2" hidden="1" customHeight="1">
      <c r="A1077" s="68">
        <f t="shared" si="49"/>
        <v>0</v>
      </c>
      <c r="B1077" s="69" t="s">
        <v>295</v>
      </c>
      <c r="C1077" s="69"/>
      <c r="D1077" s="111"/>
      <c r="E1077" s="88">
        <f>VLOOKUP($B1077,[1]DG!A:D,[1]DG!$B$2,)</f>
        <v>0</v>
      </c>
      <c r="F1077" s="89" t="str">
        <f>VLOOKUP($B1077,[1]DG!A:D,[1]DG!$C$2,)</f>
        <v>Đá 1x2</v>
      </c>
      <c r="G1077" s="88" t="str">
        <f>VLOOKUP($B1077,[1]DG!A:D,[1]DG!$D$2,)</f>
        <v>m3</v>
      </c>
      <c r="H1077" s="244">
        <f>H1078*O1078</f>
        <v>0</v>
      </c>
      <c r="I1077" s="91">
        <f t="shared" si="50"/>
        <v>0</v>
      </c>
      <c r="J1077" s="146"/>
      <c r="K1077" s="146"/>
      <c r="L1077" s="117"/>
      <c r="M1077" s="56">
        <v>160</v>
      </c>
    </row>
    <row r="1078" spans="1:16" s="51" customFormat="1" ht="25.2" hidden="1" customHeight="1">
      <c r="A1078" s="68">
        <f t="shared" si="49"/>
        <v>0</v>
      </c>
      <c r="B1078" s="69" t="s">
        <v>296</v>
      </c>
      <c r="C1078" s="69"/>
      <c r="D1078" s="87"/>
      <c r="E1078" s="88" t="str">
        <f>VLOOKUP($B1078,[1]DG!A:D,[1]DG!$B$2,)</f>
        <v>04.1203c</v>
      </c>
      <c r="F1078" s="89" t="str">
        <f>VLOOKUP($B1078,[1]DG!A:D,[1]DG!$C$2,)</f>
        <v>Đổ bê tông móng trụ &lt;=250cm-M200 đá 1x2</v>
      </c>
      <c r="G1078" s="88" t="str">
        <f>VLOOKUP($B1078,[1]DG!A:D,[1]DG!$D$2,)</f>
        <v>m3</v>
      </c>
      <c r="H1078" s="145">
        <f>H1073*0.2*0.2*(0.2+0.2+0.8+0.8+2*4)</f>
        <v>0</v>
      </c>
      <c r="I1078" s="91">
        <f t="shared" si="50"/>
        <v>0</v>
      </c>
      <c r="J1078" s="146"/>
      <c r="K1078" s="146"/>
      <c r="L1078" s="117"/>
      <c r="M1078" s="56">
        <v>160</v>
      </c>
      <c r="N1078" s="245">
        <f>1.025*0.45</f>
        <v>0.46124999999999999</v>
      </c>
      <c r="O1078" s="245">
        <f>1.025*0.866</f>
        <v>0.88764999999999994</v>
      </c>
      <c r="P1078" s="246"/>
    </row>
    <row r="1079" spans="1:16" s="51" customFormat="1" ht="25.2" hidden="1" customHeight="1">
      <c r="A1079" s="68">
        <f t="shared" si="49"/>
        <v>0</v>
      </c>
      <c r="B1079" s="69"/>
      <c r="C1079" s="69"/>
      <c r="D1079" s="220">
        <f>IF(H1079&gt;0,D1073+1,D1073)</f>
        <v>0</v>
      </c>
      <c r="E1079" s="238"/>
      <c r="F1079" s="239" t="s">
        <v>391</v>
      </c>
      <c r="G1079" s="220" t="s">
        <v>67</v>
      </c>
      <c r="H1079" s="240">
        <f>H948</f>
        <v>0</v>
      </c>
      <c r="I1079" s="91">
        <f t="shared" si="50"/>
        <v>0</v>
      </c>
      <c r="J1079" s="146"/>
      <c r="K1079" s="146"/>
      <c r="L1079" s="96"/>
      <c r="M1079" s="56">
        <v>160</v>
      </c>
    </row>
    <row r="1080" spans="1:16" s="51" customFormat="1" ht="25.2" hidden="1" customHeight="1">
      <c r="A1080" s="68">
        <f>IF(A1079&gt;0,1,0)</f>
        <v>0</v>
      </c>
      <c r="B1080" s="69"/>
      <c r="C1080" s="69"/>
      <c r="D1080" s="111"/>
      <c r="E1080" s="242"/>
      <c r="F1080" s="243" t="s">
        <v>68</v>
      </c>
      <c r="G1080" s="87"/>
      <c r="H1080" s="145"/>
      <c r="I1080" s="91">
        <f t="shared" si="50"/>
        <v>0</v>
      </c>
      <c r="J1080" s="146"/>
      <c r="K1080" s="146"/>
      <c r="L1080" s="96"/>
      <c r="M1080" s="56">
        <v>160</v>
      </c>
    </row>
    <row r="1081" spans="1:16" s="51" customFormat="1" ht="25.2" hidden="1" customHeight="1">
      <c r="A1081" s="68">
        <f t="shared" si="49"/>
        <v>0</v>
      </c>
      <c r="B1081" s="334" t="s">
        <v>392</v>
      </c>
      <c r="C1081" s="334"/>
      <c r="D1081" s="87"/>
      <c r="E1081" s="88" t="str">
        <f>VLOOKUP($B1081,[1]DG!A:D,[1]DG!$B$2,)</f>
        <v>05.1002</v>
      </c>
      <c r="F1081" s="89" t="str">
        <f>VLOOKUP($B1081,[1]DG!A:D,[1]DG!$C$2,)</f>
        <v>Vỏ tủ trạm giàn 2 ngăn + khóa tủ</v>
      </c>
      <c r="G1081" s="88" t="str">
        <f>VLOOKUP($B1081,[1]DG!A:D,[1]DG!$D$2,)</f>
        <v>cái</v>
      </c>
      <c r="H1081" s="145">
        <f>$H$1079</f>
        <v>0</v>
      </c>
      <c r="I1081" s="91">
        <f t="shared" si="50"/>
        <v>0</v>
      </c>
      <c r="J1081" s="146"/>
      <c r="K1081" s="146"/>
      <c r="L1081" s="96"/>
      <c r="M1081" s="56">
        <v>160</v>
      </c>
    </row>
    <row r="1082" spans="1:16" s="51" customFormat="1" ht="25.2" hidden="1" customHeight="1">
      <c r="A1082" s="68">
        <f t="shared" si="49"/>
        <v>0</v>
      </c>
      <c r="B1082" s="334" t="s">
        <v>393</v>
      </c>
      <c r="C1082" s="334"/>
      <c r="D1082" s="87"/>
      <c r="E1082" s="88" t="str">
        <f>VLOOKUP($B1082,[1]DG!A:D,[1]DG!$B$2,)</f>
        <v>06.3231</v>
      </c>
      <c r="F1082" s="89" t="str">
        <f>VLOOKUP($B1082,[1]DG!A:D,[1]DG!$C$2,)</f>
        <v>Cổ dê bắt tủ trạm trụ ghép D320/60x6</v>
      </c>
      <c r="G1082" s="88" t="str">
        <f>VLOOKUP($B1082,[1]DG!A:D,[1]DG!$D$2,)</f>
        <v>bộ</v>
      </c>
      <c r="H1082" s="145">
        <v>2</v>
      </c>
      <c r="I1082" s="91">
        <f t="shared" si="50"/>
        <v>0</v>
      </c>
      <c r="J1082" s="146"/>
      <c r="K1082" s="146"/>
      <c r="L1082" s="96"/>
      <c r="M1082" s="56">
        <v>160</v>
      </c>
    </row>
    <row r="1083" spans="1:16" s="51" customFormat="1" ht="25.2" hidden="1" customHeight="1">
      <c r="A1083" s="68">
        <f t="shared" si="49"/>
        <v>0</v>
      </c>
      <c r="B1083" s="334" t="s">
        <v>131</v>
      </c>
      <c r="C1083" s="334"/>
      <c r="D1083" s="87"/>
      <c r="E1083" s="88">
        <f>VLOOKUP($B1083,[1]DG!A:D,[1]DG!$B$2,)</f>
        <v>0</v>
      </c>
      <c r="F1083" s="89" t="str">
        <f>VLOOKUP($B1083,[1]DG!A:D,[1]DG!$C$2,)</f>
        <v>Boulon 12x40+ 2 long đền vuông D14-50x50x3/Zn</v>
      </c>
      <c r="G1083" s="88" t="str">
        <f>VLOOKUP($B1083,[1]DG!A:D,[1]DG!$D$2,)</f>
        <v>bộ</v>
      </c>
      <c r="H1083" s="145"/>
      <c r="I1083" s="91">
        <f t="shared" si="50"/>
        <v>0</v>
      </c>
      <c r="J1083" s="146"/>
      <c r="K1083" s="146"/>
      <c r="L1083" s="96"/>
      <c r="M1083" s="56">
        <v>160</v>
      </c>
    </row>
    <row r="1084" spans="1:16" s="51" customFormat="1" ht="25.2" hidden="1" customHeight="1">
      <c r="A1084" s="68">
        <f t="shared" si="49"/>
        <v>0</v>
      </c>
      <c r="B1084" s="69" t="s">
        <v>394</v>
      </c>
      <c r="C1084" s="69"/>
      <c r="D1084" s="111"/>
      <c r="E1084" s="88">
        <f>VLOOKUP($B1084,[1]DG!A:D,[1]DG!$B$2,)</f>
        <v>0</v>
      </c>
      <c r="F1084" s="89" t="str">
        <f>VLOOKUP($B1084,[1]DG!A:D,[1]DG!$C$2,)</f>
        <v>Giá nới + Thanh cái tủ CB</v>
      </c>
      <c r="G1084" s="88" t="str">
        <f>VLOOKUP($B1084,[1]DG!A:D,[1]DG!$D$2,)</f>
        <v>bộ</v>
      </c>
      <c r="H1084" s="244">
        <f>H1079*0</f>
        <v>0</v>
      </c>
      <c r="I1084" s="91">
        <f t="shared" si="50"/>
        <v>0</v>
      </c>
      <c r="J1084" s="146"/>
      <c r="K1084" s="146"/>
      <c r="L1084" s="96"/>
      <c r="M1084" s="56">
        <v>160</v>
      </c>
    </row>
    <row r="1085" spans="1:16" s="51" customFormat="1" ht="25.2" hidden="1" customHeight="1">
      <c r="A1085" s="68">
        <f t="shared" si="49"/>
        <v>0</v>
      </c>
      <c r="B1085" s="69" t="s">
        <v>96</v>
      </c>
      <c r="C1085" s="69"/>
      <c r="D1085" s="111"/>
      <c r="E1085" s="88">
        <f>VLOOKUP($B1085,[1]DG!A:D,[1]DG!$B$2,)</f>
        <v>0</v>
      </c>
      <c r="F1085" s="89" t="str">
        <f>VLOOKUP($B1085,[1]DG!A:D,[1]DG!$C$2,)</f>
        <v xml:space="preserve">Bakelit 550x450 dầy 10mm </v>
      </c>
      <c r="G1085" s="88" t="str">
        <f>VLOOKUP($B1085,[1]DG!A:D,[1]DG!$D$2,)</f>
        <v>cái</v>
      </c>
      <c r="H1085" s="145">
        <f>H1079*3</f>
        <v>0</v>
      </c>
      <c r="I1085" s="91">
        <f t="shared" si="50"/>
        <v>0</v>
      </c>
      <c r="J1085" s="146"/>
      <c r="K1085" s="146"/>
      <c r="L1085" s="96"/>
      <c r="M1085" s="56">
        <v>160</v>
      </c>
    </row>
    <row r="1086" spans="1:16" s="51" customFormat="1" ht="25.2" hidden="1" customHeight="1">
      <c r="A1086" s="68">
        <f t="shared" si="49"/>
        <v>0</v>
      </c>
      <c r="B1086" s="69" t="s">
        <v>117</v>
      </c>
      <c r="C1086" s="69"/>
      <c r="D1086" s="87"/>
      <c r="E1086" s="88" t="str">
        <f>VLOOKUP($B1086,[1]DG!A:D,[1]DG!$B$2,)</f>
        <v>06.3191</v>
      </c>
      <c r="F1086" s="89" t="str">
        <f>VLOOKUP($B1086,[1]DG!A:D,[1]DG!$C$2,)</f>
        <v>Bảng tên trạm, bảng báo nguy hiểm + đinh vít</v>
      </c>
      <c r="G1086" s="88" t="str">
        <f>VLOOKUP($B1086,[1]DG!A:D,[1]DG!$D$2,)</f>
        <v>bộ</v>
      </c>
      <c r="H1086" s="145">
        <f>H1079</f>
        <v>0</v>
      </c>
      <c r="I1086" s="91">
        <f t="shared" si="50"/>
        <v>0</v>
      </c>
      <c r="J1086" s="146"/>
      <c r="K1086" s="146"/>
      <c r="L1086" s="96"/>
      <c r="M1086" s="56">
        <v>160</v>
      </c>
    </row>
    <row r="1087" spans="1:16" s="51" customFormat="1" ht="25.2" hidden="1" customHeight="1">
      <c r="A1087" s="68">
        <f t="shared" si="49"/>
        <v>0</v>
      </c>
      <c r="B1087" s="69"/>
      <c r="C1087" s="69"/>
      <c r="D1087" s="220">
        <f>IF(H1087&gt;0,D1079+1,D1079)</f>
        <v>0</v>
      </c>
      <c r="E1087" s="238"/>
      <c r="F1087" s="239" t="s">
        <v>395</v>
      </c>
      <c r="G1087" s="220" t="s">
        <v>396</v>
      </c>
      <c r="H1087" s="240">
        <f>H948*0</f>
        <v>0</v>
      </c>
      <c r="I1087" s="91">
        <f t="shared" si="50"/>
        <v>0</v>
      </c>
      <c r="J1087" s="146"/>
      <c r="K1087" s="146"/>
      <c r="L1087" s="117"/>
      <c r="M1087" s="56">
        <v>160</v>
      </c>
    </row>
    <row r="1088" spans="1:16" s="51" customFormat="1" ht="25.2" hidden="1" customHeight="1">
      <c r="A1088" s="68">
        <f>IF(A1087&gt;0,1,0)</f>
        <v>0</v>
      </c>
      <c r="B1088" s="69"/>
      <c r="C1088" s="69"/>
      <c r="D1088" s="111"/>
      <c r="E1088" s="242"/>
      <c r="F1088" s="243" t="s">
        <v>68</v>
      </c>
      <c r="G1088" s="87"/>
      <c r="H1088" s="145"/>
      <c r="I1088" s="91">
        <f t="shared" si="50"/>
        <v>0</v>
      </c>
      <c r="J1088" s="146"/>
      <c r="K1088" s="146"/>
      <c r="L1088" s="117"/>
      <c r="M1088" s="56">
        <v>160</v>
      </c>
    </row>
    <row r="1089" spans="1:14" s="51" customFormat="1" ht="25.2" hidden="1" customHeight="1">
      <c r="A1089" s="68">
        <f t="shared" si="49"/>
        <v>0</v>
      </c>
      <c r="B1089" s="98" t="s">
        <v>294</v>
      </c>
      <c r="C1089" s="98"/>
      <c r="D1089" s="87"/>
      <c r="E1089" s="88">
        <f>VLOOKUP($B1089,[1]DG!A:D,[1]DG!$B$2,)</f>
        <v>0</v>
      </c>
      <c r="F1089" s="92" t="str">
        <f>VLOOKUP($B1089,[1]DG!A:D,[1]DG!$C$2,)&amp;": 0,315m3/m"</f>
        <v>Cát vàng: 0,315m3/m</v>
      </c>
      <c r="G1089" s="88" t="str">
        <f>VLOOKUP($B1089,[1]DG!A:D,[1]DG!$D$2,)</f>
        <v>m3</v>
      </c>
      <c r="H1089" s="145">
        <f>H1087*0.315</f>
        <v>0</v>
      </c>
      <c r="I1089" s="91">
        <f t="shared" si="50"/>
        <v>0</v>
      </c>
      <c r="J1089" s="146"/>
      <c r="K1089" s="146"/>
      <c r="L1089" s="117"/>
      <c r="M1089" s="56">
        <v>160</v>
      </c>
    </row>
    <row r="1090" spans="1:14" s="51" customFormat="1" ht="25.2" hidden="1" customHeight="1">
      <c r="A1090" s="68">
        <f t="shared" si="49"/>
        <v>0</v>
      </c>
      <c r="B1090" s="98" t="s">
        <v>397</v>
      </c>
      <c r="C1090" s="98"/>
      <c r="D1090" s="87"/>
      <c r="E1090" s="88">
        <f>VLOOKUP($B1090,[1]DG!A:D,[1]DG!$B$2,)</f>
        <v>0</v>
      </c>
      <c r="F1090" s="92" t="str">
        <f>VLOOKUP($B1090,[1]DG!A:D,[1]DG!$C$2,)&amp;": 0,092m3/m"</f>
        <v>Đá 2x4: 0,092m3/m</v>
      </c>
      <c r="G1090" s="88" t="str">
        <f>VLOOKUP($B1090,[1]DG!A:D,[1]DG!$D$2,)</f>
        <v>m3</v>
      </c>
      <c r="H1090" s="145">
        <f>0.092*H1087</f>
        <v>0</v>
      </c>
      <c r="I1090" s="91">
        <f t="shared" si="50"/>
        <v>0</v>
      </c>
      <c r="J1090" s="146"/>
      <c r="K1090" s="146"/>
      <c r="L1090" s="117"/>
      <c r="M1090" s="56">
        <v>160</v>
      </c>
    </row>
    <row r="1091" spans="1:14" s="51" customFormat="1" ht="25.2" hidden="1" customHeight="1">
      <c r="A1091" s="68">
        <f t="shared" si="49"/>
        <v>0</v>
      </c>
      <c r="B1091" s="98" t="s">
        <v>398</v>
      </c>
      <c r="C1091" s="98"/>
      <c r="D1091" s="87"/>
      <c r="E1091" s="88">
        <f>VLOOKUP($B1091,[1]DG!A:D,[1]DG!$B$2,)</f>
        <v>0</v>
      </c>
      <c r="F1091" s="92" t="str">
        <f>VLOOKUP($B1091,[1]DG!A:D,[1]DG!$C$2,)&amp;": 3,3vieân/m"</f>
        <v>Gạch tàu: 3,3vieân/m</v>
      </c>
      <c r="G1091" s="88" t="str">
        <f>VLOOKUP($B1091,[1]DG!A:D,[1]DG!$D$2,)</f>
        <v>viên</v>
      </c>
      <c r="H1091" s="145">
        <f>3.3*H1087</f>
        <v>0</v>
      </c>
      <c r="I1091" s="91">
        <f t="shared" si="50"/>
        <v>0</v>
      </c>
      <c r="J1091" s="146"/>
      <c r="K1091" s="146"/>
      <c r="L1091" s="117"/>
      <c r="M1091" s="56">
        <v>160</v>
      </c>
    </row>
    <row r="1092" spans="1:14" s="51" customFormat="1" ht="25.2" hidden="1" customHeight="1">
      <c r="A1092" s="68">
        <f t="shared" si="49"/>
        <v>0</v>
      </c>
      <c r="B1092" s="98" t="s">
        <v>399</v>
      </c>
      <c r="C1092" s="98"/>
      <c r="D1092" s="87"/>
      <c r="E1092" s="88">
        <f>VLOOKUP($B1092,[1]DG!A:D,[1]DG!$B$2,)</f>
        <v>0</v>
      </c>
      <c r="F1092" s="92" t="str">
        <f>VLOOKUP($B1092,[1]DG!A:D,[1]DG!$C$2,)&amp;": 0,4m2/m"</f>
        <v>Tấm nilông màu cảnh báo: 0,4m2/m</v>
      </c>
      <c r="G1092" s="88" t="str">
        <f>VLOOKUP($B1092,[1]DG!A:D,[1]DG!$D$2,)</f>
        <v>m2</v>
      </c>
      <c r="H1092" s="145">
        <f>0.4*H1087</f>
        <v>0</v>
      </c>
      <c r="I1092" s="91">
        <f t="shared" si="50"/>
        <v>0</v>
      </c>
      <c r="J1092" s="146"/>
      <c r="K1092" s="146"/>
      <c r="L1092" s="117"/>
      <c r="M1092" s="56">
        <v>160</v>
      </c>
    </row>
    <row r="1093" spans="1:14" s="51" customFormat="1" ht="25.2" hidden="1" customHeight="1">
      <c r="A1093" s="68">
        <f t="shared" si="49"/>
        <v>0</v>
      </c>
      <c r="B1093" s="98" t="s">
        <v>400</v>
      </c>
      <c r="C1093" s="98"/>
      <c r="D1093" s="111"/>
      <c r="E1093" s="88">
        <f>VLOOKUP($B1093,[1]DG!A:D,[1]DG!$B$2,)</f>
        <v>0</v>
      </c>
      <c r="F1093" s="92" t="str">
        <f>VLOOKUP($B1093,[1]DG!A:D,[1]DG!$C$2,)</f>
        <v>Ống PVC D140x6,7mm</v>
      </c>
      <c r="G1093" s="88" t="str">
        <f>VLOOKUP($B1093,[1]DG!A:D,[1]DG!$D$2,)</f>
        <v>m</v>
      </c>
      <c r="H1093" s="145">
        <f>1*H1087</f>
        <v>0</v>
      </c>
      <c r="I1093" s="91">
        <f t="shared" si="50"/>
        <v>0</v>
      </c>
      <c r="J1093" s="146"/>
      <c r="K1093" s="146"/>
      <c r="L1093" s="117"/>
      <c r="M1093" s="56">
        <v>160</v>
      </c>
    </row>
    <row r="1094" spans="1:14" s="51" customFormat="1" ht="25.2" hidden="1" customHeight="1">
      <c r="A1094" s="68">
        <f t="shared" si="49"/>
        <v>0</v>
      </c>
      <c r="B1094" s="98" t="s">
        <v>401</v>
      </c>
      <c r="C1094" s="98"/>
      <c r="D1094" s="87"/>
      <c r="E1094" s="88" t="str">
        <f>VLOOKUP($B1094,[1]DG!A:D,[1]DG!$B$2,)</f>
        <v>03.7000</v>
      </c>
      <c r="F1094" s="92" t="str">
        <f>VLOOKUP($B1094,[1]DG!A:D,[1]DG!$C$2,)&amp;" + ñaép ñaù"</f>
        <v>Đắp cát  + ñaép ñaù</v>
      </c>
      <c r="G1094" s="88" t="str">
        <f>VLOOKUP($B1094,[1]DG!A:D,[1]DG!$D$2,)</f>
        <v>m3</v>
      </c>
      <c r="H1094" s="145">
        <f>H1089+H1090</f>
        <v>0</v>
      </c>
      <c r="I1094" s="91">
        <f t="shared" si="50"/>
        <v>0</v>
      </c>
      <c r="J1094" s="146"/>
      <c r="K1094" s="146"/>
      <c r="L1094" s="117"/>
      <c r="M1094" s="56">
        <v>160</v>
      </c>
    </row>
    <row r="1095" spans="1:14" s="51" customFormat="1" ht="25.2" hidden="1" customHeight="1">
      <c r="A1095" s="68">
        <f t="shared" si="49"/>
        <v>0</v>
      </c>
      <c r="B1095" s="98" t="s">
        <v>402</v>
      </c>
      <c r="C1095" s="98"/>
      <c r="D1095" s="87"/>
      <c r="E1095" s="88" t="str">
        <f>VLOOKUP($B1095,[1]DG!A:D,[1]DG!$B$2,)</f>
        <v>03.3103</v>
      </c>
      <c r="F1095" s="92" t="str">
        <f>VLOOKUP($B1095,[1]DG!A:D,[1]DG!$C$2,)&amp;" : 0,48m3/m"</f>
        <v>Đào mương cáp ngầm đất cấp 3 : 0,48m3/m</v>
      </c>
      <c r="G1095" s="88" t="str">
        <f>VLOOKUP($B1095,[1]DG!A:D,[1]DG!$D$2,)</f>
        <v>m3</v>
      </c>
      <c r="H1095" s="145">
        <f>H1087*0.48</f>
        <v>0</v>
      </c>
      <c r="I1095" s="91">
        <f t="shared" si="50"/>
        <v>0</v>
      </c>
      <c r="J1095" s="146"/>
      <c r="K1095" s="146"/>
      <c r="L1095" s="117"/>
      <c r="M1095" s="56">
        <v>160</v>
      </c>
    </row>
    <row r="1096" spans="1:14" s="51" customFormat="1" ht="25.2" hidden="1" customHeight="1">
      <c r="A1096" s="68">
        <f t="shared" si="49"/>
        <v>0</v>
      </c>
      <c r="B1096" s="98" t="s">
        <v>403</v>
      </c>
      <c r="C1096" s="98"/>
      <c r="D1096" s="87"/>
      <c r="E1096" s="88" t="str">
        <f>VLOOKUP($B1096,[1]DG!A:D,[1]DG!$B$2,)</f>
        <v>03.3203</v>
      </c>
      <c r="F1096" s="92" t="str">
        <f>VLOOKUP($B1096,[1]DG!A:D,[1]DG!$C$2,)&amp;" : 0,073m3/m"</f>
        <v>Đắp đất mương cáp ngầm, đất cấp 3 : 0,073m3/m</v>
      </c>
      <c r="G1096" s="88" t="str">
        <f>VLOOKUP($B1096,[1]DG!A:D,[1]DG!$D$2,)</f>
        <v>m3</v>
      </c>
      <c r="H1096" s="145">
        <f>H1087*0.073</f>
        <v>0</v>
      </c>
      <c r="I1096" s="91">
        <f t="shared" si="50"/>
        <v>0</v>
      </c>
      <c r="J1096" s="146"/>
      <c r="K1096" s="146"/>
      <c r="L1096" s="117"/>
      <c r="M1096" s="56">
        <v>160</v>
      </c>
      <c r="N1096" s="335">
        <v>0.47499999999999998</v>
      </c>
    </row>
    <row r="1097" spans="1:14" s="51" customFormat="1" ht="25.2" hidden="1" customHeight="1">
      <c r="A1097" s="68">
        <f t="shared" si="49"/>
        <v>0</v>
      </c>
      <c r="B1097" s="69"/>
      <c r="C1097" s="69"/>
      <c r="D1097" s="220">
        <f>IF(H1097&gt;0,D1087+1,D1087)</f>
        <v>0</v>
      </c>
      <c r="E1097" s="238"/>
      <c r="F1097" s="239" t="s">
        <v>404</v>
      </c>
      <c r="G1097" s="220" t="s">
        <v>67</v>
      </c>
      <c r="H1097" s="240">
        <f>H1106</f>
        <v>0</v>
      </c>
      <c r="I1097" s="91">
        <f t="shared" si="50"/>
        <v>0</v>
      </c>
      <c r="J1097" s="146"/>
      <c r="K1097" s="146"/>
      <c r="L1097" s="117"/>
      <c r="M1097" s="56">
        <v>160</v>
      </c>
      <c r="N1097" s="335">
        <v>0.88100000000000001</v>
      </c>
    </row>
    <row r="1098" spans="1:14" s="51" customFormat="1" ht="25.2" hidden="1" customHeight="1">
      <c r="A1098" s="68">
        <f>IF(A1097&gt;0,1,0)</f>
        <v>0</v>
      </c>
      <c r="B1098" s="69"/>
      <c r="C1098" s="69"/>
      <c r="D1098" s="111"/>
      <c r="E1098" s="242"/>
      <c r="F1098" s="243" t="s">
        <v>68</v>
      </c>
      <c r="G1098" s="87"/>
      <c r="H1098" s="145"/>
      <c r="I1098" s="91">
        <f t="shared" si="50"/>
        <v>0</v>
      </c>
      <c r="J1098" s="146"/>
      <c r="K1098" s="146"/>
      <c r="L1098" s="117"/>
      <c r="M1098" s="56">
        <v>160</v>
      </c>
    </row>
    <row r="1099" spans="1:14" s="51" customFormat="1" ht="25.2" hidden="1" customHeight="1">
      <c r="A1099" s="68">
        <f t="shared" si="49"/>
        <v>0</v>
      </c>
      <c r="B1099" s="69" t="s">
        <v>405</v>
      </c>
      <c r="C1099" s="69"/>
      <c r="D1099" s="87"/>
      <c r="E1099" s="88" t="str">
        <f>VLOOKUP($B1099,[1]DG!A:D,[1]DG!$B$2,)</f>
        <v>07.2204</v>
      </c>
      <c r="F1099" s="89" t="str">
        <f>VLOOKUP($B1099,[1]DG!A:D,[1]DG!$C$2,)</f>
        <v>ÔÁng sắt tráng kẽm D140</v>
      </c>
      <c r="G1099" s="88" t="str">
        <f>VLOOKUP($B1099,[1]DG!A:D,[1]DG!$D$2,)</f>
        <v>mét</v>
      </c>
      <c r="H1099" s="145">
        <f>H1097*5*0</f>
        <v>0</v>
      </c>
      <c r="I1099" s="91">
        <f t="shared" si="50"/>
        <v>0</v>
      </c>
      <c r="J1099" s="146"/>
      <c r="K1099" s="146"/>
      <c r="L1099" s="117"/>
      <c r="M1099" s="56">
        <v>160</v>
      </c>
    </row>
    <row r="1100" spans="1:14" s="51" customFormat="1" ht="25.2" hidden="1" customHeight="1">
      <c r="A1100" s="68">
        <f t="shared" si="49"/>
        <v>0</v>
      </c>
      <c r="B1100" s="98" t="s">
        <v>406</v>
      </c>
      <c r="C1100" s="98"/>
      <c r="D1100" s="111"/>
      <c r="E1100" s="88">
        <f>VLOOKUP($B1100,[1]DG!A:D,[1]DG!$B$2,)</f>
        <v>0</v>
      </c>
      <c r="F1100" s="89" t="str">
        <f>VLOOKUP($B1100,[1]DG!A:D,[1]DG!$C$2,)</f>
        <v>Co sừng 90 độ PVC 140</v>
      </c>
      <c r="G1100" s="88" t="str">
        <f>VLOOKUP($B1100,[1]DG!A:D,[1]DG!$D$2,)</f>
        <v>cái</v>
      </c>
      <c r="H1100" s="145">
        <f>H1097*0</f>
        <v>0</v>
      </c>
      <c r="I1100" s="91">
        <f t="shared" si="50"/>
        <v>0</v>
      </c>
      <c r="J1100" s="146"/>
      <c r="K1100" s="146"/>
      <c r="L1100" s="117"/>
      <c r="M1100" s="56">
        <v>160</v>
      </c>
    </row>
    <row r="1101" spans="1:14" s="51" customFormat="1" ht="25.2" hidden="1" customHeight="1">
      <c r="A1101" s="68">
        <f t="shared" si="49"/>
        <v>0</v>
      </c>
      <c r="B1101" s="69" t="s">
        <v>407</v>
      </c>
      <c r="C1101" s="69"/>
      <c r="D1101" s="87"/>
      <c r="E1101" s="88" t="str">
        <f>VLOOKUP($B1101,[1]DG!A:D,[1]DG!$B$2,)</f>
        <v>06.3231</v>
      </c>
      <c r="F1101" s="89" t="str">
        <f>VLOOKUP($B1101,[1]DG!A:D,[1]DG!$C$2,)</f>
        <v>Cổ dê giữ ống STK D140 vào tường+Boulon+long đền+tắc ke sắt</v>
      </c>
      <c r="G1101" s="88" t="str">
        <f>VLOOKUP($B1101,[1]DG!A:D,[1]DG!$D$2,)</f>
        <v>bộ</v>
      </c>
      <c r="H1101" s="145">
        <f>H1097*2*0</f>
        <v>0</v>
      </c>
      <c r="I1101" s="91">
        <f t="shared" si="50"/>
        <v>0</v>
      </c>
      <c r="J1101" s="146"/>
      <c r="K1101" s="146"/>
      <c r="L1101" s="117"/>
      <c r="M1101" s="56">
        <v>160</v>
      </c>
    </row>
    <row r="1102" spans="1:14" s="51" customFormat="1" ht="25.2" hidden="1" customHeight="1">
      <c r="A1102" s="68">
        <f t="shared" si="49"/>
        <v>0</v>
      </c>
      <c r="B1102" s="86" t="s">
        <v>408</v>
      </c>
      <c r="C1102" s="86"/>
      <c r="D1102" s="87"/>
      <c r="E1102" s="88">
        <f>VLOOKUP($B1102,[1]DG!A:D,[1]DG!$B$2,)</f>
        <v>0</v>
      </c>
      <c r="F1102" s="89" t="str">
        <f>VLOOKUP($B1102,[1]DG!A:D,[1]DG!$C$2,)</f>
        <v>Giá đỡ cáp ngầm (V63x6)</v>
      </c>
      <c r="G1102" s="88" t="str">
        <f>VLOOKUP($B1102,[1]DG!A:D,[1]DG!$D$2,)</f>
        <v>bộ</v>
      </c>
      <c r="H1102" s="145">
        <f>H1097*0</f>
        <v>0</v>
      </c>
      <c r="I1102" s="91">
        <f t="shared" si="50"/>
        <v>0</v>
      </c>
      <c r="J1102" s="146"/>
      <c r="K1102" s="146"/>
      <c r="L1102" s="117"/>
      <c r="M1102" s="56">
        <v>160</v>
      </c>
    </row>
    <row r="1103" spans="1:14" s="51" customFormat="1" ht="25.2" hidden="1" customHeight="1">
      <c r="A1103" s="68">
        <f t="shared" si="49"/>
        <v>0</v>
      </c>
      <c r="B1103" s="86" t="s">
        <v>409</v>
      </c>
      <c r="C1103" s="86"/>
      <c r="D1103" s="87"/>
      <c r="E1103" s="88">
        <f>VLOOKUP($B1103,[1]DG!A:D,[1]DG!$B$2,)</f>
        <v>0</v>
      </c>
      <c r="F1103" s="89" t="str">
        <f>VLOOKUP($B1103,[1]DG!A:D,[1]DG!$C$2,)</f>
        <v>Giá đỡ cáp trung hạ thế</v>
      </c>
      <c r="G1103" s="88" t="str">
        <f>VLOOKUP($B1103,[1]DG!A:D,[1]DG!$D$2,)</f>
        <v>bộ</v>
      </c>
      <c r="H1103" s="145">
        <f>H1097</f>
        <v>0</v>
      </c>
      <c r="I1103" s="91">
        <f t="shared" si="50"/>
        <v>0</v>
      </c>
      <c r="J1103" s="146"/>
      <c r="K1103" s="146"/>
      <c r="L1103" s="117"/>
      <c r="M1103" s="56">
        <v>160</v>
      </c>
    </row>
    <row r="1104" spans="1:14" s="51" customFormat="1" ht="25.2" hidden="1" customHeight="1">
      <c r="A1104" s="68">
        <f t="shared" si="49"/>
        <v>0</v>
      </c>
      <c r="B1104" s="69" t="s">
        <v>410</v>
      </c>
      <c r="C1104" s="69"/>
      <c r="D1104" s="111"/>
      <c r="E1104" s="88" t="str">
        <f>VLOOKUP($B1104,[1]DG!A:D,[1]DG!$B$2,)</f>
        <v>05.6101</v>
      </c>
      <c r="F1104" s="89" t="str">
        <f>VLOOKUP($B1104,[1]DG!A:D,[1]DG!$C$2,)</f>
        <v>Lắp Giá đỡ cáp</v>
      </c>
      <c r="G1104" s="88" t="str">
        <f>VLOOKUP($B1104,[1]DG!A:D,[1]DG!$D$2,)</f>
        <v>bộ</v>
      </c>
      <c r="H1104" s="145">
        <f>H1102+H1103</f>
        <v>0</v>
      </c>
      <c r="I1104" s="91">
        <f t="shared" si="50"/>
        <v>0</v>
      </c>
      <c r="J1104" s="146"/>
      <c r="K1104" s="146"/>
      <c r="L1104" s="117"/>
      <c r="M1104" s="56">
        <v>160</v>
      </c>
    </row>
    <row r="1105" spans="1:13" s="51" customFormat="1" ht="25.2" hidden="1" customHeight="1">
      <c r="A1105" s="68">
        <f t="shared" si="49"/>
        <v>0</v>
      </c>
      <c r="B1105" s="69" t="s">
        <v>117</v>
      </c>
      <c r="C1105" s="69"/>
      <c r="D1105" s="87"/>
      <c r="E1105" s="88" t="str">
        <f>VLOOKUP($B1105,[1]DG!A:D,[1]DG!$B$2,)</f>
        <v>06.3191</v>
      </c>
      <c r="F1105" s="89" t="str">
        <f>VLOOKUP($B1105,[1]DG!A:D,[1]DG!$C$2,)</f>
        <v>Bảng tên trạm, bảng báo nguy hiểm + đinh vít</v>
      </c>
      <c r="G1105" s="88" t="str">
        <f>VLOOKUP($B1105,[1]DG!A:D,[1]DG!$D$2,)</f>
        <v>bộ</v>
      </c>
      <c r="H1105" s="145">
        <f>H1097*0</f>
        <v>0</v>
      </c>
      <c r="I1105" s="91">
        <f t="shared" si="50"/>
        <v>0</v>
      </c>
      <c r="J1105" s="146"/>
      <c r="K1105" s="146"/>
      <c r="L1105" s="117"/>
      <c r="M1105" s="56">
        <v>160</v>
      </c>
    </row>
    <row r="1106" spans="1:13" s="51" customFormat="1" ht="25.2" hidden="1" customHeight="1">
      <c r="A1106" s="68">
        <f t="shared" si="49"/>
        <v>0</v>
      </c>
      <c r="B1106" s="69"/>
      <c r="C1106" s="69"/>
      <c r="D1106" s="220">
        <f>IF(H1106&gt;0,D1097+1,D1097)</f>
        <v>0</v>
      </c>
      <c r="E1106" s="238"/>
      <c r="F1106" s="247" t="s">
        <v>411</v>
      </c>
      <c r="G1106" s="220" t="s">
        <v>67</v>
      </c>
      <c r="H1106" s="240">
        <v>0</v>
      </c>
      <c r="I1106" s="91">
        <f t="shared" si="50"/>
        <v>0</v>
      </c>
      <c r="J1106" s="146"/>
      <c r="K1106" s="146"/>
      <c r="L1106" s="117"/>
      <c r="M1106" s="56">
        <v>160</v>
      </c>
    </row>
    <row r="1107" spans="1:13" s="51" customFormat="1" ht="25.2" hidden="1" customHeight="1">
      <c r="A1107" s="68">
        <f>IF(A1106&gt;0,1,0)</f>
        <v>0</v>
      </c>
      <c r="B1107" s="69"/>
      <c r="C1107" s="69"/>
      <c r="D1107" s="111"/>
      <c r="E1107" s="242"/>
      <c r="F1107" s="248" t="s">
        <v>68</v>
      </c>
      <c r="G1107" s="111"/>
      <c r="H1107" s="244"/>
      <c r="I1107" s="91">
        <f t="shared" si="50"/>
        <v>0</v>
      </c>
      <c r="J1107" s="146"/>
      <c r="K1107" s="146"/>
      <c r="L1107" s="117"/>
      <c r="M1107" s="56">
        <v>160</v>
      </c>
    </row>
    <row r="1108" spans="1:13" s="51" customFormat="1" ht="25.2" hidden="1" customHeight="1">
      <c r="A1108" s="68">
        <f t="shared" si="49"/>
        <v>0</v>
      </c>
      <c r="B1108" s="86" t="s">
        <v>412</v>
      </c>
      <c r="C1108" s="86"/>
      <c r="D1108" s="87"/>
      <c r="E1108" s="88">
        <f>VLOOKUP($B1108,[1]DG!A:D,[1]DG!$B$2,)</f>
        <v>0</v>
      </c>
      <c r="F1108" s="89" t="str">
        <f>VLOOKUP($B1108,[1]DG!A:D,[1]DG!$C$2,)&amp;": trong möông vaø leân MBA"</f>
        <v>Cáp 24kV C/XLPE/DSTA/PVC3x50: trong möông vaø leân MBA</v>
      </c>
      <c r="G1108" s="88" t="str">
        <f>VLOOKUP($B1108,[1]DG!A:D,[1]DG!$D$2,)</f>
        <v>mét</v>
      </c>
      <c r="H1108" s="145">
        <f>H1087+H1106*8</f>
        <v>0</v>
      </c>
      <c r="I1108" s="91">
        <f t="shared" si="50"/>
        <v>0</v>
      </c>
      <c r="J1108" s="146"/>
      <c r="K1108" s="146"/>
      <c r="L1108" s="117"/>
      <c r="M1108" s="56">
        <v>160</v>
      </c>
    </row>
    <row r="1109" spans="1:13" s="51" customFormat="1" ht="25.2" hidden="1" customHeight="1">
      <c r="A1109" s="68">
        <f t="shared" si="49"/>
        <v>0</v>
      </c>
      <c r="B1109" s="86" t="s">
        <v>413</v>
      </c>
      <c r="C1109" s="86"/>
      <c r="D1109" s="87"/>
      <c r="E1109" s="88">
        <f>VLOOKUP($B1109,[1]DG!A:D,[1]DG!$B$2,)</f>
        <v>0</v>
      </c>
      <c r="F1109" s="89" t="str">
        <f>VLOOKUP($B1109,[1]DG!A:D,[1]DG!$C$2,)&amp;": trung tính"</f>
        <v>Cáp 24KV C/XLPE/PVC 50mm2: trung tính</v>
      </c>
      <c r="G1109" s="88" t="str">
        <f>VLOOKUP($B1109,[1]DG!A:D,[1]DG!$D$2,)</f>
        <v>mét</v>
      </c>
      <c r="H1109" s="145">
        <f>H1108</f>
        <v>0</v>
      </c>
      <c r="I1109" s="91">
        <f t="shared" si="50"/>
        <v>0</v>
      </c>
      <c r="J1109" s="146"/>
      <c r="K1109" s="146"/>
      <c r="L1109" s="117"/>
      <c r="M1109" s="56">
        <v>160</v>
      </c>
    </row>
    <row r="1110" spans="1:13" s="51" customFormat="1" ht="25.2" hidden="1" customHeight="1">
      <c r="A1110" s="68">
        <f t="shared" ref="A1110:A1180" si="51">IF(I1110&gt;0,1,0)</f>
        <v>0</v>
      </c>
      <c r="B1110" s="86" t="s">
        <v>413</v>
      </c>
      <c r="C1110" s="86"/>
      <c r="D1110" s="87"/>
      <c r="E1110" s="88">
        <f>VLOOKUP($B1110,[1]DG!A:D,[1]DG!$B$2,)</f>
        <v>0</v>
      </c>
      <c r="F1110" s="89" t="str">
        <f>VLOOKUP($B1110,[1]DG!A:D,[1]DG!$C$2,)&amp;": 0,5m/pha töø FCO xuoáng MBA"</f>
        <v>Cáp 24KV C/XLPE/PVC 50mm2: 0,5m/pha töø FCO xuoáng MBA</v>
      </c>
      <c r="G1110" s="88" t="str">
        <f>VLOOKUP($B1110,[1]DG!A:D,[1]DG!$D$2,)</f>
        <v>mét</v>
      </c>
      <c r="H1110" s="145">
        <f>H1106*0.5*3*0</f>
        <v>0</v>
      </c>
      <c r="I1110" s="91">
        <f t="shared" si="50"/>
        <v>0</v>
      </c>
      <c r="J1110" s="146"/>
      <c r="K1110" s="146"/>
      <c r="L1110" s="117"/>
      <c r="M1110" s="56">
        <v>160</v>
      </c>
    </row>
    <row r="1111" spans="1:13" s="51" customFormat="1" ht="25.2" hidden="1" customHeight="1">
      <c r="A1111" s="68">
        <f t="shared" si="51"/>
        <v>0</v>
      </c>
      <c r="B1111" s="86" t="s">
        <v>414</v>
      </c>
      <c r="C1111" s="86"/>
      <c r="D1111" s="87"/>
      <c r="E1111" s="88">
        <f>VLOOKUP($B1111,[1]DG!A:D,[1]DG!$B$2,)</f>
        <v>0</v>
      </c>
      <c r="F1111" s="89" t="str">
        <f>VLOOKUP($B1111,[1]DG!A:D,[1]DG!$C$2,)</f>
        <v>Đầu cáp ngầm 24KV 3x50mm2 outdoor</v>
      </c>
      <c r="G1111" s="88" t="str">
        <f>VLOOKUP($B1111,[1]DG!A:D,[1]DG!$D$2,)</f>
        <v>cái</v>
      </c>
      <c r="H1111" s="145">
        <f>H1106</f>
        <v>0</v>
      </c>
      <c r="I1111" s="91">
        <f t="shared" si="50"/>
        <v>0</v>
      </c>
      <c r="J1111" s="146"/>
      <c r="K1111" s="146"/>
      <c r="L1111" s="117"/>
      <c r="M1111" s="56">
        <v>160</v>
      </c>
    </row>
    <row r="1112" spans="1:13" s="51" customFormat="1" ht="25.2" hidden="1" customHeight="1">
      <c r="A1112" s="68">
        <f t="shared" si="51"/>
        <v>0</v>
      </c>
      <c r="B1112" s="86" t="s">
        <v>412</v>
      </c>
      <c r="C1112" s="86"/>
      <c r="D1112" s="87"/>
      <c r="E1112" s="88">
        <f>VLOOKUP($B1112,[1]DG!A:D,[1]DG!$B$2,)</f>
        <v>0</v>
      </c>
      <c r="F1112" s="89" t="str">
        <f>VLOOKUP($B1112,[1]DG!A:D,[1]DG!$C$2,)&amp;": töø tuû LBS ñeán MBA"</f>
        <v>Cáp 24kV C/XLPE/DSTA/PVC3x50: töø tuû LBS ñeán MBA</v>
      </c>
      <c r="G1112" s="88" t="str">
        <f>VLOOKUP($B1112,[1]DG!A:D,[1]DG!$D$2,)</f>
        <v>mét</v>
      </c>
      <c r="H1112" s="145">
        <f>(1.2+2.4)*H1106*0</f>
        <v>0</v>
      </c>
      <c r="I1112" s="91">
        <f t="shared" si="50"/>
        <v>0</v>
      </c>
      <c r="J1112" s="146"/>
      <c r="K1112" s="146"/>
      <c r="L1112" s="117"/>
      <c r="M1112" s="56">
        <v>160</v>
      </c>
    </row>
    <row r="1113" spans="1:13" s="51" customFormat="1" ht="25.2" hidden="1" customHeight="1">
      <c r="A1113" s="68">
        <f t="shared" si="51"/>
        <v>0</v>
      </c>
      <c r="B1113" s="86" t="s">
        <v>413</v>
      </c>
      <c r="C1113" s="86"/>
      <c r="D1113" s="87"/>
      <c r="E1113" s="88">
        <f>VLOOKUP($B1113,[1]DG!A:D,[1]DG!$B$2,)</f>
        <v>0</v>
      </c>
      <c r="F1113" s="89" t="str">
        <f>VLOOKUP($B1113,[1]DG!A:D,[1]DG!$C$2,)&amp;": töø tuû LBS ñeán MBA"</f>
        <v>Cáp 24KV C/XLPE/PVC 50mm2: töø tuû LBS ñeán MBA</v>
      </c>
      <c r="G1113" s="88" t="str">
        <f>VLOOKUP($B1113,[1]DG!A:D,[1]DG!$D$2,)</f>
        <v>mét</v>
      </c>
      <c r="H1113" s="145">
        <f>H1106*1.2*0</f>
        <v>0</v>
      </c>
      <c r="I1113" s="91">
        <f t="shared" si="50"/>
        <v>0</v>
      </c>
      <c r="J1113" s="146"/>
      <c r="K1113" s="146"/>
      <c r="L1113" s="117"/>
      <c r="M1113" s="56">
        <v>160</v>
      </c>
    </row>
    <row r="1114" spans="1:13" s="51" customFormat="1" ht="25.2" hidden="1" customHeight="1">
      <c r="A1114" s="68">
        <f t="shared" si="51"/>
        <v>0</v>
      </c>
      <c r="B1114" s="86" t="s">
        <v>415</v>
      </c>
      <c r="C1114" s="86"/>
      <c r="D1114" s="87"/>
      <c r="E1114" s="88">
        <f>VLOOKUP($B1114,[1]DG!A:D,[1]DG!$B$2,)</f>
        <v>0</v>
      </c>
      <c r="F1114" s="89" t="str">
        <f>VLOOKUP($B1114,[1]DG!A:D,[1]DG!$C$2,)</f>
        <v>Đầu cáp ngầm 24KV 3x50mm2 indoor</v>
      </c>
      <c r="G1114" s="88" t="str">
        <f>VLOOKUP($B1114,[1]DG!A:D,[1]DG!$D$2,)</f>
        <v>cái</v>
      </c>
      <c r="H1114" s="145">
        <f>H1106</f>
        <v>0</v>
      </c>
      <c r="I1114" s="91">
        <f t="shared" si="50"/>
        <v>0</v>
      </c>
      <c r="J1114" s="146"/>
      <c r="K1114" s="146"/>
      <c r="L1114" s="117"/>
      <c r="M1114" s="56">
        <v>160</v>
      </c>
    </row>
    <row r="1115" spans="1:13" s="51" customFormat="1" ht="25.2" hidden="1" customHeight="1">
      <c r="A1115" s="68">
        <f t="shared" si="51"/>
        <v>0</v>
      </c>
      <c r="B1115" s="86" t="s">
        <v>416</v>
      </c>
      <c r="C1115" s="86"/>
      <c r="D1115" s="87"/>
      <c r="E1115" s="88" t="str">
        <f>VLOOKUP($B1115,[1]DG!A:D,[1]DG!$B$2,)</f>
        <v>07.4312</v>
      </c>
      <c r="F1115" s="89" t="str">
        <f>VLOOKUP($B1115,[1]DG!A:D,[1]DG!$C$2,)</f>
        <v>Lắp đầu cáp trung thế 3x50mm2, 70mm2</v>
      </c>
      <c r="G1115" s="88" t="str">
        <f>VLOOKUP($B1115,[1]DG!A:D,[1]DG!$D$2,)</f>
        <v>cái</v>
      </c>
      <c r="H1115" s="145">
        <f>H1111+H1114</f>
        <v>0</v>
      </c>
      <c r="I1115" s="91">
        <f t="shared" si="50"/>
        <v>0</v>
      </c>
      <c r="J1115" s="146"/>
      <c r="K1115" s="146"/>
      <c r="L1115" s="117"/>
      <c r="M1115" s="56">
        <v>160</v>
      </c>
    </row>
    <row r="1116" spans="1:13" s="51" customFormat="1" ht="25.2" hidden="1" customHeight="1">
      <c r="A1116" s="68">
        <f t="shared" si="51"/>
        <v>0</v>
      </c>
      <c r="B1116" s="86" t="s">
        <v>417</v>
      </c>
      <c r="C1116" s="86"/>
      <c r="D1116" s="87"/>
      <c r="E1116" s="88" t="str">
        <f>VLOOKUP($B1116,[1]DG!A:D,[1]DG!$B$2,)</f>
        <v>03.1405</v>
      </c>
      <c r="F1116" s="89" t="str">
        <f>VLOOKUP($B1116,[1]DG!A:D,[1]DG!$C$2,)</f>
        <v>Lắp cáp trong ống bảo vệ trong TBA loại &lt;=6kg</v>
      </c>
      <c r="G1116" s="88" t="str">
        <f>VLOOKUP($B1116,[1]DG!A:D,[1]DG!$D$2,)</f>
        <v>mét</v>
      </c>
      <c r="H1116" s="145">
        <f>H1108+H1112</f>
        <v>0</v>
      </c>
      <c r="I1116" s="91">
        <f t="shared" si="50"/>
        <v>0</v>
      </c>
      <c r="J1116" s="146"/>
      <c r="K1116" s="146"/>
      <c r="L1116" s="117"/>
      <c r="M1116" s="56">
        <v>160</v>
      </c>
    </row>
    <row r="1117" spans="1:13" s="51" customFormat="1" ht="25.2" hidden="1" customHeight="1">
      <c r="A1117" s="68">
        <f t="shared" si="51"/>
        <v>0</v>
      </c>
      <c r="B1117" s="86" t="s">
        <v>418</v>
      </c>
      <c r="C1117" s="86"/>
      <c r="D1117" s="87"/>
      <c r="E1117" s="88" t="str">
        <f>VLOOKUP($B1117,[1]DG!A:D,[1]DG!$B$2,)</f>
        <v>03.1402</v>
      </c>
      <c r="F1117" s="89" t="str">
        <f>VLOOKUP($B1117,[1]DG!A:D,[1]DG!$C$2,)</f>
        <v>Lắp cáp trong ống bảo vệ trong TBA loại &lt;=2kg</v>
      </c>
      <c r="G1117" s="88" t="str">
        <f>VLOOKUP($B1117,[1]DG!A:D,[1]DG!$D$2,)</f>
        <v>mét</v>
      </c>
      <c r="H1117" s="145">
        <f>H1109+H1113</f>
        <v>0</v>
      </c>
      <c r="I1117" s="91">
        <f t="shared" si="50"/>
        <v>0</v>
      </c>
      <c r="J1117" s="146"/>
      <c r="K1117" s="146"/>
      <c r="L1117" s="117"/>
      <c r="M1117" s="56">
        <v>160</v>
      </c>
    </row>
    <row r="1118" spans="1:13" s="51" customFormat="1" ht="25.2" hidden="1" customHeight="1">
      <c r="A1118" s="68">
        <f t="shared" si="51"/>
        <v>0</v>
      </c>
      <c r="B1118" s="86" t="s">
        <v>101</v>
      </c>
      <c r="C1118" s="86"/>
      <c r="D1118" s="87"/>
      <c r="E1118" s="88" t="str">
        <f>VLOOKUP($B1118,[1]DG!A:D,[1]DG!$B$2,)</f>
        <v>04.4201</v>
      </c>
      <c r="F1118" s="89" t="str">
        <f>VLOOKUP($B1118,[1]DG!A:D,[1]DG!$C$2,)</f>
        <v>Lắp cáp đồng xuống thiết bị D ≤ 95mm2</v>
      </c>
      <c r="G1118" s="88" t="str">
        <f>VLOOKUP($B1118,[1]DG!A:D,[1]DG!$D$2,)</f>
        <v>m</v>
      </c>
      <c r="H1118" s="145">
        <f>H1110</f>
        <v>0</v>
      </c>
      <c r="I1118" s="91">
        <f t="shared" si="50"/>
        <v>0</v>
      </c>
      <c r="J1118" s="146"/>
      <c r="K1118" s="146"/>
      <c r="L1118" s="117"/>
      <c r="M1118" s="56">
        <v>160</v>
      </c>
    </row>
    <row r="1119" spans="1:13" s="51" customFormat="1" ht="25.2" hidden="1" customHeight="1">
      <c r="A1119" s="68">
        <f t="shared" si="51"/>
        <v>0</v>
      </c>
      <c r="B1119" s="86" t="s">
        <v>419</v>
      </c>
      <c r="C1119" s="86"/>
      <c r="D1119" s="87"/>
      <c r="E1119" s="88">
        <f>VLOOKUP($B1119,[1]DG!A:D,[1]DG!$B$2,)</f>
        <v>0</v>
      </c>
      <c r="F1119" s="89" t="str">
        <f>VLOOKUP($B1119,[1]DG!A:D,[1]DG!$C$2,)</f>
        <v>Dây rút cáp</v>
      </c>
      <c r="G1119" s="88" t="str">
        <f>VLOOKUP($B1119,[1]DG!A:D,[1]DG!$D$2,)</f>
        <v>bọc</v>
      </c>
      <c r="H1119" s="145">
        <f>H1106*2</f>
        <v>0</v>
      </c>
      <c r="I1119" s="91">
        <f t="shared" si="50"/>
        <v>0</v>
      </c>
      <c r="J1119" s="146"/>
      <c r="K1119" s="146"/>
      <c r="L1119" s="117"/>
      <c r="M1119" s="56">
        <v>160</v>
      </c>
    </row>
    <row r="1120" spans="1:13" s="51" customFormat="1" ht="25.2" hidden="1" customHeight="1">
      <c r="A1120" s="68">
        <f t="shared" si="51"/>
        <v>0</v>
      </c>
      <c r="B1120" s="69"/>
      <c r="C1120" s="69"/>
      <c r="D1120" s="220">
        <f>IF(H1120&gt;0,D1106+1,D1106)</f>
        <v>0</v>
      </c>
      <c r="E1120" s="238"/>
      <c r="F1120" s="247" t="s">
        <v>420</v>
      </c>
      <c r="G1120" s="220" t="s">
        <v>67</v>
      </c>
      <c r="H1120" s="240">
        <f>H948</f>
        <v>0</v>
      </c>
      <c r="I1120" s="91">
        <f t="shared" si="50"/>
        <v>0</v>
      </c>
      <c r="J1120" s="146"/>
      <c r="K1120" s="146"/>
      <c r="L1120" s="96"/>
      <c r="M1120" s="56">
        <v>160</v>
      </c>
    </row>
    <row r="1121" spans="1:13" s="51" customFormat="1" ht="25.2" hidden="1" customHeight="1">
      <c r="A1121" s="68">
        <f>IF(A1120&gt;0,1,0)</f>
        <v>0</v>
      </c>
      <c r="B1121" s="69"/>
      <c r="C1121" s="69"/>
      <c r="D1121" s="111"/>
      <c r="E1121" s="242"/>
      <c r="F1121" s="248" t="s">
        <v>68</v>
      </c>
      <c r="G1121" s="111"/>
      <c r="H1121" s="244"/>
      <c r="I1121" s="91">
        <f t="shared" si="50"/>
        <v>0</v>
      </c>
      <c r="J1121" s="146"/>
      <c r="K1121" s="146"/>
      <c r="L1121" s="96"/>
      <c r="M1121" s="56">
        <v>160</v>
      </c>
    </row>
    <row r="1122" spans="1:13" s="51" customFormat="1" ht="25.2" hidden="1" customHeight="1">
      <c r="A1122" s="68">
        <f t="shared" si="51"/>
        <v>0</v>
      </c>
      <c r="B1122" s="86" t="s">
        <v>98</v>
      </c>
      <c r="C1122" s="86"/>
      <c r="D1122" s="87"/>
      <c r="E1122" s="88">
        <f>VLOOKUP($B1122,[1]DG!A:D,[1]DG!$B$2,)</f>
        <v>0</v>
      </c>
      <c r="F1122" s="89" t="str">
        <f>VLOOKUP($B1122,[1]DG!A:D,[1]DG!$C$2,)&amp;": 9m/1pha"</f>
        <v>Cáp 24KV CX-25mm2: 9m/1pha</v>
      </c>
      <c r="G1122" s="88" t="str">
        <f>VLOOKUP($B1122,[1]DG!A:D,[1]DG!$D$2,)</f>
        <v>mét</v>
      </c>
      <c r="H1122" s="145">
        <f>H1120*(8)*3</f>
        <v>0</v>
      </c>
      <c r="I1122" s="91">
        <f t="shared" si="50"/>
        <v>0</v>
      </c>
      <c r="J1122" s="146"/>
      <c r="K1122" s="146"/>
      <c r="L1122" s="96"/>
      <c r="M1122" s="56">
        <v>160</v>
      </c>
    </row>
    <row r="1123" spans="1:13" s="51" customFormat="1" ht="25.2" hidden="1" customHeight="1">
      <c r="A1123" s="68">
        <f t="shared" si="51"/>
        <v>0</v>
      </c>
      <c r="B1123" s="86" t="s">
        <v>98</v>
      </c>
      <c r="C1123" s="86"/>
      <c r="D1123" s="87"/>
      <c r="E1123" s="88">
        <f>VLOOKUP($B1123,[1]DG!A:D,[1]DG!$B$2,)</f>
        <v>0</v>
      </c>
      <c r="F1123" s="89" t="str">
        <f>VLOOKUP($B1123,[1]DG!A:D,[1]DG!$C$2,)&amp;": 1m/1pha ñaáu noái  LA"</f>
        <v>Cáp 24KV CX-25mm2: 1m/1pha ñaáu noái  LA</v>
      </c>
      <c r="G1123" s="88" t="str">
        <f>VLOOKUP($B1123,[1]DG!A:D,[1]DG!$D$2,)</f>
        <v>mét</v>
      </c>
      <c r="H1123" s="145">
        <f>H1120*3*1*0</f>
        <v>0</v>
      </c>
      <c r="I1123" s="91">
        <f t="shared" si="50"/>
        <v>0</v>
      </c>
      <c r="J1123" s="146"/>
      <c r="K1123" s="146"/>
      <c r="L1123" s="96"/>
      <c r="M1123" s="56">
        <v>160</v>
      </c>
    </row>
    <row r="1124" spans="1:13" s="51" customFormat="1" ht="25.2" hidden="1" customHeight="1">
      <c r="A1124" s="68">
        <f t="shared" si="51"/>
        <v>0</v>
      </c>
      <c r="B1124" s="86" t="s">
        <v>185</v>
      </c>
      <c r="C1124" s="86"/>
      <c r="D1124" s="87"/>
      <c r="E1124" s="88">
        <f>VLOOKUP($B1124,[1]DG!A:D,[1]DG!$B$2,)</f>
        <v>0</v>
      </c>
      <c r="F1124" s="89" t="str">
        <f>VLOOKUP($B1124,[1]DG!A:D,[1]DG!$C$2,)</f>
        <v>Kẹp ép cỡ dây 25mm2</v>
      </c>
      <c r="G1124" s="88" t="str">
        <f>VLOOKUP($B1124,[1]DG!A:D,[1]DG!$D$2,)</f>
        <v>cái</v>
      </c>
      <c r="H1124" s="145">
        <f>$H$1120*3*2*0</f>
        <v>0</v>
      </c>
      <c r="I1124" s="91">
        <f t="shared" si="50"/>
        <v>0</v>
      </c>
      <c r="J1124" s="146"/>
      <c r="K1124" s="146"/>
      <c r="L1124" s="117"/>
      <c r="M1124" s="56">
        <v>160</v>
      </c>
    </row>
    <row r="1125" spans="1:13" s="51" customFormat="1" ht="25.2" hidden="1" customHeight="1">
      <c r="A1125" s="68">
        <f t="shared" si="51"/>
        <v>0</v>
      </c>
      <c r="B1125" s="86" t="s">
        <v>421</v>
      </c>
      <c r="C1125" s="86"/>
      <c r="D1125" s="87"/>
      <c r="E1125" s="88">
        <f>VLOOKUP($B1125,[1]DG!A:D,[1]DG!$B$2,)</f>
        <v>0</v>
      </c>
      <c r="F1125" s="89" t="str">
        <f>VLOOKUP($B1125,[1]DG!A:D,[1]DG!$C$2,)&amp;" + LA"</f>
        <v>Bass LI bắt FCO + LA</v>
      </c>
      <c r="G1125" s="88" t="str">
        <f>VLOOKUP($B1125,[1]DG!A:D,[1]DG!$D$2,)</f>
        <v>Bộ</v>
      </c>
      <c r="H1125" s="145">
        <f>$H$1120*3*2*0</f>
        <v>0</v>
      </c>
      <c r="I1125" s="91">
        <f t="shared" si="50"/>
        <v>0</v>
      </c>
      <c r="J1125" s="146"/>
      <c r="K1125" s="146"/>
      <c r="L1125" s="117"/>
      <c r="M1125" s="56">
        <v>160</v>
      </c>
    </row>
    <row r="1126" spans="1:13" s="51" customFormat="1" ht="25.2" hidden="1" customHeight="1">
      <c r="A1126" s="68">
        <f t="shared" si="51"/>
        <v>0</v>
      </c>
      <c r="B1126" s="86" t="s">
        <v>99</v>
      </c>
      <c r="C1126" s="86"/>
      <c r="D1126" s="87"/>
      <c r="E1126" s="88" t="str">
        <f>VLOOKUP($B1126,[1]DG!A:D,[1]DG!$B$2,)</f>
        <v>04.3007</v>
      </c>
      <c r="F1126" s="89" t="str">
        <f>VLOOKUP($B1126,[1]DG!A:D,[1]DG!$C$2,)</f>
        <v>Kẹp quai 2/0</v>
      </c>
      <c r="G1126" s="88" t="str">
        <f>VLOOKUP($B1126,[1]DG!A:D,[1]DG!$D$2,)</f>
        <v>cái</v>
      </c>
      <c r="H1126" s="145">
        <f>$H$1120*3</f>
        <v>0</v>
      </c>
      <c r="I1126" s="91">
        <f t="shared" si="50"/>
        <v>0</v>
      </c>
      <c r="J1126" s="146"/>
      <c r="K1126" s="146"/>
      <c r="L1126" s="96"/>
      <c r="M1126" s="56">
        <v>160</v>
      </c>
    </row>
    <row r="1127" spans="1:13" s="51" customFormat="1" ht="25.2" hidden="1" customHeight="1">
      <c r="A1127" s="68">
        <f t="shared" si="51"/>
        <v>0</v>
      </c>
      <c r="B1127" s="86" t="s">
        <v>100</v>
      </c>
      <c r="C1127" s="86"/>
      <c r="D1127" s="87"/>
      <c r="E1127" s="88" t="str">
        <f>VLOOKUP($B1127,[1]DG!A:D,[1]DG!$B$2,)</f>
        <v>04.3007</v>
      </c>
      <c r="F1127" s="89" t="str">
        <f>VLOOKUP($B1127,[1]DG!A:D,[1]DG!$C$2,)&amp;": "</f>
        <v xml:space="preserve">Kẹp hotline 2/0: </v>
      </c>
      <c r="G1127" s="88" t="str">
        <f>VLOOKUP($B1127,[1]DG!A:D,[1]DG!$D$2,)</f>
        <v>cái</v>
      </c>
      <c r="H1127" s="145">
        <f>H1126</f>
        <v>0</v>
      </c>
      <c r="I1127" s="91">
        <f t="shared" si="50"/>
        <v>0</v>
      </c>
      <c r="J1127" s="146"/>
      <c r="K1127" s="146"/>
      <c r="L1127" s="96"/>
      <c r="M1127" s="56">
        <v>160</v>
      </c>
    </row>
    <row r="1128" spans="1:13" s="51" customFormat="1" ht="25.2" hidden="1" customHeight="1">
      <c r="A1128" s="68">
        <f t="shared" si="51"/>
        <v>0</v>
      </c>
      <c r="B1128" s="69" t="s">
        <v>306</v>
      </c>
      <c r="C1128" s="69"/>
      <c r="D1128" s="87"/>
      <c r="E1128" s="88">
        <f>VLOOKUP($B1128,[1]DG!A:D,[1]DG!$B$2,)</f>
        <v>0</v>
      </c>
      <c r="F1128" s="89" t="str">
        <f>VLOOKUP($B1128,[1]DG!A:D,[1]DG!$C$2,)</f>
        <v>Chụp cách điện đầu cực MBA</v>
      </c>
      <c r="G1128" s="88" t="str">
        <f>VLOOKUP($B1128,[1]DG!A:D,[1]DG!$D$2,)</f>
        <v>cái</v>
      </c>
      <c r="H1128" s="145">
        <v>3</v>
      </c>
      <c r="I1128" s="91">
        <f t="shared" si="50"/>
        <v>0</v>
      </c>
      <c r="J1128" s="146"/>
      <c r="K1128" s="146"/>
      <c r="L1128" s="117"/>
      <c r="M1128" s="56">
        <v>160</v>
      </c>
    </row>
    <row r="1129" spans="1:13" s="51" customFormat="1" ht="25.2" hidden="1" customHeight="1">
      <c r="A1129" s="68">
        <f t="shared" si="51"/>
        <v>0</v>
      </c>
      <c r="B1129" s="69" t="s">
        <v>208</v>
      </c>
      <c r="C1129" s="69"/>
      <c r="D1129" s="87"/>
      <c r="E1129" s="88">
        <f>VLOOKUP($B1129,[1]DG!A:D,[1]DG!$B$2,)</f>
        <v>0</v>
      </c>
      <c r="F1129" s="89" t="str">
        <f>VLOOKUP($B1129,[1]DG!A:D,[1]DG!$C$2,)</f>
        <v>Chụp cách điện đầu cực FCO (trên + dưới)</v>
      </c>
      <c r="G1129" s="88" t="str">
        <f>VLOOKUP($B1129,[1]DG!A:D,[1]DG!$D$2,)</f>
        <v>bộ</v>
      </c>
      <c r="H1129" s="145">
        <v>3</v>
      </c>
      <c r="I1129" s="91">
        <f t="shared" si="50"/>
        <v>0</v>
      </c>
      <c r="J1129" s="146"/>
      <c r="K1129" s="146"/>
      <c r="L1129" s="117"/>
      <c r="M1129" s="56">
        <v>160</v>
      </c>
    </row>
    <row r="1130" spans="1:13" s="51" customFormat="1" ht="25.2" hidden="1" customHeight="1">
      <c r="A1130" s="68">
        <f t="shared" si="51"/>
        <v>0</v>
      </c>
      <c r="B1130" s="69" t="s">
        <v>209</v>
      </c>
      <c r="C1130" s="69"/>
      <c r="D1130" s="87"/>
      <c r="E1130" s="88">
        <f>VLOOKUP($B1130,[1]DG!A:D,[1]DG!$B$2,)</f>
        <v>0</v>
      </c>
      <c r="F1130" s="89" t="str">
        <f>VLOOKUP($B1130,[1]DG!A:D,[1]DG!$C$2,)</f>
        <v>Chụp cách điện đầu cực LA</v>
      </c>
      <c r="G1130" s="88" t="str">
        <f>VLOOKUP($B1130,[1]DG!A:D,[1]DG!$D$2,)</f>
        <v>cái</v>
      </c>
      <c r="H1130" s="145">
        <v>3</v>
      </c>
      <c r="I1130" s="91">
        <f t="shared" si="50"/>
        <v>0</v>
      </c>
      <c r="J1130" s="146"/>
      <c r="K1130" s="146"/>
      <c r="L1130" s="117"/>
      <c r="M1130" s="56">
        <v>160</v>
      </c>
    </row>
    <row r="1131" spans="1:13" s="51" customFormat="1" ht="25.2" hidden="1" customHeight="1">
      <c r="A1131" s="68">
        <f t="shared" si="51"/>
        <v>0</v>
      </c>
      <c r="B1131" s="86" t="s">
        <v>138</v>
      </c>
      <c r="C1131" s="86"/>
      <c r="D1131" s="96"/>
      <c r="E1131" s="88">
        <f>VLOOKUP($B1131,[1]DG!A:D,[1]DG!$B$2,)</f>
        <v>0</v>
      </c>
      <c r="F1131" s="89" t="str">
        <f>VLOOKUP($B1131,[1]DG!A:D,[1]DG!$C$2,)</f>
        <v xml:space="preserve">Sứ đứng 24KV </v>
      </c>
      <c r="G1131" s="88" t="str">
        <f>VLOOKUP($B1131,[1]DG!A:D,[1]DG!$D$2,)</f>
        <v>cái</v>
      </c>
      <c r="H1131" s="145">
        <v>3</v>
      </c>
      <c r="I1131" s="91">
        <f t="shared" si="50"/>
        <v>0</v>
      </c>
      <c r="J1131" s="146"/>
      <c r="K1131" s="146"/>
      <c r="L1131" s="96"/>
      <c r="M1131" s="56">
        <v>160</v>
      </c>
    </row>
    <row r="1132" spans="1:13" s="51" customFormat="1" ht="25.2" hidden="1" customHeight="1">
      <c r="A1132" s="68">
        <f t="shared" si="51"/>
        <v>0</v>
      </c>
      <c r="B1132" s="86" t="s">
        <v>139</v>
      </c>
      <c r="C1132" s="86"/>
      <c r="D1132" s="87"/>
      <c r="E1132" s="88">
        <f>VLOOKUP($B1132,[1]DG!A:D,[1]DG!$B$2,)</f>
        <v>0</v>
      </c>
      <c r="F1132" s="89" t="str">
        <f>VLOOKUP($B1132,[1]DG!A:D,[1]DG!$C$2,)</f>
        <v>Chân sứ đứng D20</v>
      </c>
      <c r="G1132" s="88" t="str">
        <f>VLOOKUP($B1132,[1]DG!A:D,[1]DG!$D$2,)</f>
        <v>cái</v>
      </c>
      <c r="H1132" s="336">
        <f>H1131</f>
        <v>3</v>
      </c>
      <c r="I1132" s="91">
        <f t="shared" si="50"/>
        <v>0</v>
      </c>
      <c r="J1132" s="146"/>
      <c r="K1132" s="146"/>
      <c r="L1132" s="96"/>
      <c r="M1132" s="56">
        <v>160</v>
      </c>
    </row>
    <row r="1133" spans="1:13" s="51" customFormat="1" ht="25.2" hidden="1" customHeight="1">
      <c r="A1133" s="68">
        <f t="shared" si="51"/>
        <v>0</v>
      </c>
      <c r="B1133" s="86" t="s">
        <v>422</v>
      </c>
      <c r="C1133" s="86"/>
      <c r="D1133" s="87"/>
      <c r="E1133" s="88">
        <f>VLOOKUP($B1133,[1]DG!A:D,[1]DG!$B$2,)</f>
        <v>0</v>
      </c>
      <c r="F1133" s="89" t="str">
        <f>VLOOKUP($B1133,[1]DG!A:D,[1]DG!$C$2,)</f>
        <v>Sứ treo polymer</v>
      </c>
      <c r="G1133" s="88" t="str">
        <f>VLOOKUP($B1133,[1]DG!A:D,[1]DG!$D$2,)</f>
        <v>chuỗi</v>
      </c>
      <c r="H1133" s="145">
        <f>H1120*6*0</f>
        <v>0</v>
      </c>
      <c r="I1133" s="91">
        <f t="shared" si="50"/>
        <v>0</v>
      </c>
      <c r="J1133" s="146"/>
      <c r="K1133" s="146"/>
      <c r="L1133" s="96"/>
      <c r="M1133" s="56">
        <v>160</v>
      </c>
    </row>
    <row r="1134" spans="1:13" s="51" customFormat="1" ht="25.2" hidden="1" customHeight="1">
      <c r="A1134" s="68">
        <f t="shared" si="51"/>
        <v>0</v>
      </c>
      <c r="B1134" s="86" t="s">
        <v>423</v>
      </c>
      <c r="C1134" s="86"/>
      <c r="D1134" s="87"/>
      <c r="E1134" s="88" t="str">
        <f>VLOOKUP($B1134,[1]DG!A:D,[1]DG!$B$2,)</f>
        <v>06.1115</v>
      </c>
      <c r="F1134" s="195" t="str">
        <f>VLOOKUP($B1134,[1]DG!A:D,[1]DG!$C$2,)</f>
        <v>Lắp sứ đứng 24KV</v>
      </c>
      <c r="G1134" s="88" t="str">
        <f>VLOOKUP($B1134,[1]DG!A:D,[1]DG!$D$2,)</f>
        <v>bộ</v>
      </c>
      <c r="H1134" s="336">
        <f>H1132</f>
        <v>3</v>
      </c>
      <c r="I1134" s="91">
        <f t="shared" si="50"/>
        <v>0</v>
      </c>
      <c r="J1134" s="146"/>
      <c r="K1134" s="146"/>
      <c r="L1134" s="96"/>
      <c r="M1134" s="56">
        <v>160</v>
      </c>
    </row>
    <row r="1135" spans="1:13" s="51" customFormat="1" ht="25.2" hidden="1" customHeight="1">
      <c r="A1135" s="68">
        <f t="shared" si="51"/>
        <v>0</v>
      </c>
      <c r="B1135" s="86" t="s">
        <v>424</v>
      </c>
      <c r="C1135" s="86"/>
      <c r="D1135" s="87"/>
      <c r="E1135" s="88" t="str">
        <f>VLOOKUP($B1135,[1]DG!A:D,[1]DG!$B$2,)</f>
        <v>06.1115</v>
      </c>
      <c r="F1135" s="89" t="str">
        <f>VLOOKUP($B1135,[1]DG!A:D,[1]DG!$C$2,)</f>
        <v>Tháo sứ đứng 24KV</v>
      </c>
      <c r="G1135" s="88" t="str">
        <f>VLOOKUP($B1135,[1]DG!A:D,[1]DG!$D$2,)</f>
        <v>bộ</v>
      </c>
      <c r="H1135" s="145"/>
      <c r="I1135" s="91">
        <f t="shared" si="50"/>
        <v>0</v>
      </c>
      <c r="J1135" s="146"/>
      <c r="K1135" s="146"/>
      <c r="L1135" s="96"/>
      <c r="M1135" s="56">
        <v>160</v>
      </c>
    </row>
    <row r="1136" spans="1:13" s="51" customFormat="1" ht="25.2" hidden="1" customHeight="1">
      <c r="A1136" s="68">
        <f t="shared" si="51"/>
        <v>0</v>
      </c>
      <c r="B1136" s="86" t="s">
        <v>425</v>
      </c>
      <c r="C1136" s="86"/>
      <c r="D1136" s="87"/>
      <c r="E1136" s="88" t="str">
        <f>VLOOKUP($B1136,[1]DG!A:D,[1]DG!$B$2,)</f>
        <v>06.2201</v>
      </c>
      <c r="F1136" s="89" t="str">
        <f>VLOOKUP($B1136,[1]DG!A:D,[1]DG!$C$2,)</f>
        <v>Lắp chuỗi sứ néo Polymer</v>
      </c>
      <c r="G1136" s="88" t="str">
        <f>VLOOKUP($B1136,[1]DG!A:D,[1]DG!$D$2,)</f>
        <v>chuỗi</v>
      </c>
      <c r="H1136" s="145">
        <f>H1133</f>
        <v>0</v>
      </c>
      <c r="I1136" s="91">
        <f t="shared" si="50"/>
        <v>0</v>
      </c>
      <c r="J1136" s="146"/>
      <c r="K1136" s="146"/>
      <c r="L1136" s="96"/>
      <c r="M1136" s="56">
        <v>160</v>
      </c>
    </row>
    <row r="1137" spans="1:13" s="51" customFormat="1" ht="25.2" hidden="1" customHeight="1">
      <c r="A1137" s="68">
        <f t="shared" si="51"/>
        <v>0</v>
      </c>
      <c r="B1137" s="86" t="s">
        <v>101</v>
      </c>
      <c r="C1137" s="86"/>
      <c r="D1137" s="87"/>
      <c r="E1137" s="88" t="str">
        <f>VLOOKUP($B1137,[1]DG!A:D,[1]DG!$B$2,)</f>
        <v>04.4201</v>
      </c>
      <c r="F1137" s="195" t="str">
        <f>VLOOKUP($B1137,[1]DG!A:D,[1]DG!$C$2,)</f>
        <v>Lắp cáp đồng xuống thiết bị D ≤ 95mm2</v>
      </c>
      <c r="G1137" s="88" t="str">
        <f>VLOOKUP($B1137,[1]DG!A:D,[1]DG!$D$2,)</f>
        <v>m</v>
      </c>
      <c r="H1137" s="336">
        <f>H1122+H1123</f>
        <v>0</v>
      </c>
      <c r="I1137" s="91">
        <f t="shared" si="50"/>
        <v>0</v>
      </c>
      <c r="J1137" s="146"/>
      <c r="K1137" s="146"/>
      <c r="L1137" s="96"/>
      <c r="M1137" s="56">
        <v>160</v>
      </c>
    </row>
    <row r="1138" spans="1:13" s="51" customFormat="1" ht="25.2" hidden="1" customHeight="1">
      <c r="A1138" s="68">
        <f t="shared" si="51"/>
        <v>0</v>
      </c>
      <c r="B1138" s="69"/>
      <c r="C1138" s="69"/>
      <c r="D1138" s="220">
        <f>IF(H1138&gt;0,D1120+1,D1120)</f>
        <v>0</v>
      </c>
      <c r="E1138" s="238"/>
      <c r="F1138" s="247" t="s">
        <v>297</v>
      </c>
      <c r="G1138" s="220" t="s">
        <v>67</v>
      </c>
      <c r="H1138" s="240"/>
      <c r="I1138" s="91">
        <f t="shared" si="50"/>
        <v>0</v>
      </c>
      <c r="J1138" s="146"/>
      <c r="K1138" s="146"/>
      <c r="L1138" s="117"/>
      <c r="M1138" s="56">
        <v>160</v>
      </c>
    </row>
    <row r="1139" spans="1:13" s="51" customFormat="1" ht="25.2" hidden="1" customHeight="1">
      <c r="A1139" s="68">
        <f>IF(A1138&gt;0,1,0)</f>
        <v>0</v>
      </c>
      <c r="B1139" s="69"/>
      <c r="C1139" s="69"/>
      <c r="D1139" s="111"/>
      <c r="E1139" s="242"/>
      <c r="F1139" s="248" t="s">
        <v>68</v>
      </c>
      <c r="G1139" s="111"/>
      <c r="H1139" s="244"/>
      <c r="I1139" s="91">
        <f t="shared" ref="I1139:I1206" si="52">IF(M1139=$M$23,H1139+J1139-K1139,0)</f>
        <v>0</v>
      </c>
      <c r="J1139" s="146"/>
      <c r="K1139" s="146"/>
      <c r="L1139" s="117"/>
      <c r="M1139" s="56">
        <v>160</v>
      </c>
    </row>
    <row r="1140" spans="1:13" s="51" customFormat="1" ht="25.2" hidden="1" customHeight="1">
      <c r="A1140" s="68">
        <f t="shared" si="51"/>
        <v>0</v>
      </c>
      <c r="B1140" s="69" t="s">
        <v>426</v>
      </c>
      <c r="C1140" s="69"/>
      <c r="D1140" s="87"/>
      <c r="E1140" s="88" t="str">
        <f>VLOOKUP($B1140,[1]DG!A:D,[1]DG!$B$2,)</f>
        <v>07.2403</v>
      </c>
      <c r="F1140" s="89" t="str">
        <f>VLOOKUP($B1140,[1]DG!A:D,[1]DG!$C$2,)</f>
        <v>Ống PVC D42x2,1mm</v>
      </c>
      <c r="G1140" s="88" t="str">
        <f>VLOOKUP($B1140,[1]DG!A:D,[1]DG!$D$2,)</f>
        <v>m</v>
      </c>
      <c r="H1140" s="145">
        <f>H1138*2</f>
        <v>0</v>
      </c>
      <c r="I1140" s="91">
        <f t="shared" si="52"/>
        <v>0</v>
      </c>
      <c r="J1140" s="146"/>
      <c r="K1140" s="146"/>
      <c r="L1140" s="117"/>
      <c r="M1140" s="56">
        <v>160</v>
      </c>
    </row>
    <row r="1141" spans="1:13" s="51" customFormat="1" ht="25.2" hidden="1" customHeight="1">
      <c r="A1141" s="68">
        <f t="shared" si="51"/>
        <v>0</v>
      </c>
      <c r="B1141" s="69" t="s">
        <v>427</v>
      </c>
      <c r="C1141" s="69"/>
      <c r="D1141" s="87"/>
      <c r="E1141" s="88">
        <f>VLOOKUP($B1141,[1]DG!A:D,[1]DG!$B$2,)</f>
        <v>0</v>
      </c>
      <c r="F1141" s="89" t="str">
        <f>VLOOKUP($B1141,[1]DG!A:D,[1]DG!$C$2,)</f>
        <v>Co chữ T ống PVC 42</v>
      </c>
      <c r="G1141" s="88" t="str">
        <f>VLOOKUP($B1141,[1]DG!A:D,[1]DG!$D$2,)</f>
        <v>cái</v>
      </c>
      <c r="H1141" s="145">
        <f>H1138</f>
        <v>0</v>
      </c>
      <c r="I1141" s="91">
        <f t="shared" si="52"/>
        <v>0</v>
      </c>
      <c r="J1141" s="146"/>
      <c r="K1141" s="146"/>
      <c r="L1141" s="117"/>
      <c r="M1141" s="56">
        <v>160</v>
      </c>
    </row>
    <row r="1142" spans="1:13" s="51" customFormat="1" ht="25.2" hidden="1" customHeight="1">
      <c r="A1142" s="68">
        <f t="shared" si="51"/>
        <v>0</v>
      </c>
      <c r="B1142" s="69" t="s">
        <v>428</v>
      </c>
      <c r="C1142" s="69"/>
      <c r="D1142" s="87"/>
      <c r="E1142" s="88">
        <f>VLOOKUP($B1142,[1]DG!A:D,[1]DG!$B$2,)</f>
        <v>0</v>
      </c>
      <c r="F1142" s="89" t="str">
        <f>VLOOKUP($B1142,[1]DG!A:D,[1]DG!$C$2,)</f>
        <v>Khâu ven răng trong D42</v>
      </c>
      <c r="G1142" s="88" t="str">
        <f>VLOOKUP($B1142,[1]DG!A:D,[1]DG!$D$2,)</f>
        <v>cái</v>
      </c>
      <c r="H1142" s="145">
        <f>H1138*2</f>
        <v>0</v>
      </c>
      <c r="I1142" s="91">
        <f t="shared" si="52"/>
        <v>0</v>
      </c>
      <c r="J1142" s="146"/>
      <c r="K1142" s="146"/>
      <c r="L1142" s="117"/>
      <c r="M1142" s="56">
        <v>160</v>
      </c>
    </row>
    <row r="1143" spans="1:13" s="51" customFormat="1" ht="25.2" hidden="1" customHeight="1">
      <c r="A1143" s="68">
        <f t="shared" si="51"/>
        <v>0</v>
      </c>
      <c r="B1143" s="69" t="s">
        <v>429</v>
      </c>
      <c r="C1143" s="69"/>
      <c r="D1143" s="87"/>
      <c r="E1143" s="88">
        <f>VLOOKUP($B1143,[1]DG!A:D,[1]DG!$B$2,)</f>
        <v>0</v>
      </c>
      <c r="F1143" s="89" t="str">
        <f>VLOOKUP($B1143,[1]DG!A:D,[1]DG!$C$2,)</f>
        <v>Khâu ven răng ngoài D42</v>
      </c>
      <c r="G1143" s="88" t="str">
        <f>VLOOKUP($B1143,[1]DG!A:D,[1]DG!$D$2,)</f>
        <v>cái</v>
      </c>
      <c r="H1143" s="145">
        <f>H1142</f>
        <v>0</v>
      </c>
      <c r="I1143" s="91">
        <f t="shared" si="52"/>
        <v>0</v>
      </c>
      <c r="J1143" s="146"/>
      <c r="K1143" s="146"/>
      <c r="L1143" s="117"/>
      <c r="M1143" s="56">
        <v>160</v>
      </c>
    </row>
    <row r="1144" spans="1:13" s="51" customFormat="1" ht="25.2" hidden="1" customHeight="1">
      <c r="A1144" s="68">
        <f t="shared" si="51"/>
        <v>0</v>
      </c>
      <c r="B1144" s="86"/>
      <c r="C1144" s="86"/>
      <c r="D1144" s="220">
        <f>IF(H1144&gt;0,D1138+1,D1138)</f>
        <v>0</v>
      </c>
      <c r="E1144" s="238"/>
      <c r="F1144" s="247" t="s">
        <v>430</v>
      </c>
      <c r="G1144" s="220" t="s">
        <v>67</v>
      </c>
      <c r="H1144" s="337">
        <f>$H$948</f>
        <v>0</v>
      </c>
      <c r="I1144" s="91">
        <f t="shared" si="52"/>
        <v>0</v>
      </c>
      <c r="J1144" s="146"/>
      <c r="K1144" s="146"/>
      <c r="L1144" s="96"/>
      <c r="M1144" s="56">
        <v>160</v>
      </c>
    </row>
    <row r="1145" spans="1:13" s="51" customFormat="1" ht="25.2" hidden="1" customHeight="1">
      <c r="A1145" s="68">
        <f>IF(A1144&gt;0,1,0)</f>
        <v>0</v>
      </c>
      <c r="B1145" s="86"/>
      <c r="C1145" s="86"/>
      <c r="D1145" s="111"/>
      <c r="E1145" s="242"/>
      <c r="F1145" s="248" t="s">
        <v>68</v>
      </c>
      <c r="G1145" s="111"/>
      <c r="H1145" s="145"/>
      <c r="I1145" s="91">
        <f t="shared" si="52"/>
        <v>0</v>
      </c>
      <c r="J1145" s="146"/>
      <c r="K1145" s="146"/>
      <c r="L1145" s="96"/>
      <c r="M1145" s="56">
        <v>160</v>
      </c>
    </row>
    <row r="1146" spans="1:13" s="51" customFormat="1" ht="25.2" hidden="1" customHeight="1">
      <c r="A1146" s="68">
        <f t="shared" si="51"/>
        <v>0</v>
      </c>
      <c r="B1146" s="69" t="s">
        <v>431</v>
      </c>
      <c r="C1146" s="69"/>
      <c r="D1146" s="87"/>
      <c r="E1146" s="88">
        <f>VLOOKUP($B1146,[1]DG!A:D,[1]DG!$B$2,)</f>
        <v>0</v>
      </c>
      <c r="F1146" s="89" t="str">
        <f>VLOOKUP($B1146,[1]DG!A:D,[1]DG!$C$2,)&amp;":  "&amp;M2&amp;" x 8m/pha "</f>
        <v xml:space="preserve">Cáp đồng bọc CV120:  1 x 8m/pha </v>
      </c>
      <c r="G1146" s="88" t="str">
        <f>VLOOKUP($B1146,[1]DG!A:D,[1]DG!$D$2,)</f>
        <v>mét</v>
      </c>
      <c r="H1146" s="145">
        <v>25.5</v>
      </c>
      <c r="I1146" s="91">
        <f t="shared" si="52"/>
        <v>0</v>
      </c>
      <c r="J1146" s="146"/>
      <c r="K1146" s="146"/>
      <c r="L1146" s="96"/>
      <c r="M1146" s="56">
        <v>160</v>
      </c>
    </row>
    <row r="1147" spans="1:13" s="51" customFormat="1" ht="25.2" hidden="1" customHeight="1">
      <c r="A1147" s="68">
        <f t="shared" si="51"/>
        <v>0</v>
      </c>
      <c r="B1147" s="69" t="s">
        <v>320</v>
      </c>
      <c r="C1147" s="69"/>
      <c r="D1147" s="87"/>
      <c r="E1147" s="88">
        <f>VLOOKUP($B1147,[1]DG!A:D,[1]DG!$B$2,)</f>
        <v>0</v>
      </c>
      <c r="F1147" s="89" t="str">
        <f>VLOOKUP($B1147,[1]DG!A:D,[1]DG!$C$2,)&amp;":  "&amp;M2&amp;" x 8m/trung tính "</f>
        <v xml:space="preserve">Cáp đồng bọc CV95:  1 x 8m/trung tính </v>
      </c>
      <c r="G1147" s="88" t="str">
        <f>VLOOKUP($B1147,[1]DG!A:D,[1]DG!$D$2,)</f>
        <v>mét</v>
      </c>
      <c r="H1147" s="145">
        <v>8.5</v>
      </c>
      <c r="I1147" s="91">
        <f t="shared" si="52"/>
        <v>0</v>
      </c>
      <c r="J1147" s="146"/>
      <c r="K1147" s="146"/>
      <c r="L1147" s="96"/>
      <c r="M1147" s="56">
        <v>160</v>
      </c>
    </row>
    <row r="1148" spans="1:13" s="51" customFormat="1" ht="25.2" hidden="1" customHeight="1">
      <c r="A1148" s="68">
        <f t="shared" si="51"/>
        <v>0</v>
      </c>
      <c r="B1148" s="69" t="s">
        <v>196</v>
      </c>
      <c r="C1148" s="69"/>
      <c r="D1148" s="87"/>
      <c r="E1148" s="88" t="str">
        <f>VLOOKUP($B1148,[1]DG!A:D,[1]DG!$B$2,)</f>
        <v>03.4005</v>
      </c>
      <c r="F1148" s="89" t="str">
        <f>VLOOKUP($B1148,[1]DG!A:D,[1]DG!$C$2,)&amp;": "</f>
        <v xml:space="preserve">Đầu cosse ép Cu 120mm2: </v>
      </c>
      <c r="G1148" s="88" t="str">
        <f>VLOOKUP($B1148,[1]DG!A:D,[1]DG!$D$2,)</f>
        <v>cái</v>
      </c>
      <c r="H1148" s="145">
        <v>3</v>
      </c>
      <c r="I1148" s="91">
        <f t="shared" si="52"/>
        <v>0</v>
      </c>
      <c r="J1148" s="146"/>
      <c r="K1148" s="146"/>
      <c r="L1148" s="96"/>
      <c r="M1148" s="56">
        <v>160</v>
      </c>
    </row>
    <row r="1149" spans="1:13" s="51" customFormat="1" ht="25.2" hidden="1" customHeight="1">
      <c r="A1149" s="68">
        <f t="shared" si="51"/>
        <v>0</v>
      </c>
      <c r="B1149" s="69" t="s">
        <v>303</v>
      </c>
      <c r="C1149" s="69"/>
      <c r="D1149" s="87"/>
      <c r="E1149" s="88" t="str">
        <f>VLOOKUP($B1149,[1]DG!A:D,[1]DG!$B$2,)</f>
        <v>03.4004</v>
      </c>
      <c r="F1149" s="89" t="str">
        <f>VLOOKUP($B1149,[1]DG!A:D,[1]DG!$C$2,)&amp;": "</f>
        <v xml:space="preserve">Đầu cosse ép Cu 95mm2: </v>
      </c>
      <c r="G1149" s="88" t="str">
        <f>VLOOKUP($B1149,[1]DG!A:D,[1]DG!$D$2,)</f>
        <v>cái</v>
      </c>
      <c r="H1149" s="145">
        <v>3</v>
      </c>
      <c r="I1149" s="91">
        <f t="shared" si="52"/>
        <v>0</v>
      </c>
      <c r="J1149" s="146"/>
      <c r="K1149" s="146"/>
      <c r="L1149" s="96"/>
      <c r="M1149" s="56">
        <v>160</v>
      </c>
    </row>
    <row r="1150" spans="1:13" s="51" customFormat="1" ht="25.2" hidden="1" customHeight="1">
      <c r="A1150" s="68">
        <f t="shared" si="51"/>
        <v>0</v>
      </c>
      <c r="B1150" s="69" t="s">
        <v>197</v>
      </c>
      <c r="C1150" s="69"/>
      <c r="D1150" s="87"/>
      <c r="E1150" s="88">
        <f>VLOOKUP($B1150,[1]DG!A:D,[1]DG!$B$2,)</f>
        <v>0</v>
      </c>
      <c r="F1150" s="89" t="str">
        <f>VLOOKUP($B1150,[1]DG!A:D,[1]DG!$C$2,)&amp;": "</f>
        <v xml:space="preserve">Chụp đầu cosse  120mm2: </v>
      </c>
      <c r="G1150" s="88" t="str">
        <f>VLOOKUP($B1150,[1]DG!A:D,[1]DG!$D$2,)</f>
        <v>cái</v>
      </c>
      <c r="H1150" s="145">
        <f>H1148</f>
        <v>3</v>
      </c>
      <c r="I1150" s="91">
        <f t="shared" si="52"/>
        <v>0</v>
      </c>
      <c r="J1150" s="146"/>
      <c r="K1150" s="146"/>
      <c r="L1150" s="96"/>
      <c r="M1150" s="56">
        <v>160</v>
      </c>
    </row>
    <row r="1151" spans="1:13" s="51" customFormat="1" ht="25.2" hidden="1" customHeight="1">
      <c r="A1151" s="68">
        <f t="shared" si="51"/>
        <v>0</v>
      </c>
      <c r="B1151" s="69" t="s">
        <v>432</v>
      </c>
      <c r="C1151" s="69"/>
      <c r="D1151" s="87"/>
      <c r="E1151" s="88">
        <f>VLOOKUP($B1151,[1]DG!A:D,[1]DG!$B$2,)</f>
        <v>0</v>
      </c>
      <c r="F1151" s="89" t="str">
        <f>VLOOKUP($B1151,[1]DG!A:D,[1]DG!$C$2,)&amp;": "</f>
        <v xml:space="preserve">Chụp đầu cosse  95mm2: </v>
      </c>
      <c r="G1151" s="88" t="str">
        <f>VLOOKUP($B1151,[1]DG!A:D,[1]DG!$D$2,)</f>
        <v>cái</v>
      </c>
      <c r="H1151" s="145">
        <f>H1149</f>
        <v>3</v>
      </c>
      <c r="I1151" s="91">
        <f t="shared" si="52"/>
        <v>0</v>
      </c>
      <c r="J1151" s="146"/>
      <c r="K1151" s="146"/>
      <c r="L1151" s="96"/>
      <c r="M1151" s="56">
        <v>160</v>
      </c>
    </row>
    <row r="1152" spans="1:13" s="51" customFormat="1" ht="25.2" hidden="1" customHeight="1">
      <c r="A1152" s="68">
        <f t="shared" si="51"/>
        <v>0</v>
      </c>
      <c r="B1152" s="69" t="s">
        <v>144</v>
      </c>
      <c r="C1152" s="69"/>
      <c r="D1152" s="87"/>
      <c r="E1152" s="88">
        <f>VLOOKUP($B1152,[1]DG!A:D,[1]DG!$B$2,)</f>
        <v>0</v>
      </c>
      <c r="F1152" s="89" t="str">
        <f>VLOOKUP($B1152,[1]DG!A:D,[1]DG!$C$2,)</f>
        <v xml:space="preserve">Ống PVC D114x4,9mm </v>
      </c>
      <c r="G1152" s="88" t="str">
        <f>VLOOKUP($B1152,[1]DG!A:D,[1]DG!$D$2,)</f>
        <v>m</v>
      </c>
      <c r="H1152" s="145">
        <v>6</v>
      </c>
      <c r="I1152" s="91">
        <f t="shared" si="52"/>
        <v>0</v>
      </c>
      <c r="J1152" s="146"/>
      <c r="K1152" s="146"/>
      <c r="L1152" s="96"/>
      <c r="M1152" s="56">
        <v>160</v>
      </c>
    </row>
    <row r="1153" spans="1:13" s="51" customFormat="1" ht="25.2" hidden="1" customHeight="1">
      <c r="A1153" s="68">
        <f t="shared" si="51"/>
        <v>0</v>
      </c>
      <c r="B1153" s="69" t="s">
        <v>433</v>
      </c>
      <c r="C1153" s="69"/>
      <c r="D1153" s="87"/>
      <c r="E1153" s="88">
        <f>VLOOKUP($B1153,[1]DG!A:D,[1]DG!$B$2,)</f>
        <v>0</v>
      </c>
      <c r="F1153" s="89" t="str">
        <f>VLOOKUP($B1153,[1]DG!A:D,[1]DG!$C$2,)</f>
        <v>Co sừng 90 độ PVC 114</v>
      </c>
      <c r="G1153" s="88" t="str">
        <f>VLOOKUP($B1153,[1]DG!A:D,[1]DG!$D$2,)</f>
        <v>cái</v>
      </c>
      <c r="H1153" s="145">
        <v>1</v>
      </c>
      <c r="I1153" s="91">
        <f t="shared" si="52"/>
        <v>0</v>
      </c>
      <c r="J1153" s="146"/>
      <c r="K1153" s="146"/>
      <c r="L1153" s="96"/>
      <c r="M1153" s="56">
        <v>160</v>
      </c>
    </row>
    <row r="1154" spans="1:13" s="51" customFormat="1" ht="25.2" hidden="1" customHeight="1">
      <c r="A1154" s="68">
        <f t="shared" si="51"/>
        <v>0</v>
      </c>
      <c r="B1154" s="69" t="s">
        <v>434</v>
      </c>
      <c r="C1154" s="69"/>
      <c r="D1154" s="87"/>
      <c r="E1154" s="88">
        <f>VLOOKUP($B1154,[1]DG!A:D,[1]DG!$B$2,)</f>
        <v>0</v>
      </c>
      <c r="F1154" s="89" t="str">
        <f>VLOOKUP($B1154,[1]DG!A:D,[1]DG!$C$2,)</f>
        <v>Co 135 độ PVC 114</v>
      </c>
      <c r="G1154" s="88" t="str">
        <f>VLOOKUP($B1154,[1]DG!A:D,[1]DG!$D$2,)</f>
        <v>cái</v>
      </c>
      <c r="H1154" s="145">
        <v>1</v>
      </c>
      <c r="I1154" s="91">
        <f t="shared" si="52"/>
        <v>0</v>
      </c>
      <c r="J1154" s="146"/>
      <c r="K1154" s="146"/>
      <c r="L1154" s="96"/>
      <c r="M1154" s="56">
        <v>160</v>
      </c>
    </row>
    <row r="1155" spans="1:13" s="51" customFormat="1" ht="25.2" hidden="1" customHeight="1">
      <c r="A1155" s="68">
        <f t="shared" si="51"/>
        <v>0</v>
      </c>
      <c r="B1155" s="86" t="s">
        <v>435</v>
      </c>
      <c r="C1155" s="86"/>
      <c r="D1155" s="87"/>
      <c r="E1155" s="88" t="str">
        <f>VLOOKUP($B1155,[1]DG!A:D,[1]DG!$B$2,)</f>
        <v>06.3231</v>
      </c>
      <c r="F1155" s="89" t="str">
        <f>VLOOKUP($B1155,[1]DG!A:D,[1]DG!$C$2,)&amp;": CD-250"</f>
        <v>Cổ dê kẹp ống PVC Ø 114: CD-250</v>
      </c>
      <c r="G1155" s="88" t="str">
        <f>VLOOKUP($B1155,[1]DG!A:D,[1]DG!$D$2,)</f>
        <v>bộ</v>
      </c>
      <c r="H1155" s="145">
        <f>$H$1144*1</f>
        <v>0</v>
      </c>
      <c r="I1155" s="91">
        <f t="shared" si="52"/>
        <v>0</v>
      </c>
      <c r="J1155" s="146"/>
      <c r="K1155" s="146"/>
      <c r="L1155" s="96"/>
      <c r="M1155" s="56">
        <v>160</v>
      </c>
    </row>
    <row r="1156" spans="1:13" s="51" customFormat="1" ht="25.2" hidden="1" customHeight="1">
      <c r="A1156" s="68">
        <f t="shared" si="51"/>
        <v>0</v>
      </c>
      <c r="B1156" s="86" t="s">
        <v>435</v>
      </c>
      <c r="C1156" s="86"/>
      <c r="D1156" s="87"/>
      <c r="E1156" s="88" t="str">
        <f>VLOOKUP($B1156,[1]DG!A:D,[1]DG!$B$2,)</f>
        <v>06.3231</v>
      </c>
      <c r="F1156" s="89" t="str">
        <f>VLOOKUP($B1156,[1]DG!A:D,[1]DG!$C$2,)&amp;": CD-280"</f>
        <v>Cổ dê kẹp ống PVC Ø 114: CD-280</v>
      </c>
      <c r="G1156" s="88" t="str">
        <f>VLOOKUP($B1156,[1]DG!A:D,[1]DG!$D$2,)</f>
        <v>bộ</v>
      </c>
      <c r="H1156" s="145">
        <f>$H$1144*1</f>
        <v>0</v>
      </c>
      <c r="I1156" s="91">
        <f t="shared" si="52"/>
        <v>0</v>
      </c>
      <c r="J1156" s="146"/>
      <c r="K1156" s="146"/>
      <c r="L1156" s="96"/>
      <c r="M1156" s="56">
        <v>160</v>
      </c>
    </row>
    <row r="1157" spans="1:13" s="51" customFormat="1" ht="25.2" hidden="1" customHeight="1">
      <c r="A1157" s="68">
        <f t="shared" si="51"/>
        <v>0</v>
      </c>
      <c r="B1157" s="86" t="s">
        <v>87</v>
      </c>
      <c r="C1157" s="86"/>
      <c r="D1157" s="87"/>
      <c r="E1157" s="88" t="str">
        <f>VLOOKUP($B1157,[1]DG!A:D,[1]DG!$B$2,)</f>
        <v>06.2110</v>
      </c>
      <c r="F1157" s="195" t="str">
        <f>VLOOKUP($B1157,[1]DG!A:D,[1]DG!$C$2,)&amp;": CD-280"</f>
        <v>Lắp cổ dề: CD-280</v>
      </c>
      <c r="G1157" s="88" t="str">
        <f>VLOOKUP($B1157,[1]DG!A:D,[1]DG!$D$2,)</f>
        <v>bộ</v>
      </c>
      <c r="H1157" s="145">
        <f>H1155+H1156</f>
        <v>0</v>
      </c>
      <c r="I1157" s="91">
        <f t="shared" si="52"/>
        <v>0</v>
      </c>
      <c r="J1157" s="146"/>
      <c r="K1157" s="146"/>
      <c r="L1157" s="96"/>
      <c r="M1157" s="56">
        <v>160</v>
      </c>
    </row>
    <row r="1158" spans="1:13" s="51" customFormat="1" ht="25.2" hidden="1" customHeight="1">
      <c r="A1158" s="68">
        <f t="shared" si="51"/>
        <v>0</v>
      </c>
      <c r="B1158" s="86" t="s">
        <v>131</v>
      </c>
      <c r="C1158" s="86"/>
      <c r="D1158" s="87"/>
      <c r="E1158" s="88">
        <f>VLOOKUP($B1158,[1]DG!A:D,[1]DG!$B$2,)</f>
        <v>0</v>
      </c>
      <c r="F1158" s="89" t="str">
        <f>VLOOKUP($B1158,[1]DG!A:D,[1]DG!$C$2,)</f>
        <v>Boulon 12x40+ 2 long đền vuông D14-50x50x3/Zn</v>
      </c>
      <c r="G1158" s="88" t="str">
        <f>VLOOKUP($B1158,[1]DG!A:D,[1]DG!$D$2,)</f>
        <v>bộ</v>
      </c>
      <c r="H1158" s="145">
        <f>$H$1144*6*0</f>
        <v>0</v>
      </c>
      <c r="I1158" s="91">
        <f t="shared" si="52"/>
        <v>0</v>
      </c>
      <c r="J1158" s="146"/>
      <c r="K1158" s="146"/>
      <c r="L1158" s="96"/>
      <c r="M1158" s="56">
        <v>160</v>
      </c>
    </row>
    <row r="1159" spans="1:13" s="51" customFormat="1" ht="25.2" hidden="1" customHeight="1">
      <c r="A1159" s="68">
        <f t="shared" si="51"/>
        <v>0</v>
      </c>
      <c r="B1159" s="69" t="s">
        <v>217</v>
      </c>
      <c r="C1159" s="69"/>
      <c r="D1159" s="87"/>
      <c r="E1159" s="88">
        <f>VLOOKUP($B1159,[1]DG!A:D,[1]DG!$B$2,)</f>
        <v>0</v>
      </c>
      <c r="F1159" s="89" t="str">
        <f>VLOOKUP($B1159,[1]DG!A:D,[1]DG!$C$2,)</f>
        <v>Khâu ven răng trong D114</v>
      </c>
      <c r="G1159" s="88" t="str">
        <f>VLOOKUP($B1159,[1]DG!A:D,[1]DG!$D$2,)</f>
        <v>cái</v>
      </c>
      <c r="H1159" s="145"/>
      <c r="I1159" s="91">
        <f t="shared" si="52"/>
        <v>0</v>
      </c>
      <c r="J1159" s="146"/>
      <c r="K1159" s="146"/>
      <c r="L1159" s="96"/>
      <c r="M1159" s="56">
        <v>160</v>
      </c>
    </row>
    <row r="1160" spans="1:13" s="51" customFormat="1" ht="25.2" hidden="1" customHeight="1">
      <c r="A1160" s="68">
        <f t="shared" si="51"/>
        <v>0</v>
      </c>
      <c r="B1160" s="69" t="s">
        <v>218</v>
      </c>
      <c r="C1160" s="69"/>
      <c r="D1160" s="87"/>
      <c r="E1160" s="88">
        <f>VLOOKUP($B1160,[1]DG!A:D,[1]DG!$B$2,)</f>
        <v>0</v>
      </c>
      <c r="F1160" s="89" t="str">
        <f>VLOOKUP($B1160,[1]DG!A:D,[1]DG!$C$2,)&amp;": "</f>
        <v xml:space="preserve">Khâu ven răng ngoài D114: </v>
      </c>
      <c r="G1160" s="88" t="str">
        <f>VLOOKUP($B1160,[1]DG!A:D,[1]DG!$D$2,)</f>
        <v>cái</v>
      </c>
      <c r="H1160" s="145">
        <f>H1159</f>
        <v>0</v>
      </c>
      <c r="I1160" s="91">
        <f t="shared" si="52"/>
        <v>0</v>
      </c>
      <c r="J1160" s="146"/>
      <c r="K1160" s="146"/>
      <c r="L1160" s="96"/>
      <c r="M1160" s="56">
        <v>160</v>
      </c>
    </row>
    <row r="1161" spans="1:13" s="51" customFormat="1" ht="25.2" hidden="1" customHeight="1">
      <c r="A1161" s="68">
        <f t="shared" si="51"/>
        <v>0</v>
      </c>
      <c r="B1161" s="69" t="s">
        <v>114</v>
      </c>
      <c r="C1161" s="69"/>
      <c r="D1161" s="87"/>
      <c r="E1161" s="88">
        <f>VLOOKUP($B1161,[1]DG!A:D,[1]DG!$B$2,)</f>
        <v>0</v>
      </c>
      <c r="F1161" s="89" t="str">
        <f>VLOOKUP($B1161,[1]DG!A:D,[1]DG!$C$2,)&amp;": "</f>
        <v xml:space="preserve">Keo dán ống PVC (100gr): </v>
      </c>
      <c r="G1161" s="88" t="str">
        <f>VLOOKUP($B1161,[1]DG!A:D,[1]DG!$D$2,)</f>
        <v>tuýp</v>
      </c>
      <c r="H1161" s="145">
        <f>IF(H1154&gt;0,H1144*M2,)</f>
        <v>0</v>
      </c>
      <c r="I1161" s="91">
        <f t="shared" si="52"/>
        <v>0</v>
      </c>
      <c r="J1161" s="146"/>
      <c r="K1161" s="146"/>
      <c r="L1161" s="96"/>
      <c r="M1161" s="56">
        <v>160</v>
      </c>
    </row>
    <row r="1162" spans="1:13" s="51" customFormat="1" ht="25.2" hidden="1" customHeight="1">
      <c r="A1162" s="68">
        <f t="shared" si="51"/>
        <v>0</v>
      </c>
      <c r="B1162" s="86" t="s">
        <v>436</v>
      </c>
      <c r="C1162" s="86"/>
      <c r="D1162" s="87"/>
      <c r="E1162" s="88"/>
      <c r="F1162" s="89" t="str">
        <f>VLOOKUP($B1162,[1]DG!A:D,[1]DG!$C$2,)</f>
        <v>Keo silicon bít miệng ống</v>
      </c>
      <c r="G1162" s="88" t="str">
        <f>VLOOKUP($B1162,[1]DG!A:D,[1]DG!$D$2,)</f>
        <v>ống</v>
      </c>
      <c r="H1162" s="145">
        <f>H1144*M2</f>
        <v>0</v>
      </c>
      <c r="I1162" s="91">
        <f t="shared" si="52"/>
        <v>0</v>
      </c>
      <c r="J1162" s="146"/>
      <c r="K1162" s="146"/>
      <c r="L1162" s="117"/>
      <c r="M1162" s="56">
        <v>160</v>
      </c>
    </row>
    <row r="1163" spans="1:13" s="51" customFormat="1" ht="25.2" hidden="1" customHeight="1">
      <c r="A1163" s="68">
        <f t="shared" si="51"/>
        <v>0</v>
      </c>
      <c r="B1163" s="69" t="s">
        <v>302</v>
      </c>
      <c r="C1163" s="69"/>
      <c r="D1163" s="87"/>
      <c r="E1163" s="88" t="str">
        <f>VLOOKUP($B1163,[1]DG!A:D,[1]DG!$B$2,)</f>
        <v>03.1401</v>
      </c>
      <c r="F1163" s="89" t="str">
        <f>VLOOKUP($B1163,[1]DG!A:D,[1]DG!$C$2,)</f>
        <v xml:space="preserve">Cáp CVV 4x4mm2  </v>
      </c>
      <c r="G1163" s="88" t="str">
        <f>VLOOKUP($B1163,[1]DG!A:D,[1]DG!$D$2,)</f>
        <v>mét</v>
      </c>
      <c r="H1163" s="145">
        <v>2</v>
      </c>
      <c r="I1163" s="91">
        <f t="shared" si="52"/>
        <v>0</v>
      </c>
      <c r="J1163" s="146"/>
      <c r="K1163" s="146"/>
      <c r="L1163" s="117"/>
      <c r="M1163" s="56">
        <v>160</v>
      </c>
    </row>
    <row r="1164" spans="1:13" s="51" customFormat="1" ht="25.2" hidden="1" customHeight="1">
      <c r="A1164" s="68">
        <f t="shared" si="51"/>
        <v>0</v>
      </c>
      <c r="B1164" s="69" t="s">
        <v>437</v>
      </c>
      <c r="C1164" s="69"/>
      <c r="D1164" s="87"/>
      <c r="E1164" s="88">
        <f>VLOOKUP($B1164,[1]DG!A:D,[1]DG!$B$2,)</f>
        <v>0</v>
      </c>
      <c r="F1164" s="89" t="str">
        <f>VLOOKUP($B1164,[1]DG!A:D,[1]DG!$C$2,)</f>
        <v>Dây rút cáp</v>
      </c>
      <c r="G1164" s="88" t="str">
        <f>VLOOKUP($B1164,[1]DG!A:D,[1]DG!$D$2,)</f>
        <v>bọc</v>
      </c>
      <c r="H1164" s="145"/>
      <c r="I1164" s="91">
        <f t="shared" si="52"/>
        <v>0</v>
      </c>
      <c r="J1164" s="146"/>
      <c r="K1164" s="146"/>
      <c r="L1164" s="117"/>
      <c r="M1164" s="56">
        <v>160</v>
      </c>
    </row>
    <row r="1165" spans="1:13" s="51" customFormat="1" ht="25.2" hidden="1" customHeight="1">
      <c r="A1165" s="68">
        <f t="shared" si="51"/>
        <v>0</v>
      </c>
      <c r="B1165" s="69" t="s">
        <v>306</v>
      </c>
      <c r="C1165" s="69"/>
      <c r="D1165" s="87"/>
      <c r="E1165" s="88">
        <f>VLOOKUP($B1165,[1]DG!A:D,[1]DG!$B$2,)</f>
        <v>0</v>
      </c>
      <c r="F1165" s="89" t="str">
        <f>VLOOKUP($B1165,[1]DG!A:D,[1]DG!$C$2,)</f>
        <v>Chụp cách điện đầu cực MBA</v>
      </c>
      <c r="G1165" s="88" t="str">
        <f>VLOOKUP($B1165,[1]DG!A:D,[1]DG!$D$2,)</f>
        <v>cái</v>
      </c>
      <c r="H1165" s="145"/>
      <c r="I1165" s="91">
        <f t="shared" si="52"/>
        <v>0</v>
      </c>
      <c r="J1165" s="146"/>
      <c r="K1165" s="146"/>
      <c r="L1165" s="117"/>
      <c r="M1165" s="56">
        <v>160</v>
      </c>
    </row>
    <row r="1166" spans="1:13" s="51" customFormat="1" ht="25.2" hidden="1" customHeight="1">
      <c r="A1166" s="68">
        <f t="shared" si="51"/>
        <v>0</v>
      </c>
      <c r="B1166" s="69" t="s">
        <v>208</v>
      </c>
      <c r="C1166" s="69"/>
      <c r="D1166" s="87"/>
      <c r="E1166" s="88">
        <f>VLOOKUP($B1166,[1]DG!A:D,[1]DG!$B$2,)</f>
        <v>0</v>
      </c>
      <c r="F1166" s="89" t="str">
        <f>VLOOKUP($B1166,[1]DG!A:D,[1]DG!$C$2,)</f>
        <v>Chụp cách điện đầu cực FCO (trên + dưới)</v>
      </c>
      <c r="G1166" s="88" t="str">
        <f>VLOOKUP($B1166,[1]DG!A:D,[1]DG!$D$2,)</f>
        <v>bộ</v>
      </c>
      <c r="H1166" s="145"/>
      <c r="I1166" s="91">
        <f t="shared" si="52"/>
        <v>0</v>
      </c>
      <c r="J1166" s="146"/>
      <c r="K1166" s="146"/>
      <c r="L1166" s="117"/>
      <c r="M1166" s="56">
        <v>160</v>
      </c>
    </row>
    <row r="1167" spans="1:13" s="51" customFormat="1" ht="25.2" hidden="1" customHeight="1">
      <c r="A1167" s="68">
        <f t="shared" si="51"/>
        <v>0</v>
      </c>
      <c r="B1167" s="69" t="s">
        <v>209</v>
      </c>
      <c r="C1167" s="69"/>
      <c r="D1167" s="87"/>
      <c r="E1167" s="88">
        <f>VLOOKUP($B1167,[1]DG!A:D,[1]DG!$B$2,)</f>
        <v>0</v>
      </c>
      <c r="F1167" s="89" t="str">
        <f>VLOOKUP($B1167,[1]DG!A:D,[1]DG!$C$2,)</f>
        <v>Chụp cách điện đầu cực LA</v>
      </c>
      <c r="G1167" s="88" t="str">
        <f>VLOOKUP($B1167,[1]DG!A:D,[1]DG!$D$2,)</f>
        <v>cái</v>
      </c>
      <c r="H1167" s="145"/>
      <c r="I1167" s="91">
        <f t="shared" si="52"/>
        <v>0</v>
      </c>
      <c r="J1167" s="146"/>
      <c r="K1167" s="146"/>
      <c r="L1167" s="117"/>
      <c r="M1167" s="56">
        <v>160</v>
      </c>
    </row>
    <row r="1168" spans="1:13" s="51" customFormat="1" ht="25.2" hidden="1" customHeight="1">
      <c r="A1168" s="68">
        <f t="shared" si="51"/>
        <v>0</v>
      </c>
      <c r="B1168" s="86" t="s">
        <v>148</v>
      </c>
      <c r="C1168" s="86"/>
      <c r="D1168" s="87"/>
      <c r="E1168" s="88">
        <f>VLOOKUP($B1168,[1]DG!A:D,[1]DG!$B$2,)</f>
        <v>0</v>
      </c>
      <c r="F1168" s="89" t="str">
        <f>VLOOKUP($B1168,[1]DG!A:D,[1]DG!$C$2,)&amp;":"</f>
        <v>Băng keo cách điện:</v>
      </c>
      <c r="G1168" s="88" t="str">
        <f>VLOOKUP($B1168,[1]DG!A:D,[1]DG!$D$2,)</f>
        <v>cuộn</v>
      </c>
      <c r="H1168" s="145">
        <f>H1144*M2*2</f>
        <v>0</v>
      </c>
      <c r="I1168" s="91">
        <f t="shared" si="52"/>
        <v>0</v>
      </c>
      <c r="J1168" s="146"/>
      <c r="K1168" s="146"/>
      <c r="L1168" s="96"/>
      <c r="M1168" s="56">
        <v>160</v>
      </c>
    </row>
    <row r="1169" spans="1:13" s="51" customFormat="1" ht="25.2" hidden="1" customHeight="1">
      <c r="A1169" s="68">
        <f t="shared" si="51"/>
        <v>0</v>
      </c>
      <c r="B1169" s="86" t="s">
        <v>410</v>
      </c>
      <c r="C1169" s="86"/>
      <c r="D1169" s="87"/>
      <c r="E1169" s="88" t="str">
        <f>VLOOKUP($B1169,[1]DG!A:D,[1]DG!$B$2,)</f>
        <v>05.6101</v>
      </c>
      <c r="F1169" s="89" t="str">
        <f>VLOOKUP($B1169,[1]DG!A:D,[1]DG!$C$2,)&amp;":"</f>
        <v>Lắp Giá đỡ cáp:</v>
      </c>
      <c r="G1169" s="88" t="str">
        <f>VLOOKUP($B1169,[1]DG!A:D,[1]DG!$D$2,)</f>
        <v>bộ</v>
      </c>
      <c r="H1169" s="145"/>
      <c r="I1169" s="91">
        <f t="shared" si="52"/>
        <v>0</v>
      </c>
      <c r="J1169" s="146"/>
      <c r="K1169" s="146"/>
      <c r="L1169" s="96"/>
      <c r="M1169" s="56">
        <v>160</v>
      </c>
    </row>
    <row r="1170" spans="1:13" s="51" customFormat="1" ht="25.2" hidden="1" customHeight="1">
      <c r="A1170" s="68">
        <f t="shared" si="51"/>
        <v>0</v>
      </c>
      <c r="B1170" s="86" t="s">
        <v>438</v>
      </c>
      <c r="C1170" s="86"/>
      <c r="D1170" s="87"/>
      <c r="E1170" s="88" t="str">
        <f>VLOOKUP($B1170,[1]DG!A:D,[1]DG!$B$2,)</f>
        <v>04.4203</v>
      </c>
      <c r="F1170" s="89" t="str">
        <f>VLOOKUP($B1170,[1]DG!A:D,[1]DG!$C$2,)&amp;":"</f>
        <v>Lắp cáp đồng xuống thiết bị D &gt; 150mm2:</v>
      </c>
      <c r="G1170" s="88" t="str">
        <f>VLOOKUP($B1170,[1]DG!A:D,[1]DG!$D$2,)</f>
        <v>m</v>
      </c>
      <c r="H1170" s="145"/>
      <c r="I1170" s="91">
        <f t="shared" si="52"/>
        <v>0</v>
      </c>
      <c r="J1170" s="146"/>
      <c r="K1170" s="146"/>
      <c r="L1170" s="96"/>
      <c r="M1170" s="56">
        <v>160</v>
      </c>
    </row>
    <row r="1171" spans="1:13" s="51" customFormat="1" ht="25.2" hidden="1" customHeight="1">
      <c r="A1171" s="68">
        <f t="shared" si="51"/>
        <v>0</v>
      </c>
      <c r="B1171" s="86" t="s">
        <v>326</v>
      </c>
      <c r="C1171" s="86"/>
      <c r="D1171" s="87"/>
      <c r="E1171" s="88" t="str">
        <f>VLOOKUP($B1171,[1]DG!A:D,[1]DG!$B$2,)</f>
        <v>04.4202</v>
      </c>
      <c r="F1171" s="195" t="str">
        <f>VLOOKUP($B1171,[1]DG!A:D,[1]DG!$C$2,)&amp;":"</f>
        <v>Lắp cáp đồng xuống thiết bị D ≤ 150mm2:</v>
      </c>
      <c r="G1171" s="88" t="str">
        <f>VLOOKUP($B1171,[1]DG!A:D,[1]DG!$D$2,)</f>
        <v>m</v>
      </c>
      <c r="H1171" s="145">
        <f>H1146+H1147</f>
        <v>34</v>
      </c>
      <c r="I1171" s="91">
        <f t="shared" si="52"/>
        <v>0</v>
      </c>
      <c r="J1171" s="146"/>
      <c r="K1171" s="146"/>
      <c r="L1171" s="117"/>
      <c r="M1171" s="56">
        <v>160</v>
      </c>
    </row>
    <row r="1172" spans="1:13" s="51" customFormat="1" ht="25.2" hidden="1" customHeight="1">
      <c r="A1172" s="68">
        <f t="shared" si="51"/>
        <v>0</v>
      </c>
      <c r="B1172" s="86" t="s">
        <v>439</v>
      </c>
      <c r="C1172" s="86"/>
      <c r="D1172" s="87"/>
      <c r="E1172" s="88">
        <f>VLOOKUP($B1172,[1]DG!A:D,[1]DG!$B$2,)</f>
        <v>0</v>
      </c>
      <c r="F1172" s="89" t="str">
        <f>VLOOKUP($B1172,[1]DG!A:D,[1]DG!$C$2,)&amp;":"</f>
        <v>Bộ móng tủ bù 0,2x0,2x0,4x4móng:</v>
      </c>
      <c r="G1172" s="88" t="str">
        <f>VLOOKUP($B1172,[1]DG!A:D,[1]DG!$D$2,)</f>
        <v>trọn bộ</v>
      </c>
      <c r="H1172" s="145">
        <f>H1144*1*0</f>
        <v>0</v>
      </c>
      <c r="I1172" s="91">
        <f t="shared" si="52"/>
        <v>0</v>
      </c>
      <c r="J1172" s="146"/>
      <c r="K1172" s="146"/>
      <c r="L1172" s="117"/>
      <c r="M1172" s="56">
        <v>160</v>
      </c>
    </row>
    <row r="1173" spans="1:13" s="51" customFormat="1" ht="25.2" hidden="1" customHeight="1">
      <c r="A1173" s="68">
        <f t="shared" si="51"/>
        <v>0</v>
      </c>
      <c r="B1173" s="86"/>
      <c r="C1173" s="86"/>
      <c r="D1173" s="220">
        <f>IF(H1173&gt;0,D1144+1,D1144)</f>
        <v>0</v>
      </c>
      <c r="E1173" s="238"/>
      <c r="F1173" s="247" t="s">
        <v>327</v>
      </c>
      <c r="G1173" s="220" t="s">
        <v>67</v>
      </c>
      <c r="H1173" s="337"/>
      <c r="I1173" s="91">
        <f t="shared" si="52"/>
        <v>0</v>
      </c>
      <c r="J1173" s="146"/>
      <c r="K1173" s="146"/>
      <c r="L1173" s="96"/>
      <c r="M1173" s="56">
        <v>160</v>
      </c>
    </row>
    <row r="1174" spans="1:13" s="147" customFormat="1" ht="25.2" hidden="1" customHeight="1">
      <c r="A1174" s="68">
        <f>IF(A1173&gt;0,1,0)</f>
        <v>0</v>
      </c>
      <c r="B1174" s="338"/>
      <c r="C1174" s="338"/>
      <c r="D1174" s="111"/>
      <c r="E1174" s="242"/>
      <c r="F1174" s="248" t="s">
        <v>68</v>
      </c>
      <c r="G1174" s="111"/>
      <c r="H1174" s="244"/>
      <c r="I1174" s="91">
        <f t="shared" si="52"/>
        <v>0</v>
      </c>
      <c r="J1174" s="146"/>
      <c r="K1174" s="146"/>
      <c r="L1174" s="96"/>
      <c r="M1174" s="56">
        <v>160</v>
      </c>
    </row>
    <row r="1175" spans="1:13" s="51" customFormat="1" ht="25.2" hidden="1" customHeight="1">
      <c r="A1175" s="68">
        <f t="shared" si="51"/>
        <v>0</v>
      </c>
      <c r="B1175" s="69" t="s">
        <v>273</v>
      </c>
      <c r="C1175" s="69"/>
      <c r="D1175" s="96"/>
      <c r="E1175" s="88" t="str">
        <f>VLOOKUP($B1175,[1]DG!A:D,[1]DG!$B$2,)</f>
        <v>03.1401</v>
      </c>
      <c r="F1175" s="92" t="str">
        <f>VLOOKUP($B1175,[1]DG!A:D,[1]DG!$C$2,)</f>
        <v xml:space="preserve">Cáp CVV 4x2,5mm2  </v>
      </c>
      <c r="G1175" s="339" t="str">
        <f>VLOOKUP($B1175,[1]DG!A:D,[1]DG!$D$2,)</f>
        <v>mét</v>
      </c>
      <c r="H1175" s="145">
        <f>H1173*26</f>
        <v>0</v>
      </c>
      <c r="I1175" s="91">
        <f t="shared" si="52"/>
        <v>0</v>
      </c>
      <c r="J1175" s="95"/>
      <c r="K1175" s="95"/>
      <c r="L1175" s="96"/>
      <c r="M1175" s="56">
        <v>160</v>
      </c>
    </row>
    <row r="1176" spans="1:13" s="51" customFormat="1" ht="25.2" hidden="1" customHeight="1">
      <c r="A1176" s="68">
        <f t="shared" si="51"/>
        <v>0</v>
      </c>
      <c r="B1176" s="69" t="s">
        <v>440</v>
      </c>
      <c r="C1176" s="69"/>
      <c r="D1176" s="96"/>
      <c r="E1176" s="88" t="str">
        <f>VLOOKUP($B1176,[1]DG!A:D,[1]DG!$B$2,)</f>
        <v>05.6101</v>
      </c>
      <c r="F1176" s="92" t="str">
        <f>VLOOKUP($B1176,[1]DG!A:D,[1]DG!$C$2,)</f>
        <v>Xà kẹp TU, TI U50x32x4 350</v>
      </c>
      <c r="G1176" s="339" t="str">
        <f>VLOOKUP($B1176,[1]DG!A:D,[1]DG!$D$2,)</f>
        <v>Bộ</v>
      </c>
      <c r="H1176" s="145">
        <f>H1173*24</f>
        <v>0</v>
      </c>
      <c r="I1176" s="91">
        <f t="shared" si="52"/>
        <v>0</v>
      </c>
      <c r="J1176" s="95"/>
      <c r="K1176" s="95"/>
      <c r="L1176" s="96"/>
      <c r="M1176" s="56">
        <v>160</v>
      </c>
    </row>
    <row r="1177" spans="1:13" s="51" customFormat="1" ht="25.2" hidden="1" customHeight="1">
      <c r="A1177" s="68">
        <f t="shared" si="51"/>
        <v>0</v>
      </c>
      <c r="B1177" s="69" t="s">
        <v>441</v>
      </c>
      <c r="C1177" s="69"/>
      <c r="D1177" s="87"/>
      <c r="E1177" s="88" t="str">
        <f>VLOOKUP($B1177,[1]DG!A:D,[1]DG!$B$2,)</f>
        <v>03.4001</v>
      </c>
      <c r="F1177" s="92" t="str">
        <f>VLOOKUP($B1177,[1]DG!A:D,[1]DG!$C$2,)</f>
        <v xml:space="preserve">Đầu cosse ép Cu 2,5mm2 + bao PVC </v>
      </c>
      <c r="G1177" s="339" t="str">
        <f>VLOOKUP($B1177,[1]DG!A:D,[1]DG!$D$2,)</f>
        <v>cái</v>
      </c>
      <c r="H1177" s="145">
        <f>H1173*16</f>
        <v>0</v>
      </c>
      <c r="I1177" s="91">
        <f t="shared" si="52"/>
        <v>0</v>
      </c>
      <c r="J1177" s="95"/>
      <c r="K1177" s="95"/>
      <c r="L1177" s="96"/>
      <c r="M1177" s="56">
        <v>160</v>
      </c>
    </row>
    <row r="1178" spans="1:13" s="51" customFormat="1" ht="25.2" hidden="1" customHeight="1">
      <c r="A1178" s="68">
        <f t="shared" si="51"/>
        <v>0</v>
      </c>
      <c r="B1178" s="69" t="s">
        <v>442</v>
      </c>
      <c r="C1178" s="69"/>
      <c r="D1178" s="87"/>
      <c r="E1178" s="88">
        <f>VLOOKUP($B1178,[1]DG!A:D,[1]DG!$B$2,)</f>
        <v>0</v>
      </c>
      <c r="F1178" s="92" t="str">
        <f>VLOOKUP($B1178,[1]DG!A:D,[1]DG!$C$2,)</f>
        <v>Dây điện đôi 16/10</v>
      </c>
      <c r="G1178" s="339" t="str">
        <f>VLOOKUP($B1178,[1]DG!A:D,[1]DG!$D$2,)</f>
        <v>mét</v>
      </c>
      <c r="H1178" s="145">
        <f>2*H1173</f>
        <v>0</v>
      </c>
      <c r="I1178" s="91">
        <f t="shared" si="52"/>
        <v>0</v>
      </c>
      <c r="J1178" s="95"/>
      <c r="K1178" s="95"/>
      <c r="L1178" s="96"/>
      <c r="M1178" s="56">
        <v>160</v>
      </c>
    </row>
    <row r="1179" spans="1:13" s="51" customFormat="1" ht="25.2" hidden="1" customHeight="1">
      <c r="A1179" s="68">
        <f t="shared" si="51"/>
        <v>0</v>
      </c>
      <c r="B1179" s="69" t="s">
        <v>85</v>
      </c>
      <c r="C1179" s="69"/>
      <c r="D1179" s="87"/>
      <c r="E1179" s="88">
        <f>VLOOKUP($B1179,[1]DG!A:D,[1]DG!$B$2,)</f>
        <v>0</v>
      </c>
      <c r="F1179" s="92" t="str">
        <f>VLOOKUP($B1179,[1]DG!A:D,[1]DG!$C$2,)&amp;" (ñaáu TU )"</f>
        <v>Kẹp ép cỡ dây 25mm2 (ñaáu TU )</v>
      </c>
      <c r="G1179" s="339" t="str">
        <f>VLOOKUP($B1179,[1]DG!A:D,[1]DG!$D$2,)</f>
        <v>cái</v>
      </c>
      <c r="H1179" s="145">
        <f>+H1173*3</f>
        <v>0</v>
      </c>
      <c r="I1179" s="91">
        <f t="shared" si="52"/>
        <v>0</v>
      </c>
      <c r="J1179" s="95"/>
      <c r="K1179" s="95"/>
      <c r="L1179" s="96"/>
      <c r="M1179" s="56">
        <v>160</v>
      </c>
    </row>
    <row r="1180" spans="1:13" s="51" customFormat="1" ht="25.2" hidden="1" customHeight="1">
      <c r="A1180" s="68">
        <f t="shared" si="51"/>
        <v>0</v>
      </c>
      <c r="B1180" s="69" t="s">
        <v>426</v>
      </c>
      <c r="C1180" s="69"/>
      <c r="D1180" s="87"/>
      <c r="E1180" s="88" t="str">
        <f>VLOOKUP($B1180,[1]DG!A:D,[1]DG!$B$2,)</f>
        <v>07.2403</v>
      </c>
      <c r="F1180" s="92" t="str">
        <f>VLOOKUP($B1180,[1]DG!A:D,[1]DG!$C$2,)</f>
        <v>Ống PVC D42x2,1mm</v>
      </c>
      <c r="G1180" s="339" t="str">
        <f>VLOOKUP($B1180,[1]DG!A:D,[1]DG!$D$2,)</f>
        <v>m</v>
      </c>
      <c r="H1180" s="145">
        <f>H1173*16</f>
        <v>0</v>
      </c>
      <c r="I1180" s="91">
        <f t="shared" si="52"/>
        <v>0</v>
      </c>
      <c r="J1180" s="95"/>
      <c r="K1180" s="95"/>
      <c r="L1180" s="96"/>
      <c r="M1180" s="56">
        <v>160</v>
      </c>
    </row>
    <row r="1181" spans="1:13" s="51" customFormat="1" ht="25.2" hidden="1" customHeight="1">
      <c r="A1181" s="68">
        <f t="shared" ref="A1181:A1244" si="53">IF(I1181&gt;0,1,0)</f>
        <v>0</v>
      </c>
      <c r="B1181" s="86" t="s">
        <v>443</v>
      </c>
      <c r="C1181" s="86"/>
      <c r="D1181" s="87"/>
      <c r="E1181" s="88" t="str">
        <f>VLOOKUP($B1181,[1]DG!A:D,[1]DG!$B$2,)</f>
        <v>06.3231</v>
      </c>
      <c r="F1181" s="92" t="str">
        <f>VLOOKUP($B1181,[1]DG!A:D,[1]DG!$C$2,)</f>
        <v>Cổ dê giữ ống PVC D42</v>
      </c>
      <c r="G1181" s="339" t="str">
        <f>VLOOKUP($B1181,[1]DG!A:D,[1]DG!$D$2,)</f>
        <v>bộ</v>
      </c>
      <c r="H1181" s="145">
        <f>H1173*4</f>
        <v>0</v>
      </c>
      <c r="I1181" s="91">
        <f t="shared" si="52"/>
        <v>0</v>
      </c>
      <c r="J1181" s="95"/>
      <c r="K1181" s="95"/>
      <c r="L1181" s="96"/>
      <c r="M1181" s="56">
        <v>160</v>
      </c>
    </row>
    <row r="1182" spans="1:13" s="51" customFormat="1" ht="25.2" hidden="1" customHeight="1">
      <c r="A1182" s="68">
        <f t="shared" si="53"/>
        <v>0</v>
      </c>
      <c r="B1182" s="69" t="s">
        <v>444</v>
      </c>
      <c r="C1182" s="69"/>
      <c r="D1182" s="87"/>
      <c r="E1182" s="88">
        <f>VLOOKUP($B1182,[1]DG!A:D,[1]DG!$B$2,)</f>
        <v>0</v>
      </c>
      <c r="F1182" s="92" t="str">
        <f>VLOOKUP($B1182,[1]DG!A:D,[1]DG!$C$2,)</f>
        <v>Co 90 độ PVC 42</v>
      </c>
      <c r="G1182" s="339" t="str">
        <f>VLOOKUP($B1182,[1]DG!A:D,[1]DG!$D$2,)</f>
        <v>cái</v>
      </c>
      <c r="H1182" s="145">
        <f>H1173*5</f>
        <v>0</v>
      </c>
      <c r="I1182" s="91">
        <f t="shared" si="52"/>
        <v>0</v>
      </c>
      <c r="J1182" s="95"/>
      <c r="K1182" s="95"/>
      <c r="L1182" s="96"/>
      <c r="M1182" s="56">
        <v>160</v>
      </c>
    </row>
    <row r="1183" spans="1:13" s="51" customFormat="1" ht="25.2" hidden="1" customHeight="1">
      <c r="A1183" s="68">
        <f t="shared" si="53"/>
        <v>0</v>
      </c>
      <c r="B1183" s="69" t="s">
        <v>427</v>
      </c>
      <c r="C1183" s="69"/>
      <c r="D1183" s="87"/>
      <c r="E1183" s="88">
        <f>VLOOKUP($B1183,[1]DG!A:D,[1]DG!$B$2,)</f>
        <v>0</v>
      </c>
      <c r="F1183" s="92" t="str">
        <f>VLOOKUP($B1183,[1]DG!A:D,[1]DG!$C$2,)</f>
        <v>Co chữ T ống PVC 42</v>
      </c>
      <c r="G1183" s="339" t="str">
        <f>VLOOKUP($B1183,[1]DG!A:D,[1]DG!$D$2,)</f>
        <v>cái</v>
      </c>
      <c r="H1183" s="145">
        <f>H1173*5</f>
        <v>0</v>
      </c>
      <c r="I1183" s="91">
        <f t="shared" si="52"/>
        <v>0</v>
      </c>
      <c r="J1183" s="95"/>
      <c r="K1183" s="95"/>
      <c r="L1183" s="96"/>
      <c r="M1183" s="56">
        <v>160</v>
      </c>
    </row>
    <row r="1184" spans="1:13" s="51" customFormat="1" ht="25.2" hidden="1" customHeight="1">
      <c r="A1184" s="68">
        <f t="shared" si="53"/>
        <v>0</v>
      </c>
      <c r="B1184" s="69" t="s">
        <v>445</v>
      </c>
      <c r="C1184" s="69"/>
      <c r="D1184" s="87"/>
      <c r="E1184" s="88">
        <f>VLOOKUP($B1184,[1]DG!A:D,[1]DG!$B$2,)</f>
        <v>0</v>
      </c>
      <c r="F1184" s="92" t="str">
        <f>VLOOKUP($B1184,[1]DG!A:D,[1]DG!$C$2,)</f>
        <v>Nối thẳng ống PVC 42</v>
      </c>
      <c r="G1184" s="339" t="str">
        <f>VLOOKUP($B1184,[1]DG!A:D,[1]DG!$D$2,)</f>
        <v>cái</v>
      </c>
      <c r="H1184" s="145">
        <f>H1173</f>
        <v>0</v>
      </c>
      <c r="I1184" s="91">
        <f t="shared" si="52"/>
        <v>0</v>
      </c>
      <c r="J1184" s="95"/>
      <c r="K1184" s="95"/>
      <c r="L1184" s="96"/>
      <c r="M1184" s="56">
        <v>160</v>
      </c>
    </row>
    <row r="1185" spans="1:13" s="51" customFormat="1" ht="25.2" hidden="1" customHeight="1">
      <c r="A1185" s="68">
        <f t="shared" si="53"/>
        <v>0</v>
      </c>
      <c r="B1185" s="69" t="s">
        <v>98</v>
      </c>
      <c r="C1185" s="69"/>
      <c r="D1185" s="87"/>
      <c r="E1185" s="88">
        <f>VLOOKUP($B1185,[1]DG!A:D,[1]DG!$B$2,)</f>
        <v>0</v>
      </c>
      <c r="F1185" s="92" t="str">
        <f>VLOOKUP($B1185,[1]DG!A:D,[1]DG!$C$2,)&amp;" ñaáu TU"</f>
        <v>Cáp 24KV CX-25mm2 ñaáu TU</v>
      </c>
      <c r="G1185" s="339" t="str">
        <f>VLOOKUP($B1185,[1]DG!A:D,[1]DG!$D$2,)</f>
        <v>mét</v>
      </c>
      <c r="H1185" s="145">
        <f>H1173*2.5*3*0</f>
        <v>0</v>
      </c>
      <c r="I1185" s="91">
        <f t="shared" si="52"/>
        <v>0</v>
      </c>
      <c r="J1185" s="95"/>
      <c r="K1185" s="95"/>
      <c r="L1185" s="96"/>
      <c r="M1185" s="56">
        <v>160</v>
      </c>
    </row>
    <row r="1186" spans="1:13" s="51" customFormat="1" ht="25.2" hidden="1" customHeight="1">
      <c r="A1186" s="68">
        <f t="shared" si="53"/>
        <v>0</v>
      </c>
      <c r="B1186" s="69" t="s">
        <v>446</v>
      </c>
      <c r="C1186" s="69"/>
      <c r="D1186" s="87"/>
      <c r="E1186" s="88">
        <f>VLOOKUP($B1186,[1]DG!A:D,[1]DG!$B$2,)</f>
        <v>0</v>
      </c>
      <c r="F1186" s="92" t="str">
        <f>VLOOKUP($B1186,[1]DG!A:D,[1]DG!$C$2,)</f>
        <v>Keo dán ống PVC (500gr)</v>
      </c>
      <c r="G1186" s="339" t="str">
        <f>VLOOKUP($B1186,[1]DG!A:D,[1]DG!$D$2,)</f>
        <v>lon</v>
      </c>
      <c r="H1186" s="145">
        <f>H1173</f>
        <v>0</v>
      </c>
      <c r="I1186" s="91">
        <f t="shared" si="52"/>
        <v>0</v>
      </c>
      <c r="J1186" s="95"/>
      <c r="K1186" s="95"/>
      <c r="L1186" s="96"/>
      <c r="M1186" s="56">
        <v>160</v>
      </c>
    </row>
    <row r="1187" spans="1:13" s="51" customFormat="1" ht="25.2" hidden="1" customHeight="1">
      <c r="A1187" s="68">
        <f t="shared" si="53"/>
        <v>0</v>
      </c>
      <c r="B1187" s="86" t="s">
        <v>148</v>
      </c>
      <c r="C1187" s="86"/>
      <c r="D1187" s="87"/>
      <c r="E1187" s="88">
        <f>VLOOKUP($B1187,[1]DG!A:D,[1]DG!$B$2,)</f>
        <v>0</v>
      </c>
      <c r="F1187" s="92" t="str">
        <f>VLOOKUP($B1187,[1]DG!A:D,[1]DG!$C$2,)</f>
        <v>Băng keo cách điện</v>
      </c>
      <c r="G1187" s="339" t="str">
        <f>VLOOKUP($B1187,[1]DG!A:D,[1]DG!$D$2,)</f>
        <v>cuộn</v>
      </c>
      <c r="H1187" s="145">
        <f>H1173</f>
        <v>0</v>
      </c>
      <c r="I1187" s="91">
        <f t="shared" si="52"/>
        <v>0</v>
      </c>
      <c r="J1187" s="146"/>
      <c r="K1187" s="146"/>
      <c r="L1187" s="96"/>
      <c r="M1187" s="56">
        <v>160</v>
      </c>
    </row>
    <row r="1188" spans="1:13" s="51" customFormat="1" ht="25.2" hidden="1" customHeight="1">
      <c r="A1188" s="68">
        <f t="shared" si="53"/>
        <v>0</v>
      </c>
      <c r="B1188" s="69" t="s">
        <v>428</v>
      </c>
      <c r="C1188" s="69"/>
      <c r="D1188" s="87"/>
      <c r="E1188" s="88">
        <f>VLOOKUP($B1188,[1]DG!A:D,[1]DG!$B$2,)</f>
        <v>0</v>
      </c>
      <c r="F1188" s="92" t="str">
        <f>VLOOKUP($B1188,[1]DG!A:D,[1]DG!$C$2,)</f>
        <v>Khâu ven răng trong D42</v>
      </c>
      <c r="G1188" s="339" t="str">
        <f>VLOOKUP($B1188,[1]DG!A:D,[1]DG!$D$2,)</f>
        <v>cái</v>
      </c>
      <c r="H1188" s="145">
        <f>H1173</f>
        <v>0</v>
      </c>
      <c r="I1188" s="91">
        <f t="shared" si="52"/>
        <v>0</v>
      </c>
      <c r="J1188" s="146"/>
      <c r="K1188" s="146"/>
      <c r="L1188" s="96"/>
      <c r="M1188" s="56">
        <v>160</v>
      </c>
    </row>
    <row r="1189" spans="1:13" s="51" customFormat="1" ht="25.2" hidden="1" customHeight="1">
      <c r="A1189" s="68">
        <f t="shared" si="53"/>
        <v>0</v>
      </c>
      <c r="B1189" s="86" t="s">
        <v>429</v>
      </c>
      <c r="C1189" s="86"/>
      <c r="D1189" s="87"/>
      <c r="E1189" s="88">
        <f>VLOOKUP($B1189,[1]DG!A:D,[1]DG!$B$2,)</f>
        <v>0</v>
      </c>
      <c r="F1189" s="92" t="str">
        <f>VLOOKUP($B1189,[1]DG!A:D,[1]DG!$C$2,)</f>
        <v>Khâu ven răng ngoài D42</v>
      </c>
      <c r="G1189" s="339" t="str">
        <f>VLOOKUP($B1189,[1]DG!A:D,[1]DG!$D$2,)</f>
        <v>cái</v>
      </c>
      <c r="H1189" s="145">
        <f>H1173</f>
        <v>0</v>
      </c>
      <c r="I1189" s="91">
        <f t="shared" si="52"/>
        <v>0</v>
      </c>
      <c r="J1189" s="146"/>
      <c r="K1189" s="146"/>
      <c r="L1189" s="96"/>
      <c r="M1189" s="56">
        <v>160</v>
      </c>
    </row>
    <row r="1190" spans="1:13" s="51" customFormat="1" ht="25.2" hidden="1" customHeight="1">
      <c r="A1190" s="68">
        <f t="shared" si="53"/>
        <v>0</v>
      </c>
      <c r="B1190" s="86" t="s">
        <v>317</v>
      </c>
      <c r="C1190" s="86"/>
      <c r="D1190" s="87"/>
      <c r="E1190" s="88" t="str">
        <f>VLOOKUP($B1190,[1]DG!A:D,[1]DG!$B$2,)</f>
        <v>06.3231</v>
      </c>
      <c r="F1190" s="92" t="str">
        <f>VLOOKUP($B1190,[1]DG!A:D,[1]DG!$C$2,)</f>
        <v>Cổ dê CDĐKĐT( bắt thùng điện kế)</v>
      </c>
      <c r="G1190" s="339" t="str">
        <f>VLOOKUP($B1190,[1]DG!A:D,[1]DG!$D$2,)</f>
        <v>bộ</v>
      </c>
      <c r="H1190" s="340">
        <f>H1173*2*0</f>
        <v>0</v>
      </c>
      <c r="I1190" s="91">
        <f t="shared" si="52"/>
        <v>0</v>
      </c>
      <c r="J1190" s="146"/>
      <c r="K1190" s="146"/>
      <c r="L1190" s="117"/>
      <c r="M1190" s="56">
        <v>160</v>
      </c>
    </row>
    <row r="1191" spans="1:13" s="51" customFormat="1" ht="25.2" hidden="1" customHeight="1">
      <c r="A1191" s="68">
        <f t="shared" si="53"/>
        <v>0</v>
      </c>
      <c r="B1191" s="86" t="s">
        <v>447</v>
      </c>
      <c r="C1191" s="86"/>
      <c r="D1191" s="87"/>
      <c r="E1191" s="88" t="str">
        <f>VLOOKUP($B1191,[1]DG!A:D,[1]DG!$B$2,)</f>
        <v>05.1101</v>
      </c>
      <c r="F1191" s="92" t="str">
        <f>VLOOKUP($B1191,[1]DG!A:D,[1]DG!$C$2,)</f>
        <v>Thùng điện kế 450x300x200mm đo đếm trung thế</v>
      </c>
      <c r="G1191" s="339" t="str">
        <f>VLOOKUP($B1191,[1]DG!A:D,[1]DG!$D$2,)</f>
        <v>cái</v>
      </c>
      <c r="H1191" s="145">
        <f>H1173*0</f>
        <v>0</v>
      </c>
      <c r="I1191" s="91">
        <f t="shared" si="52"/>
        <v>0</v>
      </c>
      <c r="J1191" s="146"/>
      <c r="K1191" s="146"/>
      <c r="L1191" s="96"/>
      <c r="M1191" s="56">
        <v>160</v>
      </c>
    </row>
    <row r="1192" spans="1:13" s="51" customFormat="1" ht="25.2" hidden="1" customHeight="1">
      <c r="A1192" s="68">
        <f t="shared" si="53"/>
        <v>0</v>
      </c>
      <c r="B1192" s="86" t="s">
        <v>436</v>
      </c>
      <c r="C1192" s="86"/>
      <c r="D1192" s="87"/>
      <c r="E1192" s="88">
        <f>VLOOKUP($B1192,[1]DG!A:D,[1]DG!$B$2,)</f>
        <v>0</v>
      </c>
      <c r="F1192" s="92" t="str">
        <f>VLOOKUP($B1192,[1]DG!A:D,[1]DG!$C$2,)</f>
        <v>Keo silicon bít miệng ống</v>
      </c>
      <c r="G1192" s="339" t="str">
        <f>VLOOKUP($B1192,[1]DG!A:D,[1]DG!$D$2,)</f>
        <v>ống</v>
      </c>
      <c r="H1192" s="145">
        <f>H1173</f>
        <v>0</v>
      </c>
      <c r="I1192" s="91">
        <f t="shared" si="52"/>
        <v>0</v>
      </c>
      <c r="J1192" s="146"/>
      <c r="K1192" s="146"/>
      <c r="L1192" s="96"/>
      <c r="M1192" s="56">
        <v>160</v>
      </c>
    </row>
    <row r="1193" spans="1:13" s="51" customFormat="1" ht="25.2" hidden="1" customHeight="1">
      <c r="A1193" s="68">
        <f t="shared" si="53"/>
        <v>0</v>
      </c>
      <c r="B1193" s="86" t="s">
        <v>448</v>
      </c>
      <c r="C1193" s="86"/>
      <c r="D1193" s="87"/>
      <c r="E1193" s="88">
        <f>VLOOKUP($B1193,[1]DG!A:D,[1]DG!$B$2,)</f>
        <v>0</v>
      </c>
      <c r="F1193" s="92" t="str">
        <f>VLOOKUP($B1193,[1]DG!A:D,[1]DG!$C$2,)</f>
        <v>Dây đồng trần mềm dẹt</v>
      </c>
      <c r="G1193" s="339" t="str">
        <f>VLOOKUP($B1193,[1]DG!A:D,[1]DG!$D$2,)</f>
        <v>mét</v>
      </c>
      <c r="H1193" s="145">
        <f>H1173*4</f>
        <v>0</v>
      </c>
      <c r="I1193" s="91">
        <f t="shared" si="52"/>
        <v>0</v>
      </c>
      <c r="J1193" s="146"/>
      <c r="K1193" s="146"/>
      <c r="L1193" s="96"/>
      <c r="M1193" s="56">
        <v>160</v>
      </c>
    </row>
    <row r="1194" spans="1:13" s="51" customFormat="1" ht="25.2" hidden="1" customHeight="1">
      <c r="A1194" s="68">
        <f t="shared" si="53"/>
        <v>0</v>
      </c>
      <c r="B1194" s="86" t="s">
        <v>449</v>
      </c>
      <c r="C1194" s="86"/>
      <c r="D1194" s="87"/>
      <c r="E1194" s="88" t="str">
        <f>VLOOKUP($B1194,[1]DG!A:D,[1]DG!$B$2,)</f>
        <v>06.3191</v>
      </c>
      <c r="F1194" s="92" t="str">
        <f>VLOOKUP($B1194,[1]DG!A:D,[1]DG!$C$2,)</f>
        <v>Bảng tên trạm, bảng báo nguy hiểm + đinh vít</v>
      </c>
      <c r="G1194" s="339" t="str">
        <f>VLOOKUP($B1194,[1]DG!A:D,[1]DG!$D$2,)</f>
        <v>bộ</v>
      </c>
      <c r="H1194" s="145">
        <f>H1173</f>
        <v>0</v>
      </c>
      <c r="I1194" s="91">
        <f t="shared" si="52"/>
        <v>0</v>
      </c>
      <c r="J1194" s="146"/>
      <c r="K1194" s="146"/>
      <c r="L1194" s="96"/>
      <c r="M1194" s="56">
        <v>160</v>
      </c>
    </row>
    <row r="1195" spans="1:13" s="51" customFormat="1" ht="25.2" hidden="1" customHeight="1">
      <c r="A1195" s="68">
        <f t="shared" si="53"/>
        <v>0</v>
      </c>
      <c r="B1195" s="86" t="s">
        <v>157</v>
      </c>
      <c r="C1195" s="86"/>
      <c r="D1195" s="87"/>
      <c r="E1195" s="88">
        <f>VLOOKUP($B1195,[1]DG!A:D,[1]DG!$B$2,)</f>
        <v>0</v>
      </c>
      <c r="F1195" s="92" t="str">
        <f>VLOOKUP($B1195,[1]DG!A:D,[1]DG!$C$2,)&amp;" baét thuøng ÑKÑT"</f>
        <v>Boulon 12x60+ 2 long đền vuông D14-50x50x3/Zn baét thuøng ÑKÑT</v>
      </c>
      <c r="G1195" s="339" t="str">
        <f>VLOOKUP($B1195,[1]DG!A:D,[1]DG!$D$2,)</f>
        <v>bộ</v>
      </c>
      <c r="H1195" s="145">
        <f>4*H1173*0</f>
        <v>0</v>
      </c>
      <c r="I1195" s="91">
        <f t="shared" si="52"/>
        <v>0</v>
      </c>
      <c r="J1195" s="146"/>
      <c r="K1195" s="146"/>
      <c r="L1195" s="96"/>
      <c r="M1195" s="56">
        <v>160</v>
      </c>
    </row>
    <row r="1196" spans="1:13" s="51" customFormat="1" ht="25.2" hidden="1" customHeight="1">
      <c r="A1196" s="68">
        <f t="shared" si="53"/>
        <v>0</v>
      </c>
      <c r="B1196" s="86"/>
      <c r="C1196" s="86"/>
      <c r="D1196" s="276"/>
      <c r="E1196" s="277"/>
      <c r="F1196" s="267" t="s">
        <v>450</v>
      </c>
      <c r="G1196" s="267"/>
      <c r="H1196" s="191"/>
      <c r="I1196" s="91">
        <f t="shared" si="52"/>
        <v>0</v>
      </c>
      <c r="J1196" s="267"/>
      <c r="K1196" s="267"/>
      <c r="L1196" s="133"/>
      <c r="M1196" s="56">
        <v>160</v>
      </c>
    </row>
    <row r="1197" spans="1:13" s="51" customFormat="1" ht="25.2" hidden="1" customHeight="1">
      <c r="A1197" s="68">
        <f t="shared" si="53"/>
        <v>0</v>
      </c>
      <c r="B1197" s="86" t="s">
        <v>451</v>
      </c>
      <c r="C1197" s="86"/>
      <c r="D1197" s="87"/>
      <c r="E1197" s="88" t="str">
        <f>VLOOKUP($B1197,[1]DG!A:D,[1]DG!$B$2,)</f>
        <v>02.5114</v>
      </c>
      <c r="F1197" s="92" t="s">
        <v>452</v>
      </c>
      <c r="G1197" s="339" t="str">
        <f>VLOOKUP($B1197,[1]DG!A:D,[1]DG!$D$2,)</f>
        <v>cái</v>
      </c>
      <c r="H1197" s="145"/>
      <c r="I1197" s="91">
        <f t="shared" si="52"/>
        <v>0</v>
      </c>
      <c r="J1197" s="146"/>
      <c r="K1197" s="146"/>
      <c r="L1197" s="96" t="s">
        <v>453</v>
      </c>
      <c r="M1197" s="56">
        <v>160</v>
      </c>
    </row>
    <row r="1198" spans="1:13" s="51" customFormat="1" ht="25.2" hidden="1" customHeight="1">
      <c r="A1198" s="68">
        <f t="shared" si="53"/>
        <v>0</v>
      </c>
      <c r="B1198" s="86" t="s">
        <v>454</v>
      </c>
      <c r="C1198" s="86"/>
      <c r="D1198" s="87"/>
      <c r="E1198" s="88" t="str">
        <f>VLOOKUP($B1198,[1]DG!A:D,[1]DG!$B$2,)</f>
        <v>05.6011</v>
      </c>
      <c r="F1198" s="92" t="s">
        <v>455</v>
      </c>
      <c r="G1198" s="339" t="str">
        <f>VLOOKUP($B1198,[1]DG!A:D,[1]DG!$D$2,)</f>
        <v>bộ</v>
      </c>
      <c r="H1198" s="145"/>
      <c r="I1198" s="91">
        <f t="shared" si="52"/>
        <v>0</v>
      </c>
      <c r="J1198" s="146"/>
      <c r="K1198" s="146"/>
      <c r="L1198" s="117"/>
      <c r="M1198" s="56">
        <v>160</v>
      </c>
    </row>
    <row r="1199" spans="1:13" s="51" customFormat="1" ht="25.2" hidden="1" customHeight="1">
      <c r="A1199" s="68">
        <f>IF(M1199=M23,1,0)</f>
        <v>0</v>
      </c>
      <c r="B1199" s="86"/>
      <c r="C1199" s="86"/>
      <c r="D1199" s="341"/>
      <c r="E1199" s="296"/>
      <c r="F1199" s="267"/>
      <c r="G1199" s="297"/>
      <c r="H1199" s="298"/>
      <c r="I1199" s="298">
        <f t="shared" si="52"/>
        <v>0</v>
      </c>
      <c r="J1199" s="342"/>
      <c r="K1199" s="343"/>
      <c r="L1199" s="100"/>
      <c r="M1199" s="56">
        <v>160</v>
      </c>
    </row>
    <row r="1200" spans="1:13" s="51" customFormat="1" ht="25.2" hidden="1" customHeight="1">
      <c r="A1200" s="68">
        <f t="shared" si="53"/>
        <v>0</v>
      </c>
      <c r="B1200" s="86"/>
      <c r="C1200" s="86"/>
      <c r="F1200" s="344"/>
      <c r="H1200" s="66"/>
      <c r="I1200" s="91">
        <f t="shared" si="52"/>
        <v>0</v>
      </c>
      <c r="M1200" s="56"/>
    </row>
    <row r="1201" spans="1:13" s="51" customFormat="1" ht="25.2" hidden="1" customHeight="1">
      <c r="A1201" s="68">
        <f t="shared" si="53"/>
        <v>0</v>
      </c>
      <c r="B1201" s="262"/>
      <c r="C1201" s="262"/>
      <c r="D1201" s="263" t="e">
        <f>"BAÛNG TOÅNG HÔÏP VAÄT LIEÄU, NHAÂN COÂNG, MAÙY THI COÂNG : "&amp;#REF!&amp;" TRAÏM 3P_250KVA"</f>
        <v>#REF!</v>
      </c>
      <c r="E1201" s="263"/>
      <c r="F1201" s="263"/>
      <c r="G1201" s="263"/>
      <c r="H1201" s="264"/>
      <c r="I1201" s="91">
        <f t="shared" si="52"/>
        <v>0</v>
      </c>
      <c r="J1201" s="345"/>
      <c r="K1201" s="345"/>
      <c r="L1201" s="346"/>
      <c r="M1201" s="56"/>
    </row>
    <row r="1202" spans="1:13" s="51" customFormat="1" ht="25.2" hidden="1" customHeight="1">
      <c r="A1202" s="68">
        <f t="shared" si="53"/>
        <v>0</v>
      </c>
      <c r="B1202" s="69"/>
      <c r="C1202" s="69"/>
      <c r="D1202" s="265"/>
      <c r="E1202" s="266"/>
      <c r="F1202" s="267" t="s">
        <v>53</v>
      </c>
      <c r="G1202" s="268"/>
      <c r="H1202" s="305"/>
      <c r="I1202" s="91">
        <f t="shared" si="52"/>
        <v>0</v>
      </c>
      <c r="J1202" s="268"/>
      <c r="K1202" s="268"/>
      <c r="L1202" s="100"/>
      <c r="M1202" s="56">
        <v>250</v>
      </c>
    </row>
    <row r="1203" spans="1:13" s="51" customFormat="1" ht="25.2" hidden="1" customHeight="1">
      <c r="A1203" s="68">
        <f t="shared" si="53"/>
        <v>0</v>
      </c>
      <c r="B1203" s="86" t="s">
        <v>456</v>
      </c>
      <c r="C1203" s="86"/>
      <c r="D1203" s="87">
        <f>IF(H1203&gt;0,1,0)</f>
        <v>0</v>
      </c>
      <c r="E1203" s="88" t="str">
        <f>VLOOKUP($B1203,[1]DG!A:D,[1]DG!$B$2,)</f>
        <v>01.1415</v>
      </c>
      <c r="F1203" s="89" t="str">
        <f>VLOOKUP($B1203,[1]DG!A:D,[1]DG!$C$2,)</f>
        <v>Máy biến áp 22/0,4kV- 250kVA</v>
      </c>
      <c r="G1203" s="88" t="str">
        <f>VLOOKUP($B1203,[1]DG!A:D,[1]DG!$D$2,)</f>
        <v>máy</v>
      </c>
      <c r="H1203" s="306">
        <f>L11</f>
        <v>0</v>
      </c>
      <c r="I1203" s="91">
        <f t="shared" si="52"/>
        <v>0</v>
      </c>
      <c r="J1203" s="92"/>
      <c r="K1203" s="92"/>
      <c r="L1203" s="307"/>
      <c r="M1203" s="56">
        <v>250</v>
      </c>
    </row>
    <row r="1204" spans="1:13" s="51" customFormat="1" ht="25.2" hidden="1" customHeight="1">
      <c r="A1204" s="68">
        <f t="shared" si="53"/>
        <v>0</v>
      </c>
      <c r="B1204" s="86" t="s">
        <v>56</v>
      </c>
      <c r="C1204" s="86"/>
      <c r="D1204" s="87">
        <f>IF(H1204&gt;0,D1203+1,D1203)</f>
        <v>0</v>
      </c>
      <c r="E1204" s="88" t="str">
        <f>VLOOKUP($B1204,[1]DG!A:D,[1]DG!$B$2,)</f>
        <v>02.3155</v>
      </c>
      <c r="F1204" s="89" t="str">
        <f>VLOOKUP($B1204,[1]DG!A:D,[1]DG!$C$2,)</f>
        <v>FCO 27kV - 100A</v>
      </c>
      <c r="G1204" s="88" t="str">
        <f>VLOOKUP($B1204,[1]DG!A:D,[1]DG!$D$2,)</f>
        <v>cái</v>
      </c>
      <c r="H1204" s="145"/>
      <c r="I1204" s="91">
        <f t="shared" si="52"/>
        <v>0</v>
      </c>
      <c r="J1204" s="146"/>
      <c r="K1204" s="146"/>
      <c r="L1204" s="96"/>
      <c r="M1204" s="56">
        <v>250</v>
      </c>
    </row>
    <row r="1205" spans="1:13" s="51" customFormat="1" ht="25.2" hidden="1" customHeight="1">
      <c r="A1205" s="68">
        <f t="shared" si="53"/>
        <v>0</v>
      </c>
      <c r="B1205" s="86" t="s">
        <v>457</v>
      </c>
      <c r="C1205" s="86"/>
      <c r="D1205" s="87">
        <f t="shared" ref="D1205:D1210" si="54">IF(H1205&gt;0,D1204+1,D1204)</f>
        <v>0</v>
      </c>
      <c r="E1205" s="88">
        <f>VLOOKUP($B1205,[1]DG!A:D,[1]DG!$B$2,)</f>
        <v>0</v>
      </c>
      <c r="F1205" s="89" t="str">
        <f>VLOOKUP($B1205,[1]DG!A:D,[1]DG!$C$2,)</f>
        <v>Dây chảy 10K</v>
      </c>
      <c r="G1205" s="88" t="str">
        <f>VLOOKUP($B1205,[1]DG!A:D,[1]DG!$D$2,)</f>
        <v>Sợi</v>
      </c>
      <c r="H1205" s="145">
        <f>H1204</f>
        <v>0</v>
      </c>
      <c r="I1205" s="91">
        <f t="shared" si="52"/>
        <v>0</v>
      </c>
      <c r="J1205" s="146"/>
      <c r="K1205" s="146"/>
      <c r="L1205" s="96"/>
      <c r="M1205" s="56">
        <v>250</v>
      </c>
    </row>
    <row r="1206" spans="1:13" s="51" customFormat="1" ht="25.2" hidden="1" customHeight="1">
      <c r="A1206" s="68">
        <f t="shared" si="53"/>
        <v>0</v>
      </c>
      <c r="B1206" s="69" t="s">
        <v>58</v>
      </c>
      <c r="C1206" s="69"/>
      <c r="D1206" s="87">
        <f t="shared" si="54"/>
        <v>0</v>
      </c>
      <c r="E1206" s="88" t="str">
        <f>VLOOKUP($B1206,[1]DG!A:D,[1]DG!$B$2,)</f>
        <v>02.5114</v>
      </c>
      <c r="F1206" s="89" t="str">
        <f>VLOOKUP($B1206,[1]DG!A:D,[1]DG!$C$2,)</f>
        <v>Chống sét van LA-18KV-10KA</v>
      </c>
      <c r="G1206" s="88" t="str">
        <f>VLOOKUP($B1206,[1]DG!A:D,[1]DG!$D$2,)</f>
        <v>cái</v>
      </c>
      <c r="H1206" s="145">
        <f>H1203*3</f>
        <v>0</v>
      </c>
      <c r="I1206" s="91">
        <f t="shared" si="52"/>
        <v>0</v>
      </c>
      <c r="J1206" s="146"/>
      <c r="K1206" s="146"/>
      <c r="L1206" s="96"/>
      <c r="M1206" s="56">
        <v>250</v>
      </c>
    </row>
    <row r="1207" spans="1:13" s="51" customFormat="1" ht="25.2" hidden="1" customHeight="1">
      <c r="A1207" s="68">
        <f t="shared" si="53"/>
        <v>0</v>
      </c>
      <c r="B1207" s="86" t="s">
        <v>458</v>
      </c>
      <c r="C1207" s="86"/>
      <c r="D1207" s="87">
        <f t="shared" si="54"/>
        <v>0</v>
      </c>
      <c r="E1207" s="88" t="str">
        <f>VLOOKUP($B1207,[1]DG!A:D,[1]DG!$B$2,)</f>
        <v>02.8402</v>
      </c>
      <c r="F1207" s="89" t="str">
        <f>VLOOKUP($B1207,[1]DG!A:D,[1]DG!$C$2,)</f>
        <v>MCCB 3 cực 690V - 400A - 50KA</v>
      </c>
      <c r="G1207" s="88" t="str">
        <f>VLOOKUP($B1207,[1]DG!A:D,[1]DG!$D$2,)</f>
        <v>cái</v>
      </c>
      <c r="H1207" s="145">
        <f>H1203</f>
        <v>0</v>
      </c>
      <c r="I1207" s="91">
        <f t="shared" ref="I1207:I1270" si="55">IF(M1207=$M$23,H1207+J1207-K1207,0)</f>
        <v>0</v>
      </c>
      <c r="J1207" s="146"/>
      <c r="K1207" s="146"/>
      <c r="L1207" s="96"/>
      <c r="M1207" s="56">
        <v>250</v>
      </c>
    </row>
    <row r="1208" spans="1:13" s="51" customFormat="1" ht="25.2" hidden="1" customHeight="1">
      <c r="A1208" s="68">
        <f t="shared" si="53"/>
        <v>0</v>
      </c>
      <c r="B1208" s="86" t="s">
        <v>459</v>
      </c>
      <c r="C1208" s="86"/>
      <c r="D1208" s="87">
        <f t="shared" si="54"/>
        <v>0</v>
      </c>
      <c r="E1208" s="88" t="str">
        <f>VLOOKUP($B1208,[1]DG!A:D,[1]DG!$B$2,)</f>
        <v>02.8534</v>
      </c>
      <c r="F1208" s="89" t="str">
        <f>VLOOKUP($B1208,[1]DG!A:D,[1]DG!$C$2,)</f>
        <v>Tủ tụ bù hạ thế 90kVAr</v>
      </c>
      <c r="G1208" s="88" t="str">
        <f>VLOOKUP($B1208,[1]DG!A:D,[1]DG!$D$2,)</f>
        <v>tủ</v>
      </c>
      <c r="H1208" s="145">
        <f>H1203</f>
        <v>0</v>
      </c>
      <c r="I1208" s="91">
        <f t="shared" si="55"/>
        <v>0</v>
      </c>
      <c r="J1208" s="146"/>
      <c r="K1208" s="146"/>
      <c r="L1208" s="96" t="s">
        <v>460</v>
      </c>
      <c r="M1208" s="56">
        <v>250</v>
      </c>
    </row>
    <row r="1209" spans="1:13" s="51" customFormat="1" ht="25.2" hidden="1" customHeight="1">
      <c r="A1209" s="68">
        <f t="shared" si="53"/>
        <v>0</v>
      </c>
      <c r="B1209" s="86" t="s">
        <v>461</v>
      </c>
      <c r="C1209" s="86"/>
      <c r="D1209" s="87">
        <f t="shared" si="54"/>
        <v>0</v>
      </c>
      <c r="E1209" s="88">
        <f>VLOOKUP($B1209,[1]DG!A:D,[1]DG!$B$2,)</f>
        <v>0</v>
      </c>
      <c r="F1209" s="89" t="str">
        <f>VLOOKUP($B1209,[1]DG!A:D,[1]DG!$C$2,)</f>
        <v>Biến dòng 600V - 400/5A</v>
      </c>
      <c r="G1209" s="88" t="str">
        <f>VLOOKUP($B1209,[1]DG!A:D,[1]DG!$D$2,)</f>
        <v>cái</v>
      </c>
      <c r="H1209" s="308">
        <f>3*H1203</f>
        <v>0</v>
      </c>
      <c r="I1209" s="91">
        <f t="shared" si="55"/>
        <v>0</v>
      </c>
      <c r="J1209" s="146"/>
      <c r="K1209" s="146"/>
      <c r="L1209" s="309" t="s">
        <v>61</v>
      </c>
      <c r="M1209" s="56">
        <v>250</v>
      </c>
    </row>
    <row r="1210" spans="1:13" s="51" customFormat="1" ht="25.2" hidden="1" customHeight="1">
      <c r="A1210" s="68">
        <f t="shared" si="53"/>
        <v>0</v>
      </c>
      <c r="B1210" s="310" t="s">
        <v>337</v>
      </c>
      <c r="C1210" s="310"/>
      <c r="D1210" s="87">
        <f t="shared" si="54"/>
        <v>1</v>
      </c>
      <c r="E1210" s="88" t="str">
        <f>VLOOKUP($B1210,[1]DG!A:D,[1]DG!$B$2,)</f>
        <v>05.5104</v>
      </c>
      <c r="F1210" s="89" t="str">
        <f>VLOOKUP($B1210,[1]DG!A:D,[1]DG!$C$2,)</f>
        <v>Điện kế 3 pha 4 dây 220/380V-5A</v>
      </c>
      <c r="G1210" s="88" t="str">
        <f>VLOOKUP($B1210,[1]DG!A:D,[1]DG!$D$2,)</f>
        <v>cái</v>
      </c>
      <c r="H1210" s="308">
        <v>3</v>
      </c>
      <c r="I1210" s="91">
        <f t="shared" si="55"/>
        <v>0</v>
      </c>
      <c r="J1210" s="146"/>
      <c r="K1210" s="146">
        <v>2</v>
      </c>
      <c r="L1210" s="311" t="s">
        <v>61</v>
      </c>
      <c r="M1210" s="56">
        <v>250</v>
      </c>
    </row>
    <row r="1211" spans="1:13" s="51" customFormat="1" ht="25.2" hidden="1" customHeight="1">
      <c r="A1211" s="68">
        <f>IF(M1211=$M$23,1,0)</f>
        <v>0</v>
      </c>
      <c r="B1211" s="69"/>
      <c r="C1211" s="69"/>
      <c r="D1211" s="272"/>
      <c r="E1211" s="273"/>
      <c r="F1211" s="274"/>
      <c r="G1211" s="272"/>
      <c r="H1211" s="207"/>
      <c r="I1211" s="207">
        <f t="shared" si="55"/>
        <v>0</v>
      </c>
      <c r="J1211" s="274"/>
      <c r="K1211" s="272"/>
      <c r="L1211" s="100"/>
      <c r="M1211" s="56">
        <v>250</v>
      </c>
    </row>
    <row r="1212" spans="1:13" s="51" customFormat="1" ht="25.2" hidden="1" customHeight="1">
      <c r="A1212" s="68">
        <f>IF(M1212=$M$23,1,0)</f>
        <v>0</v>
      </c>
      <c r="B1212" s="69"/>
      <c r="C1212" s="69"/>
      <c r="D1212" s="276"/>
      <c r="E1212" s="277"/>
      <c r="F1212" s="267" t="s">
        <v>64</v>
      </c>
      <c r="G1212" s="267"/>
      <c r="H1212" s="191"/>
      <c r="I1212" s="207">
        <f t="shared" si="55"/>
        <v>0</v>
      </c>
      <c r="J1212" s="267"/>
      <c r="K1212" s="267"/>
      <c r="L1212" s="100"/>
      <c r="M1212" s="56">
        <v>250</v>
      </c>
    </row>
    <row r="1213" spans="1:13" s="51" customFormat="1" ht="25.2" hidden="1" customHeight="1">
      <c r="A1213" s="68">
        <f t="shared" si="53"/>
        <v>0</v>
      </c>
      <c r="B1213" s="313"/>
      <c r="C1213" s="313"/>
      <c r="D1213" s="314">
        <f>IF(H1213&gt;0,1,0)</f>
        <v>0</v>
      </c>
      <c r="E1213" s="315"/>
      <c r="F1213" s="316" t="s">
        <v>462</v>
      </c>
      <c r="G1213" s="317" t="s">
        <v>339</v>
      </c>
      <c r="H1213" s="317"/>
      <c r="I1213" s="91">
        <f t="shared" si="55"/>
        <v>0</v>
      </c>
      <c r="J1213" s="318"/>
      <c r="K1213" s="318"/>
      <c r="L1213" s="96"/>
      <c r="M1213" s="56">
        <v>250</v>
      </c>
    </row>
    <row r="1214" spans="1:13" s="51" customFormat="1" ht="25.2" hidden="1" customHeight="1">
      <c r="A1214" s="68">
        <f t="shared" si="53"/>
        <v>0</v>
      </c>
      <c r="B1214" s="86" t="s">
        <v>69</v>
      </c>
      <c r="C1214" s="86"/>
      <c r="D1214" s="319"/>
      <c r="E1214" s="88"/>
      <c r="F1214" s="320" t="str">
        <f>VLOOKUP($B1214,[1]DG!A:D,[1]DG!$C$2,)</f>
        <v>Trụ BTLT 12m F350 dự ứng lực</v>
      </c>
      <c r="G1214" s="88" t="str">
        <f>VLOOKUP($B1214,[1]DG!A:D,[1]DG!$D$2,)</f>
        <v>trụ</v>
      </c>
      <c r="H1214" s="321">
        <f>H1213</f>
        <v>0</v>
      </c>
      <c r="I1214" s="91">
        <f t="shared" si="55"/>
        <v>0</v>
      </c>
      <c r="J1214" s="92"/>
      <c r="K1214" s="111"/>
      <c r="L1214" s="96"/>
      <c r="M1214" s="56">
        <v>250</v>
      </c>
    </row>
    <row r="1215" spans="1:13" s="51" customFormat="1" ht="25.2" hidden="1" customHeight="1">
      <c r="A1215" s="68">
        <f t="shared" si="53"/>
        <v>0</v>
      </c>
      <c r="B1215" s="86" t="s">
        <v>70</v>
      </c>
      <c r="C1215" s="86"/>
      <c r="D1215" s="319"/>
      <c r="E1215" s="88"/>
      <c r="F1215" s="320" t="str">
        <f>VLOOKUP($B1215,[1]DG!A:D,[1]DG!$C$2,)</f>
        <v>Vật liệu dựng trụ</v>
      </c>
      <c r="G1215" s="88" t="str">
        <f>VLOOKUP($B1215,[1]DG!A:D,[1]DG!$D$2,)</f>
        <v>trụ</v>
      </c>
      <c r="H1215" s="321">
        <f>H1214</f>
        <v>0</v>
      </c>
      <c r="I1215" s="91">
        <f t="shared" si="55"/>
        <v>0</v>
      </c>
      <c r="J1215" s="111"/>
      <c r="K1215" s="111"/>
      <c r="L1215" s="96"/>
      <c r="M1215" s="56">
        <v>250</v>
      </c>
    </row>
    <row r="1216" spans="1:13" s="51" customFormat="1" ht="25.2" hidden="1" customHeight="1">
      <c r="A1216" s="68">
        <f t="shared" si="53"/>
        <v>0</v>
      </c>
      <c r="B1216" s="86" t="s">
        <v>340</v>
      </c>
      <c r="C1216" s="86"/>
      <c r="D1216" s="319"/>
      <c r="E1216" s="88" t="str">
        <f>VLOOKUP($B1216,[1]DG!A:D,[1]DG!$B$2,)</f>
        <v>04.9203</v>
      </c>
      <c r="F1216" s="320" t="str">
        <f>VLOOKUP($B1216,[1]DG!A:D,[1]DG!$C$2,)</f>
        <v>Dựng trụ BTLT 12m trong TBA bằng thủ công + cơ giới</v>
      </c>
      <c r="G1216" s="88" t="str">
        <f>VLOOKUP($B1216,[1]DG!A:D,[1]DG!$D$2,)</f>
        <v>trụ</v>
      </c>
      <c r="H1216" s="321">
        <f>H1214</f>
        <v>0</v>
      </c>
      <c r="I1216" s="91">
        <f t="shared" si="55"/>
        <v>0</v>
      </c>
      <c r="J1216" s="92"/>
      <c r="K1216" s="92"/>
      <c r="L1216" s="96"/>
      <c r="M1216" s="56">
        <v>250</v>
      </c>
    </row>
    <row r="1217" spans="1:13" s="51" customFormat="1" ht="25.2" hidden="1" customHeight="1">
      <c r="A1217" s="68">
        <f t="shared" si="53"/>
        <v>0</v>
      </c>
      <c r="B1217" s="313"/>
      <c r="C1217" s="313"/>
      <c r="D1217" s="314">
        <f>IF(H1217&gt;0,1,0)</f>
        <v>0</v>
      </c>
      <c r="E1217" s="315"/>
      <c r="F1217" s="316" t="s">
        <v>463</v>
      </c>
      <c r="G1217" s="317" t="s">
        <v>339</v>
      </c>
      <c r="H1217" s="317">
        <f>H1203*2*0</f>
        <v>0</v>
      </c>
      <c r="I1217" s="91">
        <f t="shared" si="55"/>
        <v>0</v>
      </c>
      <c r="J1217" s="318"/>
      <c r="K1217" s="318"/>
      <c r="L1217" s="117"/>
      <c r="M1217" s="56">
        <v>250</v>
      </c>
    </row>
    <row r="1218" spans="1:13" s="51" customFormat="1" ht="25.2" hidden="1" customHeight="1">
      <c r="A1218" s="68">
        <f t="shared" si="53"/>
        <v>0</v>
      </c>
      <c r="B1218" s="86" t="s">
        <v>342</v>
      </c>
      <c r="C1218" s="86"/>
      <c r="D1218" s="319"/>
      <c r="E1218" s="88"/>
      <c r="F1218" s="320" t="str">
        <f>VLOOKUP($B1218,[1]DG!A:D,[1]DG!$C$2,)</f>
        <v>Trụ BTLT 10,5m F350 dự ứng lực</v>
      </c>
      <c r="G1218" s="88" t="str">
        <f>VLOOKUP($B1218,[1]DG!A:D,[1]DG!$D$2,)</f>
        <v>trụ</v>
      </c>
      <c r="H1218" s="321">
        <f>H1217</f>
        <v>0</v>
      </c>
      <c r="I1218" s="91">
        <f t="shared" si="55"/>
        <v>0</v>
      </c>
      <c r="J1218" s="92"/>
      <c r="K1218" s="111"/>
      <c r="L1218" s="117"/>
      <c r="M1218" s="56">
        <v>250</v>
      </c>
    </row>
    <row r="1219" spans="1:13" s="51" customFormat="1" ht="25.2" hidden="1" customHeight="1">
      <c r="A1219" s="68">
        <f t="shared" si="53"/>
        <v>0</v>
      </c>
      <c r="B1219" s="86" t="s">
        <v>70</v>
      </c>
      <c r="C1219" s="86"/>
      <c r="D1219" s="319"/>
      <c r="E1219" s="88"/>
      <c r="F1219" s="320" t="str">
        <f>VLOOKUP($B1219,[1]DG!A:D,[1]DG!$C$2,)</f>
        <v>Vật liệu dựng trụ</v>
      </c>
      <c r="G1219" s="88" t="str">
        <f>VLOOKUP($B1219,[1]DG!A:D,[1]DG!$D$2,)</f>
        <v>trụ</v>
      </c>
      <c r="H1219" s="321">
        <f>H1218</f>
        <v>0</v>
      </c>
      <c r="I1219" s="91">
        <f t="shared" si="55"/>
        <v>0</v>
      </c>
      <c r="J1219" s="111"/>
      <c r="K1219" s="111"/>
      <c r="L1219" s="117"/>
      <c r="M1219" s="56">
        <v>250</v>
      </c>
    </row>
    <row r="1220" spans="1:13" s="51" customFormat="1" ht="25.2" hidden="1" customHeight="1">
      <c r="A1220" s="68">
        <f t="shared" si="53"/>
        <v>0</v>
      </c>
      <c r="B1220" s="86" t="s">
        <v>343</v>
      </c>
      <c r="C1220" s="86"/>
      <c r="D1220" s="319"/>
      <c r="E1220" s="88" t="str">
        <f>VLOOKUP($B1220,[1]DG!A:D,[1]DG!$B$2,)</f>
        <v>04.9203</v>
      </c>
      <c r="F1220" s="320" t="str">
        <f>VLOOKUP($B1220,[1]DG!A:D,[1]DG!$C$2,)</f>
        <v>Dựng trụ BTLT 10,5m trong TBA bằng thủ công + cơ giới</v>
      </c>
      <c r="G1220" s="88" t="str">
        <f>VLOOKUP($B1220,[1]DG!A:D,[1]DG!$D$2,)</f>
        <v>trụ</v>
      </c>
      <c r="H1220" s="321">
        <f>H1218</f>
        <v>0</v>
      </c>
      <c r="I1220" s="91">
        <f t="shared" si="55"/>
        <v>0</v>
      </c>
      <c r="J1220" s="92"/>
      <c r="K1220" s="92"/>
      <c r="L1220" s="117"/>
      <c r="M1220" s="56">
        <v>250</v>
      </c>
    </row>
    <row r="1221" spans="1:13" s="51" customFormat="1" ht="25.2" hidden="1" customHeight="1">
      <c r="A1221" s="68">
        <f t="shared" si="53"/>
        <v>0</v>
      </c>
      <c r="B1221" s="322"/>
      <c r="C1221" s="322"/>
      <c r="D1221" s="220">
        <f>IF(H1221&gt;0,D1213+1,D1213)</f>
        <v>0</v>
      </c>
      <c r="E1221" s="315"/>
      <c r="F1221" s="316" t="s">
        <v>72</v>
      </c>
      <c r="G1221" s="317" t="s">
        <v>344</v>
      </c>
      <c r="H1221" s="317"/>
      <c r="I1221" s="91">
        <f t="shared" si="55"/>
        <v>0</v>
      </c>
      <c r="J1221" s="111"/>
      <c r="K1221" s="111"/>
      <c r="L1221" s="96"/>
      <c r="M1221" s="56">
        <v>250</v>
      </c>
    </row>
    <row r="1222" spans="1:13" s="51" customFormat="1" ht="25.2" hidden="1" customHeight="1">
      <c r="A1222" s="68">
        <f t="shared" si="53"/>
        <v>0</v>
      </c>
      <c r="B1222" s="86" t="s">
        <v>73</v>
      </c>
      <c r="C1222" s="86"/>
      <c r="D1222" s="319"/>
      <c r="E1222" s="88" t="str">
        <f>VLOOKUP($B1222,[1]DG!A:D,[1]DG!$B$2,)</f>
        <v>04.4001</v>
      </c>
      <c r="F1222" s="320" t="str">
        <f>VLOOKUP($B1222,[1]DG!A:D,[1]DG!$C$2,)</f>
        <v>Đà cản BTCT 1,2m</v>
      </c>
      <c r="G1222" s="88" t="str">
        <f>VLOOKUP($B1222,[1]DG!A:D,[1]DG!$D$2,)</f>
        <v>cái</v>
      </c>
      <c r="H1222" s="321">
        <f>H1221</f>
        <v>0</v>
      </c>
      <c r="I1222" s="91">
        <f t="shared" si="55"/>
        <v>0</v>
      </c>
      <c r="J1222" s="92"/>
      <c r="K1222" s="111"/>
      <c r="L1222" s="96"/>
      <c r="M1222" s="56">
        <v>250</v>
      </c>
    </row>
    <row r="1223" spans="1:13" s="51" customFormat="1" ht="25.2" hidden="1" customHeight="1">
      <c r="A1223" s="68">
        <f t="shared" si="53"/>
        <v>0</v>
      </c>
      <c r="B1223" s="86" t="s">
        <v>74</v>
      </c>
      <c r="C1223" s="86"/>
      <c r="D1223" s="319"/>
      <c r="E1223" s="88"/>
      <c r="F1223" s="320" t="str">
        <f>VLOOKUP($B1223,[1]DG!A:D,[1]DG!$C$2,)</f>
        <v>Boulon 22x650+ 2 long đền vuông D24-50x50x3/Zn</v>
      </c>
      <c r="G1223" s="88" t="str">
        <f>VLOOKUP($B1223,[1]DG!A:D,[1]DG!$D$2,)</f>
        <v>bộ</v>
      </c>
      <c r="H1223" s="321">
        <f>H1222</f>
        <v>0</v>
      </c>
      <c r="I1223" s="91">
        <f t="shared" si="55"/>
        <v>0</v>
      </c>
      <c r="J1223" s="320"/>
      <c r="K1223" s="111"/>
      <c r="L1223" s="96"/>
      <c r="M1223" s="56">
        <v>250</v>
      </c>
    </row>
    <row r="1224" spans="1:13" s="51" customFormat="1" ht="25.2" hidden="1" customHeight="1">
      <c r="A1224" s="68">
        <f t="shared" si="53"/>
        <v>0</v>
      </c>
      <c r="B1224" s="86" t="str">
        <f>IF(chitiet!G5=1,"MDD1",IF(chitiet!G5=2,"MDD2",IF(chitiet!G5=3,"MDD3",IF(chitiet!G5=4,"MDD4"))))</f>
        <v>MDD3</v>
      </c>
      <c r="C1224" s="86"/>
      <c r="D1224" s="319"/>
      <c r="E1224" s="88" t="str">
        <f>VLOOKUP($B1224,[1]DG!A:D,[1]DG!$B$2,)</f>
        <v>03.1013</v>
      </c>
      <c r="F1224" s="320" t="str">
        <f>VLOOKUP($B1224,[1]DG!A:D,[1]DG!$C$2,)</f>
        <v>Đào hố móng đất cấp 3 sâu &gt;1m</v>
      </c>
      <c r="G1224" s="88" t="str">
        <f>VLOOKUP($B1224,[1]DG!A:D,[1]DG!$D$2,)</f>
        <v>m3</v>
      </c>
      <c r="H1224" s="323">
        <f>0.87*H1222</f>
        <v>0</v>
      </c>
      <c r="I1224" s="91">
        <f t="shared" si="55"/>
        <v>0</v>
      </c>
      <c r="J1224" s="324"/>
      <c r="K1224" s="111"/>
      <c r="L1224" s="96"/>
      <c r="M1224" s="56">
        <v>250</v>
      </c>
    </row>
    <row r="1225" spans="1:13" s="51" customFormat="1" ht="25.2" hidden="1" customHeight="1">
      <c r="A1225" s="68">
        <f t="shared" si="53"/>
        <v>0</v>
      </c>
      <c r="B1225" s="86" t="str">
        <f>IF(chitiet!G5=1,"MDAP1",IF(chitiet!G5=2,"MDAP2",IF(chitiet!G5=3,"MDAP3",IF(chitiet!G5=4,"MDAP4"))))</f>
        <v>MDAP3</v>
      </c>
      <c r="C1225" s="86"/>
      <c r="D1225" s="319"/>
      <c r="E1225" s="88" t="str">
        <f>VLOOKUP($B1225,[1]DG!A:D,[1]DG!$B$2,)</f>
        <v>03.4113</v>
      </c>
      <c r="F1225" s="320" t="str">
        <f>VLOOKUP($B1225,[1]DG!A:D,[1]DG!$C$2,)</f>
        <v>Đắp đất hố móng, độ chặt k=0,95</v>
      </c>
      <c r="G1225" s="88" t="str">
        <f>VLOOKUP($B1225,[1]DG!A:D,[1]DG!$D$2,)</f>
        <v>m3</v>
      </c>
      <c r="H1225" s="323">
        <f>0.79*H1221</f>
        <v>0</v>
      </c>
      <c r="I1225" s="91">
        <f t="shared" si="55"/>
        <v>0</v>
      </c>
      <c r="J1225" s="324"/>
      <c r="K1225" s="111"/>
      <c r="L1225" s="96"/>
      <c r="M1225" s="56">
        <v>250</v>
      </c>
    </row>
    <row r="1226" spans="1:13" s="51" customFormat="1" ht="25.2" hidden="1" customHeight="1">
      <c r="A1226" s="68">
        <f t="shared" si="53"/>
        <v>0</v>
      </c>
      <c r="B1226" s="322"/>
      <c r="C1226" s="322"/>
      <c r="D1226" s="220">
        <f>IF(H1226&gt;0,D1218+1,D1218)</f>
        <v>0</v>
      </c>
      <c r="E1226" s="315"/>
      <c r="F1226" s="316" t="s">
        <v>345</v>
      </c>
      <c r="G1226" s="317" t="s">
        <v>344</v>
      </c>
      <c r="H1226" s="317">
        <f>H1217</f>
        <v>0</v>
      </c>
      <c r="I1226" s="91">
        <f t="shared" si="55"/>
        <v>0</v>
      </c>
      <c r="J1226" s="111"/>
      <c r="K1226" s="111"/>
      <c r="L1226" s="117"/>
      <c r="M1226" s="56">
        <v>250</v>
      </c>
    </row>
    <row r="1227" spans="1:13" s="51" customFormat="1" ht="25.2" hidden="1" customHeight="1">
      <c r="A1227" s="68">
        <f t="shared" si="53"/>
        <v>0</v>
      </c>
      <c r="B1227" s="86" t="s">
        <v>73</v>
      </c>
      <c r="C1227" s="86"/>
      <c r="D1227" s="319"/>
      <c r="E1227" s="88" t="str">
        <f>VLOOKUP($B1227,[1]DG!A:D,[1]DG!$B$2,)</f>
        <v>04.4001</v>
      </c>
      <c r="F1227" s="320" t="str">
        <f>VLOOKUP($B1227,[1]DG!A:D,[1]DG!$C$2,)</f>
        <v>Đà cản BTCT 1,2m</v>
      </c>
      <c r="G1227" s="88" t="str">
        <f>VLOOKUP($B1227,[1]DG!A:D,[1]DG!$D$2,)</f>
        <v>cái</v>
      </c>
      <c r="H1227" s="321">
        <f>H1226</f>
        <v>0</v>
      </c>
      <c r="I1227" s="91">
        <f t="shared" si="55"/>
        <v>0</v>
      </c>
      <c r="J1227" s="92"/>
      <c r="K1227" s="111"/>
      <c r="L1227" s="117"/>
      <c r="M1227" s="56">
        <v>250</v>
      </c>
    </row>
    <row r="1228" spans="1:13" s="51" customFormat="1" ht="25.2" hidden="1" customHeight="1">
      <c r="A1228" s="68">
        <f t="shared" si="53"/>
        <v>0</v>
      </c>
      <c r="B1228" s="86" t="s">
        <v>74</v>
      </c>
      <c r="C1228" s="86"/>
      <c r="D1228" s="319"/>
      <c r="E1228" s="88"/>
      <c r="F1228" s="320" t="str">
        <f>VLOOKUP($B1228,[1]DG!A:D,[1]DG!$C$2,)</f>
        <v>Boulon 22x650+ 2 long đền vuông D24-50x50x3/Zn</v>
      </c>
      <c r="G1228" s="88" t="str">
        <f>VLOOKUP($B1228,[1]DG!A:D,[1]DG!$D$2,)</f>
        <v>bộ</v>
      </c>
      <c r="H1228" s="321">
        <f>H1227</f>
        <v>0</v>
      </c>
      <c r="I1228" s="91">
        <f t="shared" si="55"/>
        <v>0</v>
      </c>
      <c r="J1228" s="320"/>
      <c r="K1228" s="111"/>
      <c r="L1228" s="117"/>
      <c r="M1228" s="56">
        <v>250</v>
      </c>
    </row>
    <row r="1229" spans="1:13" s="51" customFormat="1" ht="25.2" hidden="1" customHeight="1">
      <c r="A1229" s="68">
        <f t="shared" si="53"/>
        <v>0</v>
      </c>
      <c r="B1229" s="86" t="str">
        <f>IF(chitiet!G5=1,"MDD1",IF(chitiet!G5=2,"MDD2",IF(chitiet!G5=3,"MDD3",IF(chitiet!G5=4,"MDD4"))))</f>
        <v>MDD3</v>
      </c>
      <c r="C1229" s="86"/>
      <c r="D1229" s="319"/>
      <c r="E1229" s="88" t="str">
        <f>VLOOKUP($B1229,[1]DG!A:D,[1]DG!$B$2,)</f>
        <v>03.1013</v>
      </c>
      <c r="F1229" s="320" t="str">
        <f>VLOOKUP($B1229,[1]DG!A:D,[1]DG!$C$2,)</f>
        <v>Đào hố móng đất cấp 3 sâu &gt;1m</v>
      </c>
      <c r="G1229" s="88" t="str">
        <f>VLOOKUP($B1229,[1]DG!A:D,[1]DG!$D$2,)</f>
        <v>m3</v>
      </c>
      <c r="H1229" s="323">
        <f>0.78*H1227</f>
        <v>0</v>
      </c>
      <c r="I1229" s="91">
        <f t="shared" si="55"/>
        <v>0</v>
      </c>
      <c r="J1229" s="324"/>
      <c r="K1229" s="111"/>
      <c r="L1229" s="117"/>
      <c r="M1229" s="56">
        <v>250</v>
      </c>
    </row>
    <row r="1230" spans="1:13" s="51" customFormat="1" ht="25.2" hidden="1" customHeight="1">
      <c r="A1230" s="68">
        <f t="shared" si="53"/>
        <v>0</v>
      </c>
      <c r="B1230" s="86" t="str">
        <f>IF(chitiet!G5=1,"MDAP1",IF(chitiet!G5=2,"MDAP2",IF(chitiet!G5=3,"MDAP3",IF(chitiet!G5=4,"MDAP4"))))</f>
        <v>MDAP3</v>
      </c>
      <c r="C1230" s="86"/>
      <c r="D1230" s="319"/>
      <c r="E1230" s="88" t="str">
        <f>VLOOKUP($B1230,[1]DG!A:D,[1]DG!$B$2,)</f>
        <v>03.4113</v>
      </c>
      <c r="F1230" s="320" t="str">
        <f>VLOOKUP($B1230,[1]DG!A:D,[1]DG!$C$2,)</f>
        <v>Đắp đất hố móng, độ chặt k=0,95</v>
      </c>
      <c r="G1230" s="88" t="str">
        <f>VLOOKUP($B1230,[1]DG!A:D,[1]DG!$D$2,)</f>
        <v>m3</v>
      </c>
      <c r="H1230" s="323">
        <f>0.74*H1226</f>
        <v>0</v>
      </c>
      <c r="I1230" s="91">
        <f t="shared" si="55"/>
        <v>0</v>
      </c>
      <c r="J1230" s="324"/>
      <c r="K1230" s="111"/>
      <c r="L1230" s="117"/>
      <c r="M1230" s="56">
        <v>250</v>
      </c>
    </row>
    <row r="1231" spans="1:13" s="51" customFormat="1" ht="25.2" hidden="1" customHeight="1">
      <c r="A1231" s="68">
        <f t="shared" si="53"/>
        <v>0</v>
      </c>
      <c r="B1231" s="69"/>
      <c r="C1231" s="69"/>
      <c r="D1231" s="220">
        <f>IF(H1231&gt;0,D1221+1,D1221)</f>
        <v>0</v>
      </c>
      <c r="E1231" s="325"/>
      <c r="F1231" s="316" t="s">
        <v>464</v>
      </c>
      <c r="G1231" s="314" t="s">
        <v>67</v>
      </c>
      <c r="H1231" s="326">
        <f>H1203*1</f>
        <v>0</v>
      </c>
      <c r="I1231" s="91">
        <f t="shared" si="55"/>
        <v>0</v>
      </c>
      <c r="J1231" s="327"/>
      <c r="K1231" s="327"/>
      <c r="L1231" s="117"/>
      <c r="M1231" s="56">
        <v>250</v>
      </c>
    </row>
    <row r="1232" spans="1:13" s="51" customFormat="1" ht="25.2" hidden="1" customHeight="1">
      <c r="A1232" s="68">
        <f>IF(A1231&gt;0,1,0)</f>
        <v>0</v>
      </c>
      <c r="B1232" s="69"/>
      <c r="C1232" s="69"/>
      <c r="D1232" s="111"/>
      <c r="E1232" s="328"/>
      <c r="F1232" s="243" t="s">
        <v>68</v>
      </c>
      <c r="G1232" s="87"/>
      <c r="H1232" s="145"/>
      <c r="I1232" s="91">
        <f t="shared" si="55"/>
        <v>0</v>
      </c>
      <c r="J1232" s="282"/>
      <c r="K1232" s="282"/>
      <c r="L1232" s="117"/>
      <c r="M1232" s="56">
        <v>250</v>
      </c>
    </row>
    <row r="1233" spans="1:13" s="51" customFormat="1" ht="25.2" hidden="1" customHeight="1">
      <c r="A1233" s="68">
        <f t="shared" si="53"/>
        <v>0</v>
      </c>
      <c r="B1233" s="86" t="s">
        <v>347</v>
      </c>
      <c r="C1233" s="86"/>
      <c r="D1233" s="111"/>
      <c r="E1233" s="88"/>
      <c r="F1233" s="89" t="str">
        <f>VLOOKUP($B1233,[1]DG!A:D,[1]DG!$C$2,)&amp;": 2 cái"</f>
        <v>Đà U160x68x5x2800 đỡ MBA: 2 cái</v>
      </c>
      <c r="G1233" s="88" t="str">
        <f>VLOOKUP($B1233,[1]DG!A:D,[1]DG!$D$2,)</f>
        <v>cái</v>
      </c>
      <c r="H1233" s="347">
        <f>52.049*H1231*2</f>
        <v>0</v>
      </c>
      <c r="I1233" s="332">
        <f t="shared" si="55"/>
        <v>0</v>
      </c>
      <c r="J1233" s="92"/>
      <c r="K1233" s="92"/>
      <c r="L1233" s="117"/>
      <c r="M1233" s="56">
        <v>250</v>
      </c>
    </row>
    <row r="1234" spans="1:13" s="51" customFormat="1" ht="25.2" hidden="1" customHeight="1">
      <c r="A1234" s="68">
        <f t="shared" si="53"/>
        <v>0</v>
      </c>
      <c r="B1234" s="86" t="s">
        <v>348</v>
      </c>
      <c r="C1234" s="86"/>
      <c r="D1234" s="111"/>
      <c r="E1234" s="88"/>
      <c r="F1234" s="89" t="str">
        <f>VLOOKUP($B1234,[1]DG!A:D,[1]DG!$C$2,)&amp;": 4 cái"</f>
        <v>Đà U100x46x4.5x400 : 4 cái</v>
      </c>
      <c r="G1234" s="88" t="str">
        <f>VLOOKUP($B1234,[1]DG!A:D,[1]DG!$D$2,)</f>
        <v>cái</v>
      </c>
      <c r="H1234" s="347">
        <f>H1231*2.713*4</f>
        <v>0</v>
      </c>
      <c r="I1234" s="332">
        <f t="shared" si="55"/>
        <v>0</v>
      </c>
      <c r="J1234" s="92"/>
      <c r="K1234" s="92"/>
      <c r="L1234" s="117"/>
      <c r="M1234" s="56">
        <v>250</v>
      </c>
    </row>
    <row r="1235" spans="1:13" s="51" customFormat="1" ht="25.2" hidden="1" customHeight="1">
      <c r="A1235" s="68">
        <f t="shared" si="53"/>
        <v>0</v>
      </c>
      <c r="B1235" s="86" t="s">
        <v>349</v>
      </c>
      <c r="C1235" s="86"/>
      <c r="D1235" s="111"/>
      <c r="E1235" s="88"/>
      <c r="F1235" s="89" t="str">
        <f>VLOOKUP($B1235,[1]DG!A:D,[1]DG!$C$2,)&amp;": 2 cái"</f>
        <v>Đà U100x46x5x800 : 2 cái</v>
      </c>
      <c r="G1235" s="88" t="str">
        <f>VLOOKUP($B1235,[1]DG!A:D,[1]DG!$D$2,)</f>
        <v>cái</v>
      </c>
      <c r="H1235" s="347">
        <f>H1231*5.426*2</f>
        <v>0</v>
      </c>
      <c r="I1235" s="332">
        <f t="shared" si="55"/>
        <v>0</v>
      </c>
      <c r="J1235" s="92"/>
      <c r="K1235" s="92"/>
      <c r="L1235" s="117"/>
      <c r="M1235" s="56">
        <v>250</v>
      </c>
    </row>
    <row r="1236" spans="1:13" s="51" customFormat="1" ht="25.2" hidden="1" customHeight="1">
      <c r="A1236" s="68">
        <f t="shared" si="53"/>
        <v>0</v>
      </c>
      <c r="B1236" s="69" t="s">
        <v>350</v>
      </c>
      <c r="C1236" s="69"/>
      <c r="D1236" s="111"/>
      <c r="E1236" s="88">
        <f>VLOOKUP($B1236,[1]DG!A:D,[1]DG!$B$2,)</f>
        <v>0</v>
      </c>
      <c r="F1236" s="89" t="str">
        <f>VLOOKUP($B1236,[1]DG!A:D,[1]DG!$C$2,)</f>
        <v>Boulon 16x400VRS+ 4 long đền vuông D18-50x50x3/Zn</v>
      </c>
      <c r="G1236" s="88" t="str">
        <f>VLOOKUP($B1236,[1]DG!A:D,[1]DG!$D$2,)</f>
        <v>bộ</v>
      </c>
      <c r="H1236" s="145">
        <f>H1231*10</f>
        <v>0</v>
      </c>
      <c r="I1236" s="91">
        <f t="shared" si="55"/>
        <v>0</v>
      </c>
      <c r="J1236" s="92"/>
      <c r="K1236" s="92"/>
      <c r="L1236" s="117"/>
      <c r="M1236" s="56">
        <v>250</v>
      </c>
    </row>
    <row r="1237" spans="1:13" s="51" customFormat="1" ht="25.2" hidden="1" customHeight="1">
      <c r="A1237" s="68">
        <f t="shared" si="53"/>
        <v>0</v>
      </c>
      <c r="B1237" s="69" t="s">
        <v>265</v>
      </c>
      <c r="C1237" s="69"/>
      <c r="D1237" s="111"/>
      <c r="E1237" s="88">
        <f>VLOOKUP($B1237,[1]DG!A:D,[1]DG!$B$2,)</f>
        <v>0</v>
      </c>
      <c r="F1237" s="89" t="str">
        <f>VLOOKUP($B1237,[1]DG!A:D,[1]DG!$C$2,)</f>
        <v>Boulon 16x400+ 2 long đền vuông D18-50x50x3/Zn</v>
      </c>
      <c r="G1237" s="88" t="str">
        <f>VLOOKUP($B1237,[1]DG!A:D,[1]DG!$D$2,)</f>
        <v>bộ</v>
      </c>
      <c r="H1237" s="145">
        <f>H1231*2</f>
        <v>0</v>
      </c>
      <c r="I1237" s="91">
        <f t="shared" si="55"/>
        <v>0</v>
      </c>
      <c r="J1237" s="92"/>
      <c r="K1237" s="92"/>
      <c r="L1237" s="117"/>
      <c r="M1237" s="56">
        <v>250</v>
      </c>
    </row>
    <row r="1238" spans="1:13" s="51" customFormat="1" ht="25.2" hidden="1" customHeight="1">
      <c r="A1238" s="68">
        <f t="shared" si="53"/>
        <v>0</v>
      </c>
      <c r="B1238" s="69" t="s">
        <v>123</v>
      </c>
      <c r="C1238" s="69"/>
      <c r="D1238" s="111"/>
      <c r="E1238" s="88">
        <f>VLOOKUP($B1238,[1]DG!A:D,[1]DG!$B$2,)</f>
        <v>0</v>
      </c>
      <c r="F1238" s="89" t="str">
        <f>VLOOKUP($B1238,[1]DG!A:D,[1]DG!$C$2,)</f>
        <v>Boulon 16x350+ 2 long đền vuông D18-50x50x3/Zn</v>
      </c>
      <c r="G1238" s="88" t="str">
        <f>VLOOKUP($B1238,[1]DG!A:D,[1]DG!$D$2,)</f>
        <v>bộ</v>
      </c>
      <c r="H1238" s="145">
        <f>H1231*12</f>
        <v>0</v>
      </c>
      <c r="I1238" s="91">
        <f t="shared" si="55"/>
        <v>0</v>
      </c>
      <c r="J1238" s="92"/>
      <c r="K1238" s="92"/>
      <c r="L1238" s="117"/>
      <c r="M1238" s="56">
        <v>250</v>
      </c>
    </row>
    <row r="1239" spans="1:13" s="51" customFormat="1" ht="25.2" hidden="1" customHeight="1">
      <c r="A1239" s="68">
        <f t="shared" si="53"/>
        <v>0</v>
      </c>
      <c r="B1239" s="69" t="s">
        <v>363</v>
      </c>
      <c r="C1239" s="69"/>
      <c r="D1239" s="111"/>
      <c r="E1239" s="88" t="str">
        <f>VLOOKUP($B1239,[1]DG!A:D,[1]DG!$B$2,)</f>
        <v>05.6044</v>
      </c>
      <c r="F1239" s="89" t="str">
        <f>VLOOKUP($B1239,[1]DG!A:D,[1]DG!$C$2,)</f>
        <v>Lắp xà cột Pi loại ≤140kg/xà</v>
      </c>
      <c r="G1239" s="88" t="str">
        <f>VLOOKUP($B1239,[1]DG!A:D,[1]DG!$D$2,)</f>
        <v>bộ</v>
      </c>
      <c r="H1239" s="145">
        <f>H1231</f>
        <v>0</v>
      </c>
      <c r="I1239" s="91">
        <f t="shared" si="55"/>
        <v>0</v>
      </c>
      <c r="J1239" s="92"/>
      <c r="K1239" s="92"/>
      <c r="L1239" s="117"/>
      <c r="M1239" s="56">
        <v>250</v>
      </c>
    </row>
    <row r="1240" spans="1:13" s="51" customFormat="1" ht="25.2" hidden="1" customHeight="1">
      <c r="A1240" s="68">
        <f t="shared" si="53"/>
        <v>0</v>
      </c>
      <c r="B1240" s="348"/>
      <c r="C1240" s="348"/>
      <c r="D1240" s="220">
        <f>IF(H1240&gt;0,D1231+1,D1231)</f>
        <v>0</v>
      </c>
      <c r="E1240" s="238"/>
      <c r="F1240" s="329" t="s">
        <v>366</v>
      </c>
      <c r="G1240" s="220" t="s">
        <v>67</v>
      </c>
      <c r="H1240" s="240">
        <f>H1213*0</f>
        <v>0</v>
      </c>
      <c r="I1240" s="91">
        <f t="shared" si="55"/>
        <v>0</v>
      </c>
      <c r="J1240" s="95"/>
      <c r="K1240" s="95"/>
      <c r="L1240" s="117"/>
      <c r="M1240" s="56">
        <v>250</v>
      </c>
    </row>
    <row r="1241" spans="1:13" s="51" customFormat="1" ht="25.2" hidden="1" customHeight="1">
      <c r="A1241" s="68">
        <f>IF(A1240&gt;0,1,0)</f>
        <v>0</v>
      </c>
      <c r="B1241" s="69"/>
      <c r="C1241" s="69"/>
      <c r="D1241" s="111"/>
      <c r="E1241" s="88"/>
      <c r="F1241" s="243" t="s">
        <v>68</v>
      </c>
      <c r="G1241" s="87"/>
      <c r="H1241" s="145"/>
      <c r="I1241" s="91">
        <f t="shared" si="55"/>
        <v>0</v>
      </c>
      <c r="J1241" s="95"/>
      <c r="K1241" s="95"/>
      <c r="L1241" s="117"/>
      <c r="M1241" s="56">
        <v>250</v>
      </c>
    </row>
    <row r="1242" spans="1:13" s="51" customFormat="1" ht="25.2" hidden="1" customHeight="1">
      <c r="A1242" s="68">
        <f t="shared" si="53"/>
        <v>0</v>
      </c>
      <c r="B1242" s="86" t="s">
        <v>367</v>
      </c>
      <c r="C1242" s="86"/>
      <c r="D1242" s="111"/>
      <c r="E1242" s="88">
        <f>VLOOKUP($B1242,[1]DG!A:D,[1]DG!$B$2,)</f>
        <v>0</v>
      </c>
      <c r="F1242" s="89" t="str">
        <f>VLOOKUP($B1242,[1]DG!A:D,[1]DG!$C$2,)</f>
        <v>Sắt góc L75 x75 x8</v>
      </c>
      <c r="G1242" s="88" t="str">
        <f>VLOOKUP($B1242,[1]DG!A:D,[1]DG!$D$2,)</f>
        <v>kg</v>
      </c>
      <c r="H1242" s="145">
        <f>H1240*9.02*(2.6+3*0.07)*2</f>
        <v>0</v>
      </c>
      <c r="I1242" s="91">
        <f t="shared" si="55"/>
        <v>0</v>
      </c>
      <c r="J1242" s="92"/>
      <c r="K1242" s="92"/>
      <c r="L1242" s="117"/>
      <c r="M1242" s="56">
        <v>250</v>
      </c>
    </row>
    <row r="1243" spans="1:13" s="51" customFormat="1" ht="25.2" hidden="1" customHeight="1">
      <c r="A1243" s="68">
        <f t="shared" si="53"/>
        <v>0</v>
      </c>
      <c r="B1243" s="69" t="s">
        <v>368</v>
      </c>
      <c r="C1243" s="69"/>
      <c r="D1243" s="111"/>
      <c r="E1243" s="88">
        <f>VLOOKUP($B1243,[1]DG!A:D,[1]DG!$B$2,)</f>
        <v>0</v>
      </c>
      <c r="F1243" s="89" t="str">
        <f>VLOOKUP($B1243,[1]DG!A:D,[1]DG!$C$2,)</f>
        <v>Boulon 16x300VRS+ 4 long đền vuông D18-50x50x3/Zn</v>
      </c>
      <c r="G1243" s="88" t="str">
        <f>VLOOKUP($B1243,[1]DG!A:D,[1]DG!$D$2,)</f>
        <v>bộ</v>
      </c>
      <c r="H1243" s="145">
        <f>H1240*2</f>
        <v>0</v>
      </c>
      <c r="I1243" s="91">
        <f t="shared" si="55"/>
        <v>0</v>
      </c>
      <c r="J1243" s="92"/>
      <c r="K1243" s="92"/>
      <c r="L1243" s="117"/>
      <c r="M1243" s="56">
        <v>250</v>
      </c>
    </row>
    <row r="1244" spans="1:13" s="51" customFormat="1" ht="25.2" hidden="1" customHeight="1">
      <c r="A1244" s="68">
        <f t="shared" si="53"/>
        <v>0</v>
      </c>
      <c r="B1244" s="69" t="s">
        <v>65</v>
      </c>
      <c r="C1244" s="69"/>
      <c r="D1244" s="111"/>
      <c r="E1244" s="88">
        <f>VLOOKUP($B1244,[1]DG!A:D,[1]DG!$B$2,)</f>
        <v>0</v>
      </c>
      <c r="F1244" s="89" t="str">
        <f>VLOOKUP($B1244,[1]DG!A:D,[1]DG!$C$2,)</f>
        <v>Boulon 16x300+ 2 long đền vuông D18-50x50x3/Zn</v>
      </c>
      <c r="G1244" s="88" t="str">
        <f>VLOOKUP($B1244,[1]DG!A:D,[1]DG!$D$2,)</f>
        <v>bộ</v>
      </c>
      <c r="H1244" s="145">
        <f>H1240*2</f>
        <v>0</v>
      </c>
      <c r="I1244" s="91">
        <f t="shared" si="55"/>
        <v>0</v>
      </c>
      <c r="J1244" s="92"/>
      <c r="K1244" s="92"/>
      <c r="L1244" s="117"/>
      <c r="M1244" s="56">
        <v>250</v>
      </c>
    </row>
    <row r="1245" spans="1:13" s="51" customFormat="1" ht="25.2" hidden="1" customHeight="1">
      <c r="A1245" s="68">
        <f t="shared" ref="A1245:A1308" si="56">IF(I1245&gt;0,1,0)</f>
        <v>0</v>
      </c>
      <c r="B1245" s="69" t="s">
        <v>237</v>
      </c>
      <c r="C1245" s="69"/>
      <c r="D1245" s="111"/>
      <c r="E1245" s="88">
        <f>VLOOKUP($B1245,[1]DG!A:D,[1]DG!$B$2,)</f>
        <v>0</v>
      </c>
      <c r="F1245" s="89" t="str">
        <f>VLOOKUP($B1245,[1]DG!A:D,[1]DG!$C$2,)</f>
        <v>Boulon 16x250+ 2 long đền vuông D18-50x50x3/Zn</v>
      </c>
      <c r="G1245" s="88" t="str">
        <f>VLOOKUP($B1245,[1]DG!A:D,[1]DG!$D$2,)</f>
        <v>bộ</v>
      </c>
      <c r="H1245" s="145">
        <f>H1244</f>
        <v>0</v>
      </c>
      <c r="I1245" s="91">
        <f t="shared" si="55"/>
        <v>0</v>
      </c>
      <c r="J1245" s="92"/>
      <c r="K1245" s="92"/>
      <c r="L1245" s="117"/>
      <c r="M1245" s="56">
        <v>250</v>
      </c>
    </row>
    <row r="1246" spans="1:13" s="51" customFormat="1" ht="25.2" hidden="1" customHeight="1">
      <c r="A1246" s="68">
        <f t="shared" si="56"/>
        <v>0</v>
      </c>
      <c r="B1246" s="69" t="s">
        <v>363</v>
      </c>
      <c r="C1246" s="69"/>
      <c r="D1246" s="111"/>
      <c r="E1246" s="88" t="str">
        <f>VLOOKUP($B1246,[1]DG!A:D,[1]DG!$B$2,)</f>
        <v>05.6044</v>
      </c>
      <c r="F1246" s="89" t="str">
        <f>VLOOKUP($B1246,[1]DG!A:D,[1]DG!$C$2,)</f>
        <v>Lắp xà cột Pi loại ≤140kg/xà</v>
      </c>
      <c r="G1246" s="88" t="str">
        <f>VLOOKUP($B1246,[1]DG!A:D,[1]DG!$D$2,)</f>
        <v>bộ</v>
      </c>
      <c r="H1246" s="145">
        <f>H1240</f>
        <v>0</v>
      </c>
      <c r="I1246" s="91">
        <f t="shared" si="55"/>
        <v>0</v>
      </c>
      <c r="J1246" s="92"/>
      <c r="K1246" s="92"/>
      <c r="L1246" s="117"/>
      <c r="M1246" s="56">
        <v>250</v>
      </c>
    </row>
    <row r="1247" spans="1:13" s="51" customFormat="1" ht="25.2" hidden="1" customHeight="1">
      <c r="A1247" s="68">
        <f t="shared" si="56"/>
        <v>0</v>
      </c>
      <c r="B1247" s="348" t="s">
        <v>465</v>
      </c>
      <c r="C1247" s="348"/>
      <c r="D1247" s="220">
        <f>IF(H1247&gt;0,D1240+1,D1240)</f>
        <v>0</v>
      </c>
      <c r="E1247" s="238"/>
      <c r="F1247" s="349" t="s">
        <v>466</v>
      </c>
      <c r="G1247" s="220" t="s">
        <v>67</v>
      </c>
      <c r="H1247" s="240"/>
      <c r="I1247" s="91">
        <f t="shared" si="55"/>
        <v>0</v>
      </c>
      <c r="J1247" s="95"/>
      <c r="K1247" s="95"/>
      <c r="L1247" s="117"/>
      <c r="M1247" s="56">
        <v>250</v>
      </c>
    </row>
    <row r="1248" spans="1:13" s="51" customFormat="1" ht="25.2" hidden="1" customHeight="1">
      <c r="A1248" s="68">
        <f>IF(A1247&gt;0,1,0)</f>
        <v>0</v>
      </c>
      <c r="B1248" s="69"/>
      <c r="C1248" s="69"/>
      <c r="D1248" s="111"/>
      <c r="E1248" s="88"/>
      <c r="F1248" s="243" t="s">
        <v>68</v>
      </c>
      <c r="G1248" s="87"/>
      <c r="H1248" s="145"/>
      <c r="I1248" s="91">
        <f t="shared" si="55"/>
        <v>0</v>
      </c>
      <c r="J1248" s="95"/>
      <c r="K1248" s="95"/>
      <c r="L1248" s="117"/>
      <c r="M1248" s="56">
        <v>250</v>
      </c>
    </row>
    <row r="1249" spans="1:13" s="51" customFormat="1" ht="25.2" hidden="1" customHeight="1">
      <c r="A1249" s="68">
        <f t="shared" si="56"/>
        <v>0</v>
      </c>
      <c r="B1249" s="86" t="s">
        <v>235</v>
      </c>
      <c r="C1249" s="86"/>
      <c r="D1249" s="111"/>
      <c r="E1249" s="88">
        <f>VLOOKUP($B1249,[1]DG!A:D,[1]DG!$B$2,)</f>
        <v>0</v>
      </c>
      <c r="F1249" s="89" t="str">
        <f>VLOOKUP($B1249,[1]DG!A:D,[1]DG!$C$2,)</f>
        <v>Sắt góc L75 x75 x8</v>
      </c>
      <c r="G1249" s="88" t="str">
        <f>VLOOKUP($B1249,[1]DG!A:D,[1]DG!$D$2,)</f>
        <v>kg</v>
      </c>
      <c r="H1249" s="145">
        <f>9.42*(2+3*0.07)*H1247</f>
        <v>0</v>
      </c>
      <c r="I1249" s="91">
        <f t="shared" si="55"/>
        <v>0</v>
      </c>
      <c r="J1249" s="92"/>
      <c r="K1249" s="92"/>
      <c r="L1249" s="117"/>
      <c r="M1249" s="56">
        <v>250</v>
      </c>
    </row>
    <row r="1250" spans="1:13" s="51" customFormat="1" ht="25.2" hidden="1" customHeight="1">
      <c r="A1250" s="68">
        <f t="shared" si="56"/>
        <v>0</v>
      </c>
      <c r="B1250" s="86" t="s">
        <v>236</v>
      </c>
      <c r="C1250" s="86"/>
      <c r="D1250" s="111"/>
      <c r="E1250" s="88">
        <f>VLOOKUP($B1250,[1]DG!A:D,[1]DG!$B$2,)</f>
        <v>0</v>
      </c>
      <c r="F1250" s="89" t="str">
        <f>VLOOKUP($B1250,[1]DG!A:D,[1]DG!$C$2,)</f>
        <v>Sắt góc L50 x50 x5</v>
      </c>
      <c r="G1250" s="88" t="str">
        <f>VLOOKUP($B1250,[1]DG!A:D,[1]DG!$D$2,)</f>
        <v>kg</v>
      </c>
      <c r="H1250" s="145">
        <f>3.77*1.15*H1247</f>
        <v>0</v>
      </c>
      <c r="I1250" s="91">
        <f t="shared" si="55"/>
        <v>0</v>
      </c>
      <c r="J1250" s="92"/>
      <c r="K1250" s="92"/>
      <c r="L1250" s="117"/>
      <c r="M1250" s="56">
        <v>250</v>
      </c>
    </row>
    <row r="1251" spans="1:13" s="51" customFormat="1" ht="25.2" hidden="1" customHeight="1">
      <c r="A1251" s="68">
        <f t="shared" si="56"/>
        <v>0</v>
      </c>
      <c r="B1251" s="86" t="s">
        <v>237</v>
      </c>
      <c r="C1251" s="86"/>
      <c r="D1251" s="111"/>
      <c r="E1251" s="88">
        <f>VLOOKUP($B1251,[1]DG!A:D,[1]DG!$B$2,)</f>
        <v>0</v>
      </c>
      <c r="F1251" s="89" t="str">
        <f>VLOOKUP($B1251,[1]DG!A:D,[1]DG!$C$2,)</f>
        <v>Boulon 16x250+ 2 long đền vuông D18-50x50x3/Zn</v>
      </c>
      <c r="G1251" s="88" t="str">
        <f>VLOOKUP($B1251,[1]DG!A:D,[1]DG!$D$2,)</f>
        <v>bộ</v>
      </c>
      <c r="H1251" s="145">
        <f>2*H1247</f>
        <v>0</v>
      </c>
      <c r="I1251" s="91">
        <f t="shared" si="55"/>
        <v>0</v>
      </c>
      <c r="J1251" s="92"/>
      <c r="K1251" s="92"/>
      <c r="L1251" s="117"/>
      <c r="M1251" s="56">
        <v>250</v>
      </c>
    </row>
    <row r="1252" spans="1:13" s="51" customFormat="1" ht="25.2" hidden="1" customHeight="1">
      <c r="A1252" s="68">
        <f t="shared" si="56"/>
        <v>0</v>
      </c>
      <c r="B1252" s="86" t="s">
        <v>231</v>
      </c>
      <c r="C1252" s="86"/>
      <c r="D1252" s="111"/>
      <c r="E1252" s="88">
        <f>VLOOKUP($B1252,[1]DG!A:D,[1]DG!$B$2,)</f>
        <v>0</v>
      </c>
      <c r="F1252" s="89" t="str">
        <f>VLOOKUP($B1252,[1]DG!A:D,[1]DG!$C$2,)</f>
        <v>Boulon 16x50+ 2 long đền vuông D18-50x50x3/Zn</v>
      </c>
      <c r="G1252" s="88" t="str">
        <f>VLOOKUP($B1252,[1]DG!A:D,[1]DG!$D$2,)</f>
        <v>bộ</v>
      </c>
      <c r="H1252" s="145">
        <f>1*H1247</f>
        <v>0</v>
      </c>
      <c r="I1252" s="91">
        <f t="shared" si="55"/>
        <v>0</v>
      </c>
      <c r="J1252" s="92"/>
      <c r="K1252" s="92"/>
      <c r="L1252" s="117"/>
      <c r="M1252" s="56">
        <v>250</v>
      </c>
    </row>
    <row r="1253" spans="1:13" s="51" customFormat="1" ht="25.2" hidden="1" customHeight="1">
      <c r="A1253" s="68">
        <f t="shared" si="56"/>
        <v>0</v>
      </c>
      <c r="B1253" s="86" t="s">
        <v>379</v>
      </c>
      <c r="C1253" s="86"/>
      <c r="D1253" s="111"/>
      <c r="E1253" s="88" t="str">
        <f>VLOOKUP($B1253,[1]DG!A:D,[1]DG!$B$2,)</f>
        <v>05.6203</v>
      </c>
      <c r="F1253" s="89" t="str">
        <f>VLOOKUP($B1253,[1]DG!A:D,[1]DG!$C$2,)</f>
        <v>Lắp xà néo ≤ 100kg</v>
      </c>
      <c r="G1253" s="88" t="str">
        <f>VLOOKUP($B1253,[1]DG!A:D,[1]DG!$D$2,)</f>
        <v>bộ</v>
      </c>
      <c r="H1253" s="145">
        <f>1*H1247</f>
        <v>0</v>
      </c>
      <c r="I1253" s="91">
        <f t="shared" si="55"/>
        <v>0</v>
      </c>
      <c r="J1253" s="92"/>
      <c r="K1253" s="92"/>
      <c r="L1253" s="117"/>
      <c r="M1253" s="56">
        <v>250</v>
      </c>
    </row>
    <row r="1254" spans="1:13" s="51" customFormat="1" ht="25.2" hidden="1" customHeight="1">
      <c r="A1254" s="68">
        <f t="shared" si="56"/>
        <v>0</v>
      </c>
      <c r="B1254" s="69"/>
      <c r="C1254" s="69"/>
      <c r="D1254" s="220">
        <f>IF(H1254&gt;0,D1247+1,D1247)</f>
        <v>1</v>
      </c>
      <c r="E1254" s="238"/>
      <c r="F1254" s="329" t="s">
        <v>467</v>
      </c>
      <c r="G1254" s="220" t="s">
        <v>67</v>
      </c>
      <c r="H1254" s="240">
        <v>3</v>
      </c>
      <c r="I1254" s="91">
        <f t="shared" si="55"/>
        <v>0</v>
      </c>
      <c r="J1254" s="95"/>
      <c r="K1254" s="95"/>
      <c r="L1254" s="117"/>
      <c r="M1254" s="56">
        <v>250</v>
      </c>
    </row>
    <row r="1255" spans="1:13" s="51" customFormat="1" ht="25.2" hidden="1" customHeight="1">
      <c r="A1255" s="68">
        <f>IF(A1254&gt;0,1,0)</f>
        <v>0</v>
      </c>
      <c r="B1255" s="69"/>
      <c r="C1255" s="69"/>
      <c r="D1255" s="111"/>
      <c r="E1255" s="242"/>
      <c r="F1255" s="243" t="s">
        <v>68</v>
      </c>
      <c r="G1255" s="87"/>
      <c r="H1255" s="145"/>
      <c r="I1255" s="91">
        <f t="shared" si="55"/>
        <v>0</v>
      </c>
      <c r="J1255" s="95"/>
      <c r="K1255" s="95"/>
      <c r="L1255" s="117"/>
      <c r="M1255" s="56">
        <v>250</v>
      </c>
    </row>
    <row r="1256" spans="1:13" s="51" customFormat="1" ht="25.2" hidden="1" customHeight="1">
      <c r="A1256" s="68">
        <f t="shared" si="56"/>
        <v>0</v>
      </c>
      <c r="B1256" s="144" t="s">
        <v>314</v>
      </c>
      <c r="C1256" s="144"/>
      <c r="D1256" s="111"/>
      <c r="E1256" s="88">
        <f>VLOOKUP($B1256,[1]DG!A:D,[1]DG!$B$2,)</f>
        <v>0</v>
      </c>
      <c r="F1256" s="89" t="str">
        <f>VLOOKUP($B1256,[1]DG!A:D,[1]DG!$C$2,)</f>
        <v>Xà composite 110x800x5 dài 2,4m</v>
      </c>
      <c r="G1256" s="88" t="str">
        <f>VLOOKUP($B1256,[1]DG!A:D,[1]DG!$D$2,)</f>
        <v>cái</v>
      </c>
      <c r="H1256" s="145">
        <v>1</v>
      </c>
      <c r="I1256" s="91">
        <f t="shared" si="55"/>
        <v>0</v>
      </c>
      <c r="J1256" s="92"/>
      <c r="K1256" s="92"/>
      <c r="L1256" s="117"/>
      <c r="M1256" s="56">
        <v>250</v>
      </c>
    </row>
    <row r="1257" spans="1:13" s="51" customFormat="1" ht="25.2" hidden="1" customHeight="1">
      <c r="A1257" s="68">
        <f t="shared" si="56"/>
        <v>0</v>
      </c>
      <c r="B1257" s="69" t="s">
        <v>237</v>
      </c>
      <c r="C1257" s="69"/>
      <c r="D1257" s="111"/>
      <c r="E1257" s="88">
        <f>VLOOKUP($B1257,[1]DG!A:D,[1]DG!$B$2,)</f>
        <v>0</v>
      </c>
      <c r="F1257" s="89" t="str">
        <f>VLOOKUP($B1257,[1]DG!A:D,[1]DG!$C$2,)</f>
        <v>Boulon 16x250+ 2 long đền vuông D18-50x50x3/Zn</v>
      </c>
      <c r="G1257" s="88" t="str">
        <f>VLOOKUP($B1257,[1]DG!A:D,[1]DG!$D$2,)</f>
        <v>bộ</v>
      </c>
      <c r="H1257" s="145"/>
      <c r="I1257" s="91">
        <f t="shared" si="55"/>
        <v>0</v>
      </c>
      <c r="J1257" s="92"/>
      <c r="K1257" s="92"/>
      <c r="L1257" s="117"/>
      <c r="M1257" s="56">
        <v>250</v>
      </c>
    </row>
    <row r="1258" spans="1:13" s="51" customFormat="1" ht="25.2" hidden="1" customHeight="1">
      <c r="A1258" s="68">
        <f t="shared" si="56"/>
        <v>0</v>
      </c>
      <c r="B1258" s="69" t="s">
        <v>65</v>
      </c>
      <c r="C1258" s="69"/>
      <c r="D1258" s="111"/>
      <c r="E1258" s="88">
        <f>VLOOKUP($B1258,[1]DG!A:D,[1]DG!$B$2,)</f>
        <v>0</v>
      </c>
      <c r="F1258" s="89" t="str">
        <f>VLOOKUP($B1258,[1]DG!A:D,[1]DG!$C$2,)</f>
        <v>Boulon 16x300+ 2 long đền vuông D18-50x50x3/Zn</v>
      </c>
      <c r="G1258" s="88" t="str">
        <f>VLOOKUP($B1258,[1]DG!A:D,[1]DG!$D$2,)</f>
        <v>bộ</v>
      </c>
      <c r="H1258" s="145">
        <f>2*0</f>
        <v>0</v>
      </c>
      <c r="I1258" s="91">
        <f t="shared" si="55"/>
        <v>0</v>
      </c>
      <c r="J1258" s="92"/>
      <c r="K1258" s="92"/>
      <c r="L1258" s="117"/>
      <c r="M1258" s="56">
        <v>250</v>
      </c>
    </row>
    <row r="1259" spans="1:13" s="51" customFormat="1" ht="25.2" hidden="1" customHeight="1">
      <c r="A1259" s="68">
        <f t="shared" si="56"/>
        <v>0</v>
      </c>
      <c r="B1259" s="69" t="s">
        <v>370</v>
      </c>
      <c r="C1259" s="69"/>
      <c r="D1259" s="111"/>
      <c r="E1259" s="88">
        <f>VLOOKUP($B1259,[1]DG!A:D,[1]DG!$B$2,)</f>
        <v>0</v>
      </c>
      <c r="F1259" s="89" t="str">
        <f>VLOOKUP($B1259,[1]DG!A:D,[1]DG!$C$2,)</f>
        <v>Bass LI bắt FCO</v>
      </c>
      <c r="G1259" s="88" t="str">
        <f>VLOOKUP($B1259,[1]DG!A:D,[1]DG!$D$2,)</f>
        <v>Bộ</v>
      </c>
      <c r="H1259" s="145">
        <f>H1254</f>
        <v>3</v>
      </c>
      <c r="I1259" s="91">
        <f t="shared" si="55"/>
        <v>0</v>
      </c>
      <c r="J1259" s="92"/>
      <c r="K1259" s="92"/>
      <c r="L1259" s="117"/>
      <c r="M1259" s="56">
        <v>250</v>
      </c>
    </row>
    <row r="1260" spans="1:13" s="51" customFormat="1" ht="25.2" hidden="1" customHeight="1">
      <c r="A1260" s="68">
        <f t="shared" si="56"/>
        <v>0</v>
      </c>
      <c r="B1260" s="69" t="s">
        <v>363</v>
      </c>
      <c r="C1260" s="69"/>
      <c r="D1260" s="111"/>
      <c r="E1260" s="88" t="str">
        <f>VLOOKUP($B1260,[1]DG!A:D,[1]DG!$B$2,)</f>
        <v>05.6044</v>
      </c>
      <c r="F1260" s="89" t="str">
        <f>VLOOKUP($B1260,[1]DG!A:D,[1]DG!$C$2,)</f>
        <v>Lắp xà cột Pi loại ≤140kg/xà</v>
      </c>
      <c r="G1260" s="88" t="str">
        <f>VLOOKUP($B1260,[1]DG!A:D,[1]DG!$D$2,)</f>
        <v>bộ</v>
      </c>
      <c r="H1260" s="145">
        <f>H1254*3</f>
        <v>9</v>
      </c>
      <c r="I1260" s="91">
        <f t="shared" si="55"/>
        <v>0</v>
      </c>
      <c r="J1260" s="92"/>
      <c r="K1260" s="92"/>
      <c r="L1260" s="117"/>
      <c r="M1260" s="56">
        <v>250</v>
      </c>
    </row>
    <row r="1261" spans="1:13" s="51" customFormat="1" ht="25.2" hidden="1" customHeight="1">
      <c r="A1261" s="68">
        <f t="shared" si="56"/>
        <v>0</v>
      </c>
      <c r="B1261" s="86" t="s">
        <v>231</v>
      </c>
      <c r="C1261" s="86"/>
      <c r="D1261" s="111"/>
      <c r="E1261" s="88">
        <f>VLOOKUP($B1261,[1]DG!A:D,[1]DG!$B$2,)</f>
        <v>0</v>
      </c>
      <c r="F1261" s="89" t="str">
        <f>VLOOKUP($B1261,[1]DG!A:D,[1]DG!$C$2,)</f>
        <v>Boulon 16x50+ 2 long đền vuông D18-50x50x3/Zn</v>
      </c>
      <c r="G1261" s="88" t="str">
        <f>VLOOKUP($B1261,[1]DG!A:D,[1]DG!$D$2,)</f>
        <v>bộ</v>
      </c>
      <c r="H1261" s="145">
        <f>4*H1254</f>
        <v>12</v>
      </c>
      <c r="I1261" s="91">
        <f t="shared" si="55"/>
        <v>0</v>
      </c>
      <c r="J1261" s="92"/>
      <c r="K1261" s="92"/>
      <c r="L1261" s="117"/>
      <c r="M1261" s="56">
        <v>250</v>
      </c>
    </row>
    <row r="1262" spans="1:13" s="51" customFormat="1" ht="25.2" hidden="1" customHeight="1">
      <c r="A1262" s="68">
        <f t="shared" si="56"/>
        <v>0</v>
      </c>
      <c r="B1262" s="86" t="s">
        <v>383</v>
      </c>
      <c r="C1262" s="86"/>
      <c r="D1262" s="111"/>
      <c r="E1262" s="88" t="str">
        <f>VLOOKUP($B1262,[1]DG!A:D,[1]DG!$B$2,)</f>
        <v>05.6102</v>
      </c>
      <c r="F1262" s="89" t="str">
        <f>VLOOKUP($B1262,[1]DG!A:D,[1]DG!$C$2,)</f>
        <v>Lắp xà đỡ ≤ 50kg</v>
      </c>
      <c r="G1262" s="88" t="str">
        <f>VLOOKUP($B1262,[1]DG!A:D,[1]DG!$D$2,)</f>
        <v>bộ</v>
      </c>
      <c r="H1262" s="145">
        <f>1*H1254</f>
        <v>3</v>
      </c>
      <c r="I1262" s="91">
        <f t="shared" si="55"/>
        <v>0</v>
      </c>
      <c r="J1262" s="92"/>
      <c r="K1262" s="92"/>
      <c r="L1262" s="117"/>
      <c r="M1262" s="56">
        <v>250</v>
      </c>
    </row>
    <row r="1263" spans="1:13" s="51" customFormat="1" ht="25.2" hidden="1" customHeight="1">
      <c r="A1263" s="68">
        <f t="shared" si="56"/>
        <v>0</v>
      </c>
      <c r="B1263" s="69"/>
      <c r="C1263" s="69"/>
      <c r="D1263" s="220">
        <f>IF(H1263&gt;0,D1254+1,D1254)</f>
        <v>2</v>
      </c>
      <c r="E1263" s="238"/>
      <c r="F1263" s="329" t="s">
        <v>468</v>
      </c>
      <c r="G1263" s="220" t="s">
        <v>67</v>
      </c>
      <c r="H1263" s="240">
        <v>1</v>
      </c>
      <c r="I1263" s="91">
        <f t="shared" si="55"/>
        <v>0</v>
      </c>
      <c r="J1263" s="95"/>
      <c r="K1263" s="95"/>
      <c r="L1263" s="117"/>
      <c r="M1263" s="56">
        <v>250</v>
      </c>
    </row>
    <row r="1264" spans="1:13" s="51" customFormat="1" ht="25.2" hidden="1" customHeight="1">
      <c r="A1264" s="68">
        <f>IF(A1263&gt;0,1,0)</f>
        <v>0</v>
      </c>
      <c r="B1264" s="69"/>
      <c r="C1264" s="69"/>
      <c r="D1264" s="111"/>
      <c r="E1264" s="242"/>
      <c r="F1264" s="243" t="s">
        <v>68</v>
      </c>
      <c r="G1264" s="87"/>
      <c r="H1264" s="145"/>
      <c r="I1264" s="91">
        <f t="shared" si="55"/>
        <v>0</v>
      </c>
      <c r="J1264" s="95"/>
      <c r="K1264" s="95"/>
      <c r="L1264" s="117"/>
      <c r="M1264" s="56">
        <v>250</v>
      </c>
    </row>
    <row r="1265" spans="1:13" s="51" customFormat="1" ht="25.2" hidden="1" customHeight="1">
      <c r="A1265" s="68">
        <f t="shared" si="56"/>
        <v>0</v>
      </c>
      <c r="B1265" s="86" t="s">
        <v>367</v>
      </c>
      <c r="C1265" s="86"/>
      <c r="D1265" s="111"/>
      <c r="E1265" s="88">
        <f>VLOOKUP($B1265,[1]DG!A:D,[1]DG!$B$2,)</f>
        <v>0</v>
      </c>
      <c r="F1265" s="89" t="str">
        <f>VLOOKUP($B1265,[1]DG!A:D,[1]DG!$C$2,)</f>
        <v>Sắt góc L75 x75 x8</v>
      </c>
      <c r="G1265" s="88" t="str">
        <f>VLOOKUP($B1265,[1]DG!A:D,[1]DG!$D$2,)</f>
        <v>kg</v>
      </c>
      <c r="H1265" s="350">
        <v>1</v>
      </c>
      <c r="I1265" s="351">
        <f t="shared" si="55"/>
        <v>0</v>
      </c>
      <c r="J1265" s="92"/>
      <c r="K1265" s="92"/>
      <c r="L1265" s="117"/>
      <c r="M1265" s="56">
        <v>250</v>
      </c>
    </row>
    <row r="1266" spans="1:13" s="51" customFormat="1" ht="25.2" hidden="1" customHeight="1">
      <c r="A1266" s="68">
        <f t="shared" si="56"/>
        <v>0</v>
      </c>
      <c r="B1266" s="69" t="s">
        <v>237</v>
      </c>
      <c r="C1266" s="69"/>
      <c r="D1266" s="111"/>
      <c r="E1266" s="88">
        <f>VLOOKUP($B1266,[1]DG!A:D,[1]DG!$B$2,)</f>
        <v>0</v>
      </c>
      <c r="F1266" s="89" t="str">
        <f>VLOOKUP($B1266,[1]DG!A:D,[1]DG!$C$2,)</f>
        <v>Boulon 16x250+ 2 long đền vuông D18-50x50x3/Zn</v>
      </c>
      <c r="G1266" s="88" t="str">
        <f>VLOOKUP($B1266,[1]DG!A:D,[1]DG!$D$2,)</f>
        <v>bộ</v>
      </c>
      <c r="H1266" s="145">
        <f>H1263</f>
        <v>1</v>
      </c>
      <c r="I1266" s="91">
        <f t="shared" si="55"/>
        <v>0</v>
      </c>
      <c r="J1266" s="92"/>
      <c r="K1266" s="92"/>
      <c r="L1266" s="117"/>
      <c r="M1266" s="56">
        <v>250</v>
      </c>
    </row>
    <row r="1267" spans="1:13" s="51" customFormat="1" ht="25.2" hidden="1" customHeight="1">
      <c r="A1267" s="68">
        <f t="shared" si="56"/>
        <v>0</v>
      </c>
      <c r="B1267" s="69" t="s">
        <v>65</v>
      </c>
      <c r="C1267" s="69"/>
      <c r="D1267" s="111"/>
      <c r="E1267" s="88">
        <f>VLOOKUP($B1267,[1]DG!A:D,[1]DG!$B$2,)</f>
        <v>0</v>
      </c>
      <c r="F1267" s="89" t="str">
        <f>VLOOKUP($B1267,[1]DG!A:D,[1]DG!$C$2,)</f>
        <v>Boulon 16x300+ 2 long đền vuông D18-50x50x3/Zn</v>
      </c>
      <c r="G1267" s="88" t="str">
        <f>VLOOKUP($B1267,[1]DG!A:D,[1]DG!$D$2,)</f>
        <v>bộ</v>
      </c>
      <c r="H1267" s="145">
        <f>H1263</f>
        <v>1</v>
      </c>
      <c r="I1267" s="91">
        <f t="shared" si="55"/>
        <v>0</v>
      </c>
      <c r="J1267" s="92"/>
      <c r="K1267" s="92"/>
      <c r="L1267" s="117"/>
      <c r="M1267" s="56">
        <v>250</v>
      </c>
    </row>
    <row r="1268" spans="1:13" s="51" customFormat="1" ht="25.2" hidden="1" customHeight="1">
      <c r="A1268" s="68">
        <f t="shared" si="56"/>
        <v>0</v>
      </c>
      <c r="B1268" s="69" t="s">
        <v>381</v>
      </c>
      <c r="C1268" s="69"/>
      <c r="D1268" s="111"/>
      <c r="E1268" s="88">
        <f>VLOOKUP($B1268,[1]DG!A:D,[1]DG!$B$2,)</f>
        <v>0</v>
      </c>
      <c r="F1268" s="89" t="str">
        <f>VLOOKUP($B1268,[1]DG!A:D,[1]DG!$C$2,)</f>
        <v>Bass LI bắt FCO</v>
      </c>
      <c r="G1268" s="88" t="str">
        <f>VLOOKUP($B1268,[1]DG!A:D,[1]DG!$D$2,)</f>
        <v>Bộ</v>
      </c>
      <c r="H1268" s="145">
        <v>3</v>
      </c>
      <c r="I1268" s="91">
        <f t="shared" si="55"/>
        <v>0</v>
      </c>
      <c r="J1268" s="92"/>
      <c r="K1268" s="92"/>
      <c r="L1268" s="117"/>
      <c r="M1268" s="56">
        <v>250</v>
      </c>
    </row>
    <row r="1269" spans="1:13" s="51" customFormat="1" ht="25.2" hidden="1" customHeight="1">
      <c r="A1269" s="68">
        <f t="shared" si="56"/>
        <v>0</v>
      </c>
      <c r="B1269" s="69" t="s">
        <v>363</v>
      </c>
      <c r="C1269" s="69"/>
      <c r="D1269" s="111"/>
      <c r="E1269" s="88" t="str">
        <f>VLOOKUP($B1269,[1]DG!A:D,[1]DG!$B$2,)</f>
        <v>05.6044</v>
      </c>
      <c r="F1269" s="89" t="str">
        <f>VLOOKUP($B1269,[1]DG!A:D,[1]DG!$C$2,)</f>
        <v>Lắp xà cột Pi loại ≤140kg/xà</v>
      </c>
      <c r="G1269" s="88" t="str">
        <f>VLOOKUP($B1269,[1]DG!A:D,[1]DG!$D$2,)</f>
        <v>bộ</v>
      </c>
      <c r="H1269" s="145">
        <v>1</v>
      </c>
      <c r="I1269" s="91">
        <f t="shared" si="55"/>
        <v>0</v>
      </c>
      <c r="J1269" s="92"/>
      <c r="K1269" s="92"/>
      <c r="L1269" s="117"/>
      <c r="M1269" s="56">
        <v>250</v>
      </c>
    </row>
    <row r="1270" spans="1:13" s="51" customFormat="1" ht="25.2" hidden="1" customHeight="1">
      <c r="A1270" s="68">
        <f t="shared" si="56"/>
        <v>0</v>
      </c>
      <c r="B1270" s="69"/>
      <c r="C1270" s="69"/>
      <c r="D1270" s="220">
        <f>IF(H1270&gt;0,D1263+1,D1263)</f>
        <v>3</v>
      </c>
      <c r="E1270" s="238"/>
      <c r="F1270" s="329" t="s">
        <v>373</v>
      </c>
      <c r="G1270" s="220" t="s">
        <v>67</v>
      </c>
      <c r="H1270" s="240">
        <v>2</v>
      </c>
      <c r="I1270" s="91">
        <f t="shared" si="55"/>
        <v>0</v>
      </c>
      <c r="J1270" s="95"/>
      <c r="K1270" s="95"/>
      <c r="L1270" s="117"/>
      <c r="M1270" s="56">
        <v>250</v>
      </c>
    </row>
    <row r="1271" spans="1:13" s="51" customFormat="1" ht="25.2" hidden="1" customHeight="1">
      <c r="A1271" s="68">
        <f>IF(A1270&gt;0,1,0)</f>
        <v>0</v>
      </c>
      <c r="B1271" s="69"/>
      <c r="C1271" s="69"/>
      <c r="D1271" s="111"/>
      <c r="E1271" s="242"/>
      <c r="F1271" s="243" t="s">
        <v>68</v>
      </c>
      <c r="G1271" s="87"/>
      <c r="H1271" s="145"/>
      <c r="I1271" s="91">
        <f t="shared" ref="I1271:I1334" si="57">IF(M1271=$M$23,H1271+J1271-K1271,0)</f>
        <v>0</v>
      </c>
      <c r="J1271" s="95"/>
      <c r="K1271" s="95"/>
      <c r="L1271" s="117"/>
      <c r="M1271" s="56">
        <v>250</v>
      </c>
    </row>
    <row r="1272" spans="1:13" s="51" customFormat="1" ht="25.2" hidden="1" customHeight="1">
      <c r="A1272" s="68">
        <f t="shared" si="56"/>
        <v>0</v>
      </c>
      <c r="B1272" s="69" t="s">
        <v>367</v>
      </c>
      <c r="C1272" s="330">
        <f>93.81/2</f>
        <v>46.905000000000001</v>
      </c>
      <c r="D1272" s="111"/>
      <c r="E1272" s="88">
        <f>VLOOKUP($B1272,[1]DG!A:D,[1]DG!$B$2,)</f>
        <v>0</v>
      </c>
      <c r="F1272" s="89" t="str">
        <f>VLOOKUP($B1272,[1]DG!A:D,[1]DG!$C$2,)</f>
        <v>Sắt góc L75 x75 x8</v>
      </c>
      <c r="G1272" s="88" t="str">
        <f>VLOOKUP($B1272,[1]DG!A:D,[1]DG!$D$2,)</f>
        <v>kg</v>
      </c>
      <c r="H1272" s="350"/>
      <c r="I1272" s="351">
        <f>H1272</f>
        <v>0</v>
      </c>
      <c r="J1272" s="92"/>
      <c r="K1272" s="92"/>
      <c r="L1272" s="117"/>
      <c r="M1272" s="56">
        <v>250</v>
      </c>
    </row>
    <row r="1273" spans="1:13" s="51" customFormat="1" ht="25.2" hidden="1" customHeight="1">
      <c r="A1273" s="68">
        <f t="shared" si="56"/>
        <v>0</v>
      </c>
      <c r="B1273" s="69" t="s">
        <v>265</v>
      </c>
      <c r="C1273" s="69"/>
      <c r="D1273" s="111"/>
      <c r="E1273" s="88">
        <f>VLOOKUP($B1273,[1]DG!A:D,[1]DG!$B$2,)</f>
        <v>0</v>
      </c>
      <c r="F1273" s="89" t="str">
        <f>VLOOKUP($B1273,[1]DG!A:D,[1]DG!$C$2,)</f>
        <v>Boulon 16x400+ 2 long đền vuông D18-50x50x3/Zn</v>
      </c>
      <c r="G1273" s="88" t="str">
        <f>VLOOKUP($B1273,[1]DG!A:D,[1]DG!$D$2,)</f>
        <v>bộ</v>
      </c>
      <c r="H1273" s="145">
        <f>H1270*2</f>
        <v>4</v>
      </c>
      <c r="I1273" s="91">
        <f t="shared" si="57"/>
        <v>0</v>
      </c>
      <c r="J1273" s="92"/>
      <c r="K1273" s="92"/>
      <c r="L1273" s="117"/>
      <c r="M1273" s="56">
        <v>250</v>
      </c>
    </row>
    <row r="1274" spans="1:13" s="51" customFormat="1" ht="25.2" hidden="1" customHeight="1">
      <c r="A1274" s="68">
        <f t="shared" si="56"/>
        <v>0</v>
      </c>
      <c r="B1274" s="69" t="s">
        <v>131</v>
      </c>
      <c r="C1274" s="69"/>
      <c r="D1274" s="111"/>
      <c r="E1274" s="88">
        <f>VLOOKUP($B1274,[1]DG!A:D,[1]DG!$B$2,)</f>
        <v>0</v>
      </c>
      <c r="F1274" s="89" t="str">
        <f>VLOOKUP($B1274,[1]DG!A:D,[1]DG!$C$2,)</f>
        <v>Boulon 12x40+ 2 long đền vuông D14-50x50x3/Zn</v>
      </c>
      <c r="G1274" s="88" t="str">
        <f>VLOOKUP($B1274,[1]DG!A:D,[1]DG!$D$2,)</f>
        <v>bộ</v>
      </c>
      <c r="H1274" s="145">
        <f>H1270*2</f>
        <v>4</v>
      </c>
      <c r="I1274" s="91">
        <f t="shared" si="57"/>
        <v>0</v>
      </c>
      <c r="J1274" s="92"/>
      <c r="K1274" s="92"/>
      <c r="L1274" s="117"/>
      <c r="M1274" s="56">
        <v>250</v>
      </c>
    </row>
    <row r="1275" spans="1:13" s="51" customFormat="1" ht="25.2" hidden="1" customHeight="1">
      <c r="A1275" s="68">
        <f t="shared" si="56"/>
        <v>0</v>
      </c>
      <c r="B1275" s="69" t="s">
        <v>363</v>
      </c>
      <c r="C1275" s="69"/>
      <c r="D1275" s="111"/>
      <c r="E1275" s="88" t="str">
        <f>VLOOKUP($B1275,[1]DG!A:D,[1]DG!$B$2,)</f>
        <v>05.6044</v>
      </c>
      <c r="F1275" s="89" t="str">
        <f>VLOOKUP($B1275,[1]DG!A:D,[1]DG!$C$2,)</f>
        <v>Lắp xà cột Pi loại ≤140kg/xà</v>
      </c>
      <c r="G1275" s="88" t="str">
        <f>VLOOKUP($B1275,[1]DG!A:D,[1]DG!$D$2,)</f>
        <v>bộ</v>
      </c>
      <c r="H1275" s="145">
        <f>H1270/2</f>
        <v>1</v>
      </c>
      <c r="I1275" s="91">
        <f t="shared" si="57"/>
        <v>0</v>
      </c>
      <c r="J1275" s="92"/>
      <c r="K1275" s="92"/>
      <c r="L1275" s="117"/>
      <c r="M1275" s="56">
        <v>250</v>
      </c>
    </row>
    <row r="1276" spans="1:13" s="51" customFormat="1" ht="25.2" hidden="1" customHeight="1">
      <c r="A1276" s="68">
        <f t="shared" si="56"/>
        <v>0</v>
      </c>
      <c r="B1276" s="69" t="s">
        <v>374</v>
      </c>
      <c r="C1276" s="69"/>
      <c r="D1276" s="111"/>
      <c r="E1276" s="88" t="str">
        <f>VLOOKUP($B1276,[1]DG!A:D,[1]DG!$B$2,)</f>
        <v>02.1115</v>
      </c>
      <c r="F1276" s="89" t="str">
        <f>VLOOKUP($B1276,[1]DG!A:D,[1]DG!$C$2,)</f>
        <v>Bốc dỡ xà, thép thanh</v>
      </c>
      <c r="G1276" s="88" t="str">
        <f>VLOOKUP($B1276,[1]DG!A:D,[1]DG!$D$2,)</f>
        <v>tấn</v>
      </c>
      <c r="H1276" s="145">
        <f>0.05*0</f>
        <v>0</v>
      </c>
      <c r="I1276" s="91">
        <f t="shared" si="57"/>
        <v>0</v>
      </c>
      <c r="J1276" s="92"/>
      <c r="K1276" s="92"/>
      <c r="L1276" s="117"/>
      <c r="M1276" s="56">
        <v>250</v>
      </c>
    </row>
    <row r="1277" spans="1:13" s="51" customFormat="1" ht="25.2" hidden="1" customHeight="1">
      <c r="A1277" s="68">
        <f t="shared" si="56"/>
        <v>0</v>
      </c>
      <c r="B1277" s="69" t="s">
        <v>65</v>
      </c>
      <c r="C1277" s="69"/>
      <c r="D1277" s="111"/>
      <c r="E1277" s="88">
        <f>VLOOKUP($B1277,[1]DG!A:D,[1]DG!$B$2,)</f>
        <v>0</v>
      </c>
      <c r="F1277" s="89" t="str">
        <f>VLOOKUP($B1277,[1]DG!A:D,[1]DG!$C$2,)</f>
        <v>Boulon 16x300+ 2 long đền vuông D18-50x50x3/Zn</v>
      </c>
      <c r="G1277" s="88" t="s">
        <v>375</v>
      </c>
      <c r="H1277" s="145">
        <f>H1270*2*0</f>
        <v>0</v>
      </c>
      <c r="I1277" s="91">
        <f t="shared" si="57"/>
        <v>0</v>
      </c>
      <c r="J1277" s="92"/>
      <c r="K1277" s="92"/>
      <c r="L1277" s="117"/>
      <c r="M1277" s="56">
        <v>250</v>
      </c>
    </row>
    <row r="1278" spans="1:13" s="51" customFormat="1" ht="25.2" hidden="1" customHeight="1">
      <c r="A1278" s="68">
        <f t="shared" si="56"/>
        <v>0</v>
      </c>
      <c r="B1278" s="69" t="s">
        <v>237</v>
      </c>
      <c r="C1278" s="69"/>
      <c r="D1278" s="111"/>
      <c r="E1278" s="88">
        <f>VLOOKUP($B1278,[1]DG!A:D,[1]DG!$B$2,)</f>
        <v>0</v>
      </c>
      <c r="F1278" s="89" t="str">
        <f>VLOOKUP($B1278,[1]DG!A:D,[1]DG!$C$2,)</f>
        <v>Boulon 16x250+ 2 long đền vuông D18-50x50x3/Zn</v>
      </c>
      <c r="G1278" s="88" t="s">
        <v>375</v>
      </c>
      <c r="H1278" s="145">
        <f>2*H1270*2*0</f>
        <v>0</v>
      </c>
      <c r="I1278" s="91">
        <f t="shared" si="57"/>
        <v>0</v>
      </c>
      <c r="J1278" s="92"/>
      <c r="K1278" s="92"/>
      <c r="L1278" s="117"/>
      <c r="M1278" s="56">
        <v>250</v>
      </c>
    </row>
    <row r="1279" spans="1:13" s="51" customFormat="1" ht="25.2" hidden="1" customHeight="1" collapsed="1">
      <c r="A1279" s="68">
        <f t="shared" si="56"/>
        <v>0</v>
      </c>
      <c r="B1279" s="69"/>
      <c r="C1279" s="69"/>
      <c r="D1279" s="220">
        <f>IF(H1279&gt;0,D1270+1,D1270)</f>
        <v>3</v>
      </c>
      <c r="E1279" s="238"/>
      <c r="F1279" s="329" t="s">
        <v>376</v>
      </c>
      <c r="G1279" s="220" t="s">
        <v>67</v>
      </c>
      <c r="H1279" s="240">
        <f>H1203*0</f>
        <v>0</v>
      </c>
      <c r="I1279" s="91">
        <f t="shared" si="57"/>
        <v>0</v>
      </c>
      <c r="J1279" s="146"/>
      <c r="K1279" s="146"/>
      <c r="L1279" s="96"/>
      <c r="M1279" s="56">
        <v>250</v>
      </c>
    </row>
    <row r="1280" spans="1:13" s="51" customFormat="1" ht="25.2" hidden="1" customHeight="1">
      <c r="A1280" s="68">
        <f>IF(A1279&gt;0,1,0)</f>
        <v>0</v>
      </c>
      <c r="B1280" s="69"/>
      <c r="C1280" s="69"/>
      <c r="D1280" s="111"/>
      <c r="E1280" s="242"/>
      <c r="F1280" s="243" t="s">
        <v>68</v>
      </c>
      <c r="G1280" s="87"/>
      <c r="H1280" s="145"/>
      <c r="I1280" s="91">
        <f t="shared" si="57"/>
        <v>0</v>
      </c>
      <c r="J1280" s="146"/>
      <c r="K1280" s="146"/>
      <c r="L1280" s="96"/>
      <c r="M1280" s="56">
        <v>250</v>
      </c>
    </row>
    <row r="1281" spans="1:13" s="51" customFormat="1" ht="25.2" hidden="1" customHeight="1">
      <c r="A1281" s="68">
        <f t="shared" si="56"/>
        <v>0</v>
      </c>
      <c r="B1281" s="69" t="s">
        <v>367</v>
      </c>
      <c r="C1281" s="69"/>
      <c r="D1281" s="111"/>
      <c r="E1281" s="88">
        <f>VLOOKUP($B1281,[1]DG!A:D,[1]DG!$B$2,)</f>
        <v>0</v>
      </c>
      <c r="F1281" s="89" t="str">
        <f>VLOOKUP($B1281,[1]DG!A:D,[1]DG!$C$2,)</f>
        <v>Sắt góc L75 x75 x8</v>
      </c>
      <c r="G1281" s="88" t="s">
        <v>377</v>
      </c>
      <c r="H1281" s="145">
        <f>H1279*9.02*(2.4+4*0.07)*2</f>
        <v>0</v>
      </c>
      <c r="I1281" s="91">
        <f t="shared" si="57"/>
        <v>0</v>
      </c>
      <c r="J1281" s="146"/>
      <c r="K1281" s="146"/>
      <c r="L1281" s="96"/>
      <c r="M1281" s="56">
        <v>250</v>
      </c>
    </row>
    <row r="1282" spans="1:13" s="51" customFormat="1" ht="25.2" hidden="1" customHeight="1">
      <c r="A1282" s="68">
        <f t="shared" si="56"/>
        <v>0</v>
      </c>
      <c r="B1282" s="69" t="s">
        <v>378</v>
      </c>
      <c r="C1282" s="69"/>
      <c r="D1282" s="111"/>
      <c r="E1282" s="88">
        <f>VLOOKUP($B1282,[1]DG!A:D,[1]DG!$B$2,)</f>
        <v>0</v>
      </c>
      <c r="F1282" s="89" t="str">
        <f>VLOOKUP($B1282,[1]DG!A:D,[1]DG!$C$2,)&amp;" (Thanh choáng 810)"</f>
        <v>Sắt góc L50 x50 x5 (Thanh choáng 810)</v>
      </c>
      <c r="G1282" s="88" t="s">
        <v>377</v>
      </c>
      <c r="H1282" s="145">
        <f>H1279*3.77*0.81*4</f>
        <v>0</v>
      </c>
      <c r="I1282" s="91">
        <f t="shared" si="57"/>
        <v>0</v>
      </c>
      <c r="J1282" s="146"/>
      <c r="K1282" s="146"/>
      <c r="L1282" s="96"/>
      <c r="M1282" s="56">
        <v>250</v>
      </c>
    </row>
    <row r="1283" spans="1:13" s="51" customFormat="1" ht="25.2" hidden="1" customHeight="1">
      <c r="A1283" s="68">
        <f t="shared" si="56"/>
        <v>0</v>
      </c>
      <c r="B1283" s="69" t="s">
        <v>65</v>
      </c>
      <c r="C1283" s="69"/>
      <c r="D1283" s="111"/>
      <c r="E1283" s="88">
        <f>VLOOKUP($B1283,[1]DG!A:D,[1]DG!$B$2,)</f>
        <v>0</v>
      </c>
      <c r="F1283" s="89" t="str">
        <f>VLOOKUP($B1283,[1]DG!A:D,[1]DG!$C$2,)</f>
        <v>Boulon 16x300+ 2 long đền vuông D18-50x50x3/Zn</v>
      </c>
      <c r="G1283" s="88" t="s">
        <v>375</v>
      </c>
      <c r="H1283" s="145">
        <f>H1279*2</f>
        <v>0</v>
      </c>
      <c r="I1283" s="91">
        <f t="shared" si="57"/>
        <v>0</v>
      </c>
      <c r="J1283" s="146"/>
      <c r="K1283" s="146"/>
      <c r="L1283" s="96"/>
      <c r="M1283" s="56">
        <v>250</v>
      </c>
    </row>
    <row r="1284" spans="1:13" s="51" customFormat="1" ht="25.2" hidden="1" customHeight="1">
      <c r="A1284" s="68">
        <f t="shared" si="56"/>
        <v>0</v>
      </c>
      <c r="B1284" s="69" t="s">
        <v>231</v>
      </c>
      <c r="C1284" s="69"/>
      <c r="D1284" s="111"/>
      <c r="E1284" s="88">
        <f>VLOOKUP($B1284,[1]DG!A:D,[1]DG!$B$2,)</f>
        <v>0</v>
      </c>
      <c r="F1284" s="89" t="str">
        <f>VLOOKUP($B1284,[1]DG!A:D,[1]DG!$C$2,)</f>
        <v>Boulon 16x50+ 2 long đền vuông D18-50x50x3/Zn</v>
      </c>
      <c r="G1284" s="88" t="s">
        <v>375</v>
      </c>
      <c r="H1284" s="145">
        <f>H1279*4</f>
        <v>0</v>
      </c>
      <c r="I1284" s="91">
        <f t="shared" si="57"/>
        <v>0</v>
      </c>
      <c r="J1284" s="146"/>
      <c r="K1284" s="146"/>
      <c r="L1284" s="96"/>
      <c r="M1284" s="56">
        <v>250</v>
      </c>
    </row>
    <row r="1285" spans="1:13" s="51" customFormat="1" ht="25.2" hidden="1" customHeight="1">
      <c r="A1285" s="68">
        <f t="shared" si="56"/>
        <v>0</v>
      </c>
      <c r="B1285" s="69" t="s">
        <v>368</v>
      </c>
      <c r="C1285" s="69"/>
      <c r="D1285" s="111"/>
      <c r="E1285" s="88">
        <f>VLOOKUP($B1285,[1]DG!A:D,[1]DG!$B$2,)</f>
        <v>0</v>
      </c>
      <c r="F1285" s="89" t="str">
        <f>VLOOKUP($B1285,[1]DG!A:D,[1]DG!$C$2,)</f>
        <v>Boulon 16x300VRS+ 4 long đền vuông D18-50x50x3/Zn</v>
      </c>
      <c r="G1285" s="88" t="s">
        <v>375</v>
      </c>
      <c r="H1285" s="145">
        <f>H1279*4</f>
        <v>0</v>
      </c>
      <c r="I1285" s="91">
        <f t="shared" si="57"/>
        <v>0</v>
      </c>
      <c r="J1285" s="146"/>
      <c r="K1285" s="146"/>
      <c r="L1285" s="96"/>
      <c r="M1285" s="56">
        <v>250</v>
      </c>
    </row>
    <row r="1286" spans="1:13" s="51" customFormat="1" ht="25.2" hidden="1" customHeight="1">
      <c r="A1286" s="68">
        <f t="shared" si="56"/>
        <v>0</v>
      </c>
      <c r="B1286" s="69" t="s">
        <v>379</v>
      </c>
      <c r="C1286" s="69"/>
      <c r="D1286" s="111"/>
      <c r="E1286" s="88" t="str">
        <f>VLOOKUP($B1286,[1]DG!A:D,[1]DG!$B$2,)</f>
        <v>05.6203</v>
      </c>
      <c r="F1286" s="89" t="str">
        <f>VLOOKUP($B1286,[1]DG!A:D,[1]DG!$C$2,)</f>
        <v>Lắp xà néo ≤ 100kg</v>
      </c>
      <c r="G1286" s="88" t="s">
        <v>375</v>
      </c>
      <c r="H1286" s="145">
        <f>H1279</f>
        <v>0</v>
      </c>
      <c r="I1286" s="91">
        <f t="shared" si="57"/>
        <v>0</v>
      </c>
      <c r="J1286" s="146"/>
      <c r="K1286" s="146"/>
      <c r="L1286" s="96"/>
      <c r="M1286" s="56">
        <v>250</v>
      </c>
    </row>
    <row r="1287" spans="1:13" s="51" customFormat="1" ht="25.2" hidden="1" customHeight="1">
      <c r="A1287" s="68">
        <f t="shared" si="56"/>
        <v>0</v>
      </c>
      <c r="B1287" s="69"/>
      <c r="C1287" s="69"/>
      <c r="D1287" s="220">
        <f>IF(H1287&gt;0,D1279+1,D1279)</f>
        <v>3</v>
      </c>
      <c r="E1287" s="238"/>
      <c r="F1287" s="329" t="s">
        <v>380</v>
      </c>
      <c r="G1287" s="220" t="s">
        <v>67</v>
      </c>
      <c r="H1287" s="240">
        <f>H1203*1*0</f>
        <v>0</v>
      </c>
      <c r="I1287" s="91">
        <f t="shared" si="57"/>
        <v>0</v>
      </c>
      <c r="J1287" s="146"/>
      <c r="K1287" s="146"/>
      <c r="L1287" s="96"/>
      <c r="M1287" s="56">
        <v>250</v>
      </c>
    </row>
    <row r="1288" spans="1:13" s="51" customFormat="1" ht="25.2" hidden="1" customHeight="1">
      <c r="A1288" s="68">
        <f>IF(A1287&gt;0,1,0)</f>
        <v>0</v>
      </c>
      <c r="B1288" s="69"/>
      <c r="C1288" s="69"/>
      <c r="D1288" s="111"/>
      <c r="E1288" s="242"/>
      <c r="F1288" s="243" t="s">
        <v>68</v>
      </c>
      <c r="G1288" s="87"/>
      <c r="H1288" s="145"/>
      <c r="I1288" s="91">
        <f t="shared" si="57"/>
        <v>0</v>
      </c>
      <c r="J1288" s="146"/>
      <c r="K1288" s="146"/>
      <c r="L1288" s="96"/>
      <c r="M1288" s="56">
        <v>250</v>
      </c>
    </row>
    <row r="1289" spans="1:13" s="51" customFormat="1" ht="25.2" hidden="1" customHeight="1">
      <c r="A1289" s="68">
        <f t="shared" si="56"/>
        <v>0</v>
      </c>
      <c r="B1289" s="69" t="s">
        <v>367</v>
      </c>
      <c r="C1289" s="69"/>
      <c r="D1289" s="111"/>
      <c r="E1289" s="88">
        <f>VLOOKUP($B1289,[1]DG!A:D,[1]DG!$B$2,)</f>
        <v>0</v>
      </c>
      <c r="F1289" s="89" t="str">
        <f>VLOOKUP($B1289,[1]DG!A:D,[1]DG!$C$2,)</f>
        <v>Sắt góc L75 x75 x8</v>
      </c>
      <c r="G1289" s="88" t="s">
        <v>377</v>
      </c>
      <c r="H1289" s="145">
        <f>H1287*9.02*(2.4+4*0.07)</f>
        <v>0</v>
      </c>
      <c r="I1289" s="91">
        <f t="shared" si="57"/>
        <v>0</v>
      </c>
      <c r="J1289" s="146"/>
      <c r="K1289" s="146"/>
      <c r="L1289" s="96"/>
      <c r="M1289" s="56">
        <v>250</v>
      </c>
    </row>
    <row r="1290" spans="1:13" s="51" customFormat="1" ht="25.2" hidden="1" customHeight="1">
      <c r="A1290" s="68">
        <f t="shared" si="56"/>
        <v>0</v>
      </c>
      <c r="B1290" s="69" t="s">
        <v>378</v>
      </c>
      <c r="C1290" s="69"/>
      <c r="D1290" s="111"/>
      <c r="E1290" s="88">
        <f>VLOOKUP($B1290,[1]DG!A:D,[1]DG!$B$2,)</f>
        <v>0</v>
      </c>
      <c r="F1290" s="89" t="str">
        <f>VLOOKUP($B1290,[1]DG!A:D,[1]DG!$C$2,)&amp;" (Thanh choáng 810)"</f>
        <v>Sắt góc L50 x50 x5 (Thanh choáng 810)</v>
      </c>
      <c r="G1290" s="88" t="s">
        <v>377</v>
      </c>
      <c r="H1290" s="145">
        <f>H1287*3.77*0.81*2</f>
        <v>0</v>
      </c>
      <c r="I1290" s="91">
        <f t="shared" si="57"/>
        <v>0</v>
      </c>
      <c r="J1290" s="146"/>
      <c r="K1290" s="146"/>
      <c r="L1290" s="96"/>
      <c r="M1290" s="56">
        <v>250</v>
      </c>
    </row>
    <row r="1291" spans="1:13" s="51" customFormat="1" ht="25.2" hidden="1" customHeight="1">
      <c r="A1291" s="68">
        <f t="shared" si="56"/>
        <v>0</v>
      </c>
      <c r="B1291" s="69" t="s">
        <v>123</v>
      </c>
      <c r="C1291" s="69"/>
      <c r="D1291" s="111"/>
      <c r="E1291" s="88">
        <f>VLOOKUP($B1291,[1]DG!A:D,[1]DG!$B$2,)</f>
        <v>0</v>
      </c>
      <c r="F1291" s="89" t="str">
        <f>VLOOKUP($B1291,[1]DG!A:D,[1]DG!$C$2,)</f>
        <v>Boulon 16x350+ 2 long đền vuông D18-50x50x3/Zn</v>
      </c>
      <c r="G1291" s="88" t="s">
        <v>375</v>
      </c>
      <c r="H1291" s="145">
        <f>H1287*2</f>
        <v>0</v>
      </c>
      <c r="I1291" s="91">
        <f t="shared" si="57"/>
        <v>0</v>
      </c>
      <c r="J1291" s="146"/>
      <c r="K1291" s="146"/>
      <c r="L1291" s="96"/>
      <c r="M1291" s="56">
        <v>250</v>
      </c>
    </row>
    <row r="1292" spans="1:13" s="51" customFormat="1" ht="25.2" hidden="1" customHeight="1">
      <c r="A1292" s="68">
        <f t="shared" si="56"/>
        <v>0</v>
      </c>
      <c r="B1292" s="69" t="s">
        <v>231</v>
      </c>
      <c r="C1292" s="69"/>
      <c r="D1292" s="111"/>
      <c r="E1292" s="88">
        <f>VLOOKUP($B1292,[1]DG!A:D,[1]DG!$B$2,)</f>
        <v>0</v>
      </c>
      <c r="F1292" s="89" t="str">
        <f>VLOOKUP($B1292,[1]DG!A:D,[1]DG!$C$2,)</f>
        <v>Boulon 16x50+ 2 long đền vuông D18-50x50x3/Zn</v>
      </c>
      <c r="G1292" s="88" t="s">
        <v>375</v>
      </c>
      <c r="H1292" s="145">
        <f>H1287*2</f>
        <v>0</v>
      </c>
      <c r="I1292" s="91">
        <f t="shared" si="57"/>
        <v>0</v>
      </c>
      <c r="J1292" s="146"/>
      <c r="K1292" s="146"/>
      <c r="L1292" s="96"/>
      <c r="M1292" s="56">
        <v>250</v>
      </c>
    </row>
    <row r="1293" spans="1:13" s="51" customFormat="1" ht="25.2" hidden="1" customHeight="1">
      <c r="A1293" s="68">
        <f t="shared" si="56"/>
        <v>0</v>
      </c>
      <c r="B1293" s="69" t="s">
        <v>381</v>
      </c>
      <c r="C1293" s="69"/>
      <c r="D1293" s="111"/>
      <c r="E1293" s="88">
        <f>VLOOKUP($B1293,[1]DG!A:D,[1]DG!$B$2,)</f>
        <v>0</v>
      </c>
      <c r="F1293" s="89" t="str">
        <f>VLOOKUP($B1293,[1]DG!A:D,[1]DG!$C$2,)</f>
        <v>Bass LI bắt FCO</v>
      </c>
      <c r="G1293" s="88" t="s">
        <v>375</v>
      </c>
      <c r="H1293" s="145">
        <f>IF(H1287&gt;0,3,)</f>
        <v>0</v>
      </c>
      <c r="I1293" s="91">
        <f t="shared" si="57"/>
        <v>0</v>
      </c>
      <c r="J1293" s="146"/>
      <c r="K1293" s="146"/>
      <c r="L1293" s="96"/>
      <c r="M1293" s="56">
        <v>250</v>
      </c>
    </row>
    <row r="1294" spans="1:13" s="51" customFormat="1" ht="25.2" hidden="1" customHeight="1">
      <c r="A1294" s="68">
        <f t="shared" si="56"/>
        <v>0</v>
      </c>
      <c r="B1294" s="69" t="s">
        <v>382</v>
      </c>
      <c r="C1294" s="69"/>
      <c r="D1294" s="111"/>
      <c r="E1294" s="88" t="str">
        <f>VLOOKUP($B1294,[1]DG!A:D,[1]DG!$B$2,)</f>
        <v>06.3231</v>
      </c>
      <c r="F1294" s="89" t="str">
        <f>VLOOKUP($B1294,[1]DG!A:D,[1]DG!$C$2,)</f>
        <v xml:space="preserve">Cổ dê chống lắc 8x80x800 </v>
      </c>
      <c r="G1294" s="88" t="s">
        <v>375</v>
      </c>
      <c r="H1294" s="145">
        <f>H1287*0</f>
        <v>0</v>
      </c>
      <c r="I1294" s="91">
        <f t="shared" si="57"/>
        <v>0</v>
      </c>
      <c r="J1294" s="146"/>
      <c r="K1294" s="146"/>
      <c r="L1294" s="96"/>
      <c r="M1294" s="56">
        <v>250</v>
      </c>
    </row>
    <row r="1295" spans="1:13" s="51" customFormat="1" ht="25.2" hidden="1" customHeight="1">
      <c r="A1295" s="68">
        <f t="shared" si="56"/>
        <v>0</v>
      </c>
      <c r="B1295" s="69" t="s">
        <v>383</v>
      </c>
      <c r="C1295" s="69"/>
      <c r="D1295" s="111"/>
      <c r="E1295" s="88" t="str">
        <f>VLOOKUP($B1295,[1]DG!A:D,[1]DG!$B$2,)</f>
        <v>05.6102</v>
      </c>
      <c r="F1295" s="89" t="str">
        <f>VLOOKUP($B1295,[1]DG!A:D,[1]DG!$C$2,)</f>
        <v>Lắp xà đỡ ≤ 50kg</v>
      </c>
      <c r="G1295" s="88" t="s">
        <v>375</v>
      </c>
      <c r="H1295" s="145">
        <f>H1287</f>
        <v>0</v>
      </c>
      <c r="I1295" s="91">
        <f t="shared" si="57"/>
        <v>0</v>
      </c>
      <c r="J1295" s="146"/>
      <c r="K1295" s="146"/>
      <c r="L1295" s="96"/>
      <c r="M1295" s="56">
        <v>250</v>
      </c>
    </row>
    <row r="1296" spans="1:13" s="51" customFormat="1" ht="25.2" hidden="1" customHeight="1">
      <c r="A1296" s="68">
        <f t="shared" si="56"/>
        <v>0</v>
      </c>
      <c r="B1296" s="69"/>
      <c r="C1296" s="69"/>
      <c r="D1296" s="220">
        <f>IF(H1296&gt;0,D1287+1,D1287)</f>
        <v>3</v>
      </c>
      <c r="E1296" s="238"/>
      <c r="F1296" s="329" t="s">
        <v>384</v>
      </c>
      <c r="G1296" s="220" t="s">
        <v>67</v>
      </c>
      <c r="H1296" s="240">
        <f>H1203</f>
        <v>0</v>
      </c>
      <c r="I1296" s="91">
        <f t="shared" si="57"/>
        <v>0</v>
      </c>
      <c r="J1296" s="146"/>
      <c r="K1296" s="146"/>
      <c r="L1296" s="96"/>
      <c r="M1296" s="56">
        <v>250</v>
      </c>
    </row>
    <row r="1297" spans="1:13" s="51" customFormat="1" ht="25.2" hidden="1" customHeight="1">
      <c r="A1297" s="68">
        <f>IF(A1296&gt;0,1,0)</f>
        <v>0</v>
      </c>
      <c r="B1297" s="330"/>
      <c r="C1297" s="330"/>
      <c r="D1297" s="111"/>
      <c r="E1297" s="242"/>
      <c r="F1297" s="243" t="s">
        <v>68</v>
      </c>
      <c r="G1297" s="87"/>
      <c r="H1297" s="145"/>
      <c r="I1297" s="91">
        <f t="shared" si="57"/>
        <v>0</v>
      </c>
      <c r="J1297" s="146"/>
      <c r="K1297" s="146"/>
      <c r="L1297" s="96"/>
      <c r="M1297" s="56">
        <v>250</v>
      </c>
    </row>
    <row r="1298" spans="1:13" s="51" customFormat="1" ht="25.2" hidden="1" customHeight="1">
      <c r="A1298" s="68">
        <f t="shared" si="56"/>
        <v>0</v>
      </c>
      <c r="B1298" s="69" t="s">
        <v>81</v>
      </c>
      <c r="C1298" s="69"/>
      <c r="D1298" s="111"/>
      <c r="E1298" s="88">
        <f>VLOOKUP($B1298,[1]DG!A:D,[1]DG!$B$2,)</f>
        <v>0</v>
      </c>
      <c r="F1298" s="89" t="str">
        <f>VLOOKUP($B1298,[1]DG!A:D,[1]DG!$C$2,)</f>
        <v>Cáp đồng trần M25mm2</v>
      </c>
      <c r="G1298" s="88" t="str">
        <f>VLOOKUP($B1298,[1]DG!A:D,[1]DG!$D$2,)</f>
        <v>kg</v>
      </c>
      <c r="H1298" s="94">
        <v>11.9</v>
      </c>
      <c r="I1298" s="91">
        <f t="shared" si="57"/>
        <v>0</v>
      </c>
      <c r="J1298" s="146"/>
      <c r="K1298" s="146"/>
      <c r="L1298" s="96"/>
      <c r="M1298" s="56">
        <v>250</v>
      </c>
    </row>
    <row r="1299" spans="1:13" s="51" customFormat="1" ht="25.2" hidden="1" customHeight="1">
      <c r="A1299" s="68">
        <f t="shared" si="56"/>
        <v>0</v>
      </c>
      <c r="B1299" s="86" t="s">
        <v>82</v>
      </c>
      <c r="C1299" s="86"/>
      <c r="D1299" s="111"/>
      <c r="E1299" s="88">
        <f>VLOOKUP($B1299,[1]DG!A:D,[1]DG!$B$2,)</f>
        <v>0</v>
      </c>
      <c r="F1299" s="89" t="str">
        <f>VLOOKUP($B1299,[1]DG!A:D,[1]DG!$C$2,)</f>
        <v>Cọc tiếp đất Þ 16- 2,4m + kẹp cọc mạ đồng</v>
      </c>
      <c r="G1299" s="88" t="str">
        <f>VLOOKUP($B1299,[1]DG!A:D,[1]DG!$D$2,)</f>
        <v>bộ</v>
      </c>
      <c r="H1299" s="94">
        <f>10*H1296</f>
        <v>0</v>
      </c>
      <c r="I1299" s="91">
        <f t="shared" si="57"/>
        <v>0</v>
      </c>
      <c r="J1299" s="146"/>
      <c r="K1299" s="146"/>
      <c r="L1299" s="96"/>
      <c r="M1299" s="56">
        <v>250</v>
      </c>
    </row>
    <row r="1300" spans="1:13" s="51" customFormat="1" ht="25.2" hidden="1" customHeight="1">
      <c r="A1300" s="68">
        <f t="shared" si="56"/>
        <v>0</v>
      </c>
      <c r="B1300" s="144" t="s">
        <v>153</v>
      </c>
      <c r="C1300" s="144"/>
      <c r="D1300" s="111"/>
      <c r="E1300" s="88">
        <f>VLOOKUP($B1300,[1]DG!A:D,[1]DG!$B$2,)</f>
        <v>0</v>
      </c>
      <c r="F1300" s="89" t="str">
        <f>VLOOKUP($B1300,[1]DG!A:D,[1]DG!$C$2,)</f>
        <v>Sắt Ø10</v>
      </c>
      <c r="G1300" s="88" t="str">
        <f>VLOOKUP($B1300,[1]DG!A:D,[1]DG!$D$2,)</f>
        <v>kg</v>
      </c>
      <c r="H1300" s="94"/>
      <c r="I1300" s="91">
        <f t="shared" si="57"/>
        <v>0</v>
      </c>
      <c r="J1300" s="146"/>
      <c r="K1300" s="146"/>
      <c r="L1300" s="117"/>
      <c r="M1300" s="56">
        <v>250</v>
      </c>
    </row>
    <row r="1301" spans="1:13" s="51" customFormat="1" ht="25.2" hidden="1" customHeight="1">
      <c r="A1301" s="68">
        <f t="shared" si="56"/>
        <v>0</v>
      </c>
      <c r="B1301" s="69" t="s">
        <v>84</v>
      </c>
      <c r="C1301" s="69"/>
      <c r="D1301" s="111"/>
      <c r="E1301" s="88">
        <f>VLOOKUP($B1301,[1]DG!A:D,[1]DG!$B$2,)</f>
        <v>0</v>
      </c>
      <c r="F1301" s="89" t="str">
        <f>VLOOKUP($B1301,[1]DG!A:D,[1]DG!$C$2,)&amp;": bắt lưới TĐ"</f>
        <v>Kẹp ép WR cỡ dây 50mm2: bắt lưới TĐ</v>
      </c>
      <c r="G1301" s="88" t="str">
        <f>VLOOKUP($B1301,[1]DG!A:D,[1]DG!$D$2,)</f>
        <v>cái</v>
      </c>
      <c r="H1301" s="94">
        <v>2</v>
      </c>
      <c r="I1301" s="91">
        <f t="shared" si="57"/>
        <v>0</v>
      </c>
      <c r="J1301" s="146"/>
      <c r="K1301" s="146"/>
      <c r="L1301" s="96"/>
      <c r="M1301" s="56">
        <v>250</v>
      </c>
    </row>
    <row r="1302" spans="1:13" s="51" customFormat="1" ht="25.2" hidden="1" customHeight="1">
      <c r="A1302" s="68">
        <f t="shared" si="56"/>
        <v>0</v>
      </c>
      <c r="B1302" s="69" t="s">
        <v>154</v>
      </c>
      <c r="C1302" s="69"/>
      <c r="D1302" s="331"/>
      <c r="E1302" s="88" t="str">
        <f>VLOOKUP($B1302,[1]DG!A:D,[1]DG!$B$2,)</f>
        <v>04.3107</v>
      </c>
      <c r="F1302" s="89" t="str">
        <f>VLOOKUP($B1302,[1]DG!A:D,[1]DG!$C$2,)</f>
        <v>Ốc siết cáp cỡ 25mm2</v>
      </c>
      <c r="G1302" s="88" t="str">
        <f>VLOOKUP($B1302,[1]DG!A:D,[1]DG!$D$2,)</f>
        <v>cái</v>
      </c>
      <c r="H1302" s="94">
        <v>4</v>
      </c>
      <c r="I1302" s="91">
        <f t="shared" si="57"/>
        <v>0</v>
      </c>
      <c r="J1302" s="146"/>
      <c r="K1302" s="146"/>
      <c r="L1302" s="96"/>
      <c r="M1302" s="56">
        <v>250</v>
      </c>
    </row>
    <row r="1303" spans="1:13" s="51" customFormat="1" ht="25.2" hidden="1" customHeight="1">
      <c r="A1303" s="68">
        <f t="shared" si="56"/>
        <v>0</v>
      </c>
      <c r="B1303" s="69" t="s">
        <v>155</v>
      </c>
      <c r="C1303" s="69"/>
      <c r="D1303" s="111"/>
      <c r="E1303" s="88" t="str">
        <f>VLOOKUP($B1303,[1]DG!A:D,[1]DG!$B$2,)</f>
        <v>03.4003</v>
      </c>
      <c r="F1303" s="89" t="str">
        <f>VLOOKUP($B1303,[1]DG!A:D,[1]DG!$C$2,)</f>
        <v>Đầu cosse ép Cu 70mm2</v>
      </c>
      <c r="G1303" s="88" t="str">
        <f>VLOOKUP($B1303,[1]DG!A:D,[1]DG!$D$2,)</f>
        <v>cái</v>
      </c>
      <c r="H1303" s="94"/>
      <c r="I1303" s="91">
        <f t="shared" si="57"/>
        <v>0</v>
      </c>
      <c r="J1303" s="146"/>
      <c r="K1303" s="146"/>
      <c r="L1303" s="96"/>
      <c r="M1303" s="56">
        <v>250</v>
      </c>
    </row>
    <row r="1304" spans="1:13" s="51" customFormat="1" ht="25.2" hidden="1" customHeight="1">
      <c r="A1304" s="68">
        <f t="shared" si="56"/>
        <v>0</v>
      </c>
      <c r="B1304" s="69" t="s">
        <v>156</v>
      </c>
      <c r="C1304" s="69"/>
      <c r="D1304" s="111"/>
      <c r="E1304" s="88" t="str">
        <f>VLOOKUP($B1304,[1]DG!A:D,[1]DG!$B$2,)</f>
        <v>03.4002</v>
      </c>
      <c r="F1304" s="89" t="str">
        <f>VLOOKUP($B1304,[1]DG!A:D,[1]DG!$C$2,)</f>
        <v>Đầu cosse ép Cu 50mm2</v>
      </c>
      <c r="G1304" s="88" t="str">
        <f>VLOOKUP($B1304,[1]DG!A:D,[1]DG!$D$2,)</f>
        <v>cái</v>
      </c>
      <c r="H1304" s="94"/>
      <c r="I1304" s="91">
        <f t="shared" si="57"/>
        <v>0</v>
      </c>
      <c r="J1304" s="146"/>
      <c r="K1304" s="146"/>
      <c r="L1304" s="96"/>
      <c r="M1304" s="56">
        <v>250</v>
      </c>
    </row>
    <row r="1305" spans="1:13" s="51" customFormat="1" ht="25.2" hidden="1" customHeight="1">
      <c r="A1305" s="68">
        <f t="shared" si="56"/>
        <v>0</v>
      </c>
      <c r="B1305" s="86" t="s">
        <v>183</v>
      </c>
      <c r="C1305" s="86"/>
      <c r="D1305" s="111"/>
      <c r="E1305" s="88" t="str">
        <f>VLOOKUP($B1305,[1]DG!A:D,[1]DG!$B$2,)</f>
        <v>06.3231</v>
      </c>
      <c r="F1305" s="89" t="str">
        <f>VLOOKUP($B1305,[1]DG!A:D,[1]DG!$C$2,)&amp;": CD-250"</f>
        <v>Cổ dê kẹp ống PVC  21: CD-250</v>
      </c>
      <c r="G1305" s="88" t="str">
        <f>VLOOKUP($B1305,[1]DG!A:D,[1]DG!$D$2,)</f>
        <v>bộ</v>
      </c>
      <c r="H1305" s="94"/>
      <c r="I1305" s="91">
        <f t="shared" si="57"/>
        <v>0</v>
      </c>
      <c r="J1305" s="146"/>
      <c r="K1305" s="146"/>
      <c r="L1305" s="117"/>
      <c r="M1305" s="56">
        <v>250</v>
      </c>
    </row>
    <row r="1306" spans="1:13" s="51" customFormat="1" ht="25.2" hidden="1" customHeight="1">
      <c r="A1306" s="68">
        <f t="shared" si="56"/>
        <v>0</v>
      </c>
      <c r="B1306" s="86" t="s">
        <v>157</v>
      </c>
      <c r="C1306" s="86"/>
      <c r="D1306" s="111"/>
      <c r="E1306" s="88">
        <f>VLOOKUP($B1306,[1]DG!A:D,[1]DG!$B$2,)</f>
        <v>0</v>
      </c>
      <c r="F1306" s="89" t="s">
        <v>158</v>
      </c>
      <c r="G1306" s="88" t="str">
        <f>VLOOKUP($B1306,[1]DG!A:D,[1]DG!$D$2,)</f>
        <v>bộ</v>
      </c>
      <c r="H1306" s="145"/>
      <c r="I1306" s="91">
        <f t="shared" si="57"/>
        <v>0</v>
      </c>
      <c r="J1306" s="146"/>
      <c r="K1306" s="146"/>
      <c r="L1306" s="117"/>
      <c r="M1306" s="56">
        <v>250</v>
      </c>
    </row>
    <row r="1307" spans="1:13" s="51" customFormat="1" ht="25.2" hidden="1" customHeight="1">
      <c r="A1307" s="68">
        <f t="shared" si="56"/>
        <v>0</v>
      </c>
      <c r="B1307" s="69" t="s">
        <v>90</v>
      </c>
      <c r="C1307" s="69"/>
      <c r="D1307" s="111"/>
      <c r="E1307" s="88" t="str">
        <f>VLOOKUP($B1307,[1]DG!A:D,[1]DG!$B$2,)</f>
        <v>04.7002</v>
      </c>
      <c r="F1307" s="89" t="str">
        <f>VLOOKUP($B1307,[1]DG!A:D,[1]DG!$C$2,)</f>
        <v>Kéo dây tiếp địa trong TBA</v>
      </c>
      <c r="G1307" s="88" t="str">
        <f>VLOOKUP($B1307,[1]DG!A:D,[1]DG!$D$2,)</f>
        <v>mét</v>
      </c>
      <c r="H1307" s="94">
        <v>45</v>
      </c>
      <c r="I1307" s="91">
        <f t="shared" si="57"/>
        <v>0</v>
      </c>
      <c r="J1307" s="146"/>
      <c r="K1307" s="146"/>
      <c r="L1307" s="117"/>
      <c r="M1307" s="56">
        <v>250</v>
      </c>
    </row>
    <row r="1308" spans="1:13" s="51" customFormat="1" ht="25.2" hidden="1" customHeight="1">
      <c r="A1308" s="68">
        <f t="shared" si="56"/>
        <v>0</v>
      </c>
      <c r="B1308" s="86" t="s">
        <v>89</v>
      </c>
      <c r="C1308" s="86"/>
      <c r="D1308" s="111"/>
      <c r="E1308" s="88" t="str">
        <f>VLOOKUP($B1308,[1]DG!A:D,[1]DG!$B$2,)</f>
        <v>04.7001</v>
      </c>
      <c r="F1308" s="89" t="str">
        <f>VLOOKUP($B1308,[1]DG!A:D,[1]DG!$C$2,)</f>
        <v>Đóng cọc tiếp địa trong TBA</v>
      </c>
      <c r="G1308" s="88" t="str">
        <f>VLOOKUP($B1308,[1]DG!A:D,[1]DG!$D$2,)</f>
        <v>cọc</v>
      </c>
      <c r="H1308" s="94">
        <f>H1299</f>
        <v>0</v>
      </c>
      <c r="I1308" s="91">
        <f t="shared" si="57"/>
        <v>0</v>
      </c>
      <c r="J1308" s="146"/>
      <c r="K1308" s="146"/>
      <c r="L1308" s="117"/>
      <c r="M1308" s="56">
        <v>250</v>
      </c>
    </row>
    <row r="1309" spans="1:13" s="51" customFormat="1" ht="25.2" hidden="1" customHeight="1">
      <c r="A1309" s="68">
        <f t="shared" ref="A1309:A1374" si="58">IF(I1309&gt;0,1,0)</f>
        <v>0</v>
      </c>
      <c r="B1309" s="69" t="str">
        <f>"dtd"&amp;chitiet!G5</f>
        <v>dtd3</v>
      </c>
      <c r="C1309" s="69"/>
      <c r="D1309" s="111"/>
      <c r="E1309" s="88" t="str">
        <f>VLOOKUP($B1309,[1]DG!A:D,[1]DG!$B$2,)</f>
        <v>03.3123</v>
      </c>
      <c r="F1309" s="89" t="str">
        <f>VLOOKUP($B1309,[1]DG!A:D,[1]DG!$C$2,)</f>
        <v>Đào rãnh tiếp địa đất cấp 3</v>
      </c>
      <c r="G1309" s="88" t="str">
        <f>VLOOKUP($B1309,[1]DG!A:D,[1]DG!$D$2,)</f>
        <v>m3</v>
      </c>
      <c r="H1309" s="94">
        <v>3.5</v>
      </c>
      <c r="I1309" s="91">
        <f t="shared" si="57"/>
        <v>0</v>
      </c>
      <c r="J1309" s="146"/>
      <c r="K1309" s="146"/>
      <c r="L1309" s="117"/>
      <c r="M1309" s="56">
        <v>250</v>
      </c>
    </row>
    <row r="1310" spans="1:13" s="51" customFormat="1" ht="25.2" hidden="1" customHeight="1">
      <c r="A1310" s="68">
        <f t="shared" si="58"/>
        <v>0</v>
      </c>
      <c r="B1310" s="86" t="str">
        <f>"datd"&amp;chitiet!G5</f>
        <v>datd3</v>
      </c>
      <c r="C1310" s="86"/>
      <c r="D1310" s="111"/>
      <c r="E1310" s="88" t="str">
        <f>VLOOKUP($B1310,[1]DG!A:D,[1]DG!$B$2,)</f>
        <v>03.4123</v>
      </c>
      <c r="F1310" s="89" t="str">
        <f>VLOOKUP($B1310,[1]DG!A:D,[1]DG!$C$2,)</f>
        <v>Đắp đất rãnh tiếp độ chặt k=0,85</v>
      </c>
      <c r="G1310" s="88" t="str">
        <f>VLOOKUP($B1310,[1]DG!A:D,[1]DG!$D$2,)</f>
        <v>m3</v>
      </c>
      <c r="H1310" s="94">
        <f>H1309</f>
        <v>3.5</v>
      </c>
      <c r="I1310" s="91">
        <f t="shared" si="57"/>
        <v>0</v>
      </c>
      <c r="J1310" s="146"/>
      <c r="K1310" s="146"/>
      <c r="L1310" s="117"/>
      <c r="M1310" s="56">
        <v>250</v>
      </c>
    </row>
    <row r="1311" spans="1:13" s="51" customFormat="1" ht="25.2" hidden="1" customHeight="1">
      <c r="A1311" s="68">
        <f t="shared" si="58"/>
        <v>0</v>
      </c>
      <c r="B1311" s="69"/>
      <c r="C1311" s="69"/>
      <c r="D1311" s="220">
        <f>IF(H1311&gt;0,D1296+1,D1296)</f>
        <v>3</v>
      </c>
      <c r="E1311" s="238"/>
      <c r="F1311" s="239" t="s">
        <v>388</v>
      </c>
      <c r="G1311" s="220" t="s">
        <v>67</v>
      </c>
      <c r="H1311" s="240"/>
      <c r="I1311" s="91">
        <f t="shared" si="57"/>
        <v>0</v>
      </c>
      <c r="J1311" s="146"/>
      <c r="K1311" s="146"/>
      <c r="L1311" s="117"/>
      <c r="M1311" s="56">
        <v>250</v>
      </c>
    </row>
    <row r="1312" spans="1:13" s="51" customFormat="1" ht="25.2" hidden="1" customHeight="1">
      <c r="A1312" s="68">
        <f>IF(A1311&gt;0,1,0)</f>
        <v>0</v>
      </c>
      <c r="B1312" s="69"/>
      <c r="C1312" s="69"/>
      <c r="D1312" s="111"/>
      <c r="E1312" s="242"/>
      <c r="F1312" s="243" t="s">
        <v>68</v>
      </c>
      <c r="G1312" s="87"/>
      <c r="H1312" s="145"/>
      <c r="I1312" s="91">
        <f t="shared" si="57"/>
        <v>0</v>
      </c>
      <c r="J1312" s="146"/>
      <c r="K1312" s="146"/>
      <c r="L1312" s="117"/>
      <c r="M1312" s="56">
        <v>250</v>
      </c>
    </row>
    <row r="1313" spans="1:16" s="51" customFormat="1" ht="25.2" hidden="1" customHeight="1">
      <c r="A1313" s="68">
        <f t="shared" si="58"/>
        <v>0</v>
      </c>
      <c r="B1313" s="69" t="s">
        <v>293</v>
      </c>
      <c r="C1313" s="69"/>
      <c r="D1313" s="87"/>
      <c r="E1313" s="88">
        <f>VLOOKUP($B1313,[1]DG!A:D,[1]DG!$B$2,)</f>
        <v>0</v>
      </c>
      <c r="F1313" s="89" t="str">
        <f>VLOOKUP($B1313,[1]DG!A:D,[1]DG!$C$2,)</f>
        <v>Ximăng (PC40)</v>
      </c>
      <c r="G1313" s="88" t="str">
        <f>VLOOKUP($B1313,[1]DG!A:D,[1]DG!$D$2,)</f>
        <v>kg</v>
      </c>
      <c r="H1313" s="145">
        <f>H1311*M1316</f>
        <v>0</v>
      </c>
      <c r="I1313" s="91">
        <f t="shared" si="57"/>
        <v>0</v>
      </c>
      <c r="J1313" s="146"/>
      <c r="K1313" s="146"/>
      <c r="L1313" s="117"/>
      <c r="M1313" s="56">
        <v>250</v>
      </c>
    </row>
    <row r="1314" spans="1:16" s="51" customFormat="1" ht="25.2" hidden="1" customHeight="1">
      <c r="A1314" s="68">
        <f t="shared" si="58"/>
        <v>0</v>
      </c>
      <c r="B1314" s="69" t="s">
        <v>469</v>
      </c>
      <c r="C1314" s="69"/>
      <c r="D1314" s="111"/>
      <c r="E1314" s="88">
        <f>VLOOKUP($B1314,[1]DG!A:D,[1]DG!$B$2,)</f>
        <v>0</v>
      </c>
      <c r="F1314" s="89" t="str">
        <f>VLOOKUP($B1314,[1]DG!A:D,[1]DG!$C$2,)</f>
        <v>Cát vàng</v>
      </c>
      <c r="G1314" s="88" t="str">
        <f>VLOOKUP($B1314,[1]DG!A:D,[1]DG!$D$2,)</f>
        <v>m3</v>
      </c>
      <c r="H1314" s="145">
        <f>H1311*N1316</f>
        <v>0</v>
      </c>
      <c r="I1314" s="91">
        <f t="shared" si="57"/>
        <v>0</v>
      </c>
      <c r="J1314" s="146"/>
      <c r="K1314" s="146"/>
      <c r="L1314" s="117"/>
      <c r="M1314" s="56">
        <v>250</v>
      </c>
    </row>
    <row r="1315" spans="1:16" s="51" customFormat="1" ht="25.2" hidden="1" customHeight="1">
      <c r="A1315" s="68">
        <f t="shared" si="58"/>
        <v>0</v>
      </c>
      <c r="B1315" s="69" t="s">
        <v>295</v>
      </c>
      <c r="C1315" s="69"/>
      <c r="D1315" s="111"/>
      <c r="E1315" s="88">
        <f>VLOOKUP($B1315,[1]DG!A:D,[1]DG!$B$2,)</f>
        <v>0</v>
      </c>
      <c r="F1315" s="89" t="str">
        <f>VLOOKUP($B1315,[1]DG!A:D,[1]DG!$C$2,)</f>
        <v>Đá 1x2</v>
      </c>
      <c r="G1315" s="88" t="str">
        <f>VLOOKUP($B1315,[1]DG!A:D,[1]DG!$D$2,)</f>
        <v>m3</v>
      </c>
      <c r="H1315" s="145">
        <f>H1311*O1316</f>
        <v>0</v>
      </c>
      <c r="I1315" s="91">
        <f t="shared" si="57"/>
        <v>0</v>
      </c>
      <c r="J1315" s="146"/>
      <c r="K1315" s="146"/>
      <c r="L1315" s="117"/>
      <c r="M1315" s="56">
        <v>250</v>
      </c>
    </row>
    <row r="1316" spans="1:16" s="51" customFormat="1" ht="25.2" hidden="1" customHeight="1">
      <c r="A1316" s="68">
        <f t="shared" si="58"/>
        <v>0</v>
      </c>
      <c r="B1316" s="69" t="s">
        <v>296</v>
      </c>
      <c r="C1316" s="69"/>
      <c r="D1316" s="87"/>
      <c r="E1316" s="88" t="str">
        <f>VLOOKUP($B1316,[1]DG!A:D,[1]DG!$B$2,)</f>
        <v>04.1203c</v>
      </c>
      <c r="F1316" s="89" t="str">
        <f>VLOOKUP($B1316,[1]DG!A:D,[1]DG!$C$2,)</f>
        <v>Đổ bê tông móng trụ &lt;=250cm-M200 đá 1x2</v>
      </c>
      <c r="G1316" s="88" t="str">
        <f>VLOOKUP($B1316,[1]DG!A:D,[1]DG!$D$2,)</f>
        <v>m3</v>
      </c>
      <c r="H1316" s="145">
        <f>H1311*(0.4*3*1-2*3.14*0.15^2*0.4)*1.025</f>
        <v>0</v>
      </c>
      <c r="I1316" s="91">
        <f t="shared" si="57"/>
        <v>0</v>
      </c>
      <c r="J1316" s="146"/>
      <c r="K1316" s="146"/>
      <c r="L1316" s="117"/>
      <c r="M1316" s="56">
        <v>250</v>
      </c>
      <c r="N1316" s="245">
        <f>1.025*0.45</f>
        <v>0.46124999999999999</v>
      </c>
      <c r="O1316" s="245">
        <f>1.025*0.866</f>
        <v>0.88764999999999994</v>
      </c>
      <c r="P1316" s="246"/>
    </row>
    <row r="1317" spans="1:16" s="51" customFormat="1" ht="25.2" hidden="1" customHeight="1">
      <c r="A1317" s="68">
        <f t="shared" si="58"/>
        <v>0</v>
      </c>
      <c r="B1317" s="69"/>
      <c r="C1317" s="69"/>
      <c r="D1317" s="220">
        <f>IF(H1317&gt;0,D1311+1,D1311)</f>
        <v>3</v>
      </c>
      <c r="E1317" s="238"/>
      <c r="F1317" s="239" t="s">
        <v>390</v>
      </c>
      <c r="G1317" s="220" t="s">
        <v>67</v>
      </c>
      <c r="H1317" s="240"/>
      <c r="I1317" s="91">
        <f t="shared" si="57"/>
        <v>0</v>
      </c>
      <c r="J1317" s="146"/>
      <c r="K1317" s="146"/>
      <c r="L1317" s="117"/>
      <c r="M1317" s="56">
        <v>250</v>
      </c>
    </row>
    <row r="1318" spans="1:16" s="51" customFormat="1" ht="25.2" hidden="1" customHeight="1">
      <c r="A1318" s="68">
        <f>IF(A1317&gt;0,1,0)</f>
        <v>0</v>
      </c>
      <c r="B1318" s="69"/>
      <c r="C1318" s="69"/>
      <c r="D1318" s="111"/>
      <c r="E1318" s="242"/>
      <c r="F1318" s="243" t="s">
        <v>68</v>
      </c>
      <c r="G1318" s="87"/>
      <c r="H1318" s="145"/>
      <c r="I1318" s="91">
        <f t="shared" si="57"/>
        <v>0</v>
      </c>
      <c r="J1318" s="146"/>
      <c r="K1318" s="146"/>
      <c r="L1318" s="117"/>
      <c r="M1318" s="56">
        <v>250</v>
      </c>
    </row>
    <row r="1319" spans="1:16" s="51" customFormat="1" ht="25.2" hidden="1" customHeight="1">
      <c r="A1319" s="68">
        <f t="shared" si="58"/>
        <v>0</v>
      </c>
      <c r="B1319" s="69" t="s">
        <v>293</v>
      </c>
      <c r="C1319" s="69"/>
      <c r="D1319" s="87"/>
      <c r="E1319" s="88">
        <f>VLOOKUP($B1319,[1]DG!A:D,[1]DG!$B$2,)</f>
        <v>0</v>
      </c>
      <c r="F1319" s="89" t="str">
        <f>VLOOKUP($B1319,[1]DG!A:D,[1]DG!$C$2,)</f>
        <v>Ximăng (PC40)</v>
      </c>
      <c r="G1319" s="88" t="str">
        <f>VLOOKUP($B1319,[1]DG!A:D,[1]DG!$D$2,)</f>
        <v>kg</v>
      </c>
      <c r="H1319" s="145">
        <f>H1322*M1322</f>
        <v>0</v>
      </c>
      <c r="I1319" s="91">
        <f t="shared" si="57"/>
        <v>0</v>
      </c>
      <c r="J1319" s="146"/>
      <c r="K1319" s="146"/>
      <c r="L1319" s="117"/>
      <c r="M1319" s="56">
        <v>250</v>
      </c>
    </row>
    <row r="1320" spans="1:16" s="51" customFormat="1" ht="25.2" hidden="1" customHeight="1">
      <c r="A1320" s="68">
        <f t="shared" si="58"/>
        <v>0</v>
      </c>
      <c r="B1320" s="69" t="s">
        <v>469</v>
      </c>
      <c r="C1320" s="69"/>
      <c r="D1320" s="111"/>
      <c r="E1320" s="88">
        <f>VLOOKUP($B1320,[1]DG!A:D,[1]DG!$B$2,)</f>
        <v>0</v>
      </c>
      <c r="F1320" s="89" t="str">
        <f>VLOOKUP($B1320,[1]DG!A:D,[1]DG!$C$2,)</f>
        <v>Cát vàng</v>
      </c>
      <c r="G1320" s="88" t="str">
        <f>VLOOKUP($B1320,[1]DG!A:D,[1]DG!$D$2,)</f>
        <v>m3</v>
      </c>
      <c r="H1320" s="244">
        <f>H1322*N1322</f>
        <v>0</v>
      </c>
      <c r="I1320" s="91">
        <f t="shared" si="57"/>
        <v>0</v>
      </c>
      <c r="J1320" s="146"/>
      <c r="K1320" s="146"/>
      <c r="L1320" s="117"/>
      <c r="M1320" s="56">
        <v>250</v>
      </c>
    </row>
    <row r="1321" spans="1:16" s="51" customFormat="1" ht="25.2" hidden="1" customHeight="1">
      <c r="A1321" s="68">
        <f t="shared" si="58"/>
        <v>0</v>
      </c>
      <c r="B1321" s="69" t="s">
        <v>295</v>
      </c>
      <c r="C1321" s="69"/>
      <c r="D1321" s="111"/>
      <c r="E1321" s="88">
        <f>VLOOKUP($B1321,[1]DG!A:D,[1]DG!$B$2,)</f>
        <v>0</v>
      </c>
      <c r="F1321" s="89" t="str">
        <f>VLOOKUP($B1321,[1]DG!A:D,[1]DG!$C$2,)</f>
        <v>Đá 1x2</v>
      </c>
      <c r="G1321" s="88" t="str">
        <f>VLOOKUP($B1321,[1]DG!A:D,[1]DG!$D$2,)</f>
        <v>m3</v>
      </c>
      <c r="H1321" s="244">
        <f>H1322*O1322</f>
        <v>0</v>
      </c>
      <c r="I1321" s="91">
        <f t="shared" si="57"/>
        <v>0</v>
      </c>
      <c r="J1321" s="146"/>
      <c r="K1321" s="146"/>
      <c r="L1321" s="117"/>
      <c r="M1321" s="56">
        <v>250</v>
      </c>
    </row>
    <row r="1322" spans="1:16" s="51" customFormat="1" ht="25.2" hidden="1" customHeight="1">
      <c r="A1322" s="68">
        <f t="shared" si="58"/>
        <v>0</v>
      </c>
      <c r="B1322" s="69" t="s">
        <v>296</v>
      </c>
      <c r="C1322" s="69"/>
      <c r="D1322" s="87"/>
      <c r="E1322" s="88" t="str">
        <f>VLOOKUP($B1322,[1]DG!A:D,[1]DG!$B$2,)</f>
        <v>04.1203c</v>
      </c>
      <c r="F1322" s="89" t="str">
        <f>VLOOKUP($B1322,[1]DG!A:D,[1]DG!$C$2,)</f>
        <v>Đổ bê tông móng trụ &lt;=250cm-M200 đá 1x2</v>
      </c>
      <c r="G1322" s="88" t="str">
        <f>VLOOKUP($B1322,[1]DG!A:D,[1]DG!$D$2,)</f>
        <v>m3</v>
      </c>
      <c r="H1322" s="145">
        <f>H1317*0.2*0.2*(0.2+0.2+0.8+0.8+2*4)</f>
        <v>0</v>
      </c>
      <c r="I1322" s="91">
        <f t="shared" si="57"/>
        <v>0</v>
      </c>
      <c r="J1322" s="146"/>
      <c r="K1322" s="146"/>
      <c r="L1322" s="117"/>
      <c r="M1322" s="56">
        <v>250</v>
      </c>
      <c r="N1322" s="245">
        <f>1.025*0.45</f>
        <v>0.46124999999999999</v>
      </c>
      <c r="O1322" s="245">
        <f>1.025*0.866</f>
        <v>0.88764999999999994</v>
      </c>
      <c r="P1322" s="246"/>
    </row>
    <row r="1323" spans="1:16" s="51" customFormat="1" ht="25.2" hidden="1" customHeight="1">
      <c r="A1323" s="68">
        <f t="shared" si="58"/>
        <v>0</v>
      </c>
      <c r="B1323" s="69"/>
      <c r="C1323" s="69"/>
      <c r="D1323" s="220">
        <f>IF(H1323&gt;0,D1317+1,D1317)</f>
        <v>4</v>
      </c>
      <c r="E1323" s="238"/>
      <c r="F1323" s="239" t="s">
        <v>470</v>
      </c>
      <c r="G1323" s="220" t="s">
        <v>67</v>
      </c>
      <c r="H1323" s="240">
        <v>1</v>
      </c>
      <c r="I1323" s="91">
        <f t="shared" si="57"/>
        <v>0</v>
      </c>
      <c r="J1323" s="146"/>
      <c r="K1323" s="146"/>
      <c r="L1323" s="96"/>
      <c r="M1323" s="56">
        <v>250</v>
      </c>
    </row>
    <row r="1324" spans="1:16" s="51" customFormat="1" ht="25.2" hidden="1" customHeight="1">
      <c r="A1324" s="68">
        <f>IF(A1323&gt;0,1,0)</f>
        <v>0</v>
      </c>
      <c r="B1324" s="69"/>
      <c r="C1324" s="69"/>
      <c r="D1324" s="111"/>
      <c r="E1324" s="242"/>
      <c r="F1324" s="243" t="s">
        <v>68</v>
      </c>
      <c r="G1324" s="87"/>
      <c r="H1324" s="145"/>
      <c r="I1324" s="91">
        <f t="shared" si="57"/>
        <v>0</v>
      </c>
      <c r="J1324" s="146"/>
      <c r="K1324" s="146"/>
      <c r="L1324" s="96"/>
      <c r="M1324" s="56">
        <v>250</v>
      </c>
    </row>
    <row r="1325" spans="1:16" s="51" customFormat="1" ht="25.2" hidden="1" customHeight="1">
      <c r="A1325" s="68">
        <f t="shared" si="58"/>
        <v>0</v>
      </c>
      <c r="B1325" s="352" t="s">
        <v>471</v>
      </c>
      <c r="C1325" s="352"/>
      <c r="D1325" s="87"/>
      <c r="E1325" s="88" t="str">
        <f>VLOOKUP($B1325,[1]DG!A:D,[1]DG!$B$2,)</f>
        <v>05.1002</v>
      </c>
      <c r="F1325" s="89" t="str">
        <f>VLOOKUP($B1325,[1]DG!A:D,[1]DG!$C$2,)</f>
        <v>Vỏ tủ trạm giàn 2 ngăn + khóa tủ</v>
      </c>
      <c r="G1325" s="88" t="str">
        <f>VLOOKUP($B1325,[1]DG!A:D,[1]DG!$D$2,)</f>
        <v>cái</v>
      </c>
      <c r="H1325" s="145">
        <f>H1323</f>
        <v>1</v>
      </c>
      <c r="I1325" s="91">
        <f t="shared" si="57"/>
        <v>0</v>
      </c>
      <c r="J1325" s="146"/>
      <c r="K1325" s="146"/>
      <c r="L1325" s="96"/>
      <c r="M1325" s="56">
        <v>250</v>
      </c>
    </row>
    <row r="1326" spans="1:16" s="51" customFormat="1" ht="25.2" hidden="1" customHeight="1">
      <c r="A1326" s="68">
        <f t="shared" si="58"/>
        <v>0</v>
      </c>
      <c r="B1326" s="353" t="s">
        <v>231</v>
      </c>
      <c r="C1326" s="353"/>
      <c r="D1326" s="87"/>
      <c r="E1326" s="88">
        <f>VLOOKUP($B1326,[1]DG!A:D,[1]DG!$B$2,)</f>
        <v>0</v>
      </c>
      <c r="F1326" s="89" t="str">
        <f>VLOOKUP($B1326,[1]DG!A:D,[1]DG!$C$2,)</f>
        <v>Boulon 16x50+ 2 long đền vuông D18-50x50x3/Zn</v>
      </c>
      <c r="G1326" s="88" t="str">
        <f>VLOOKUP($B1326,[1]DG!A:D,[1]DG!$D$2,)</f>
        <v>bộ</v>
      </c>
      <c r="H1326" s="145"/>
      <c r="I1326" s="91">
        <f t="shared" si="57"/>
        <v>0</v>
      </c>
      <c r="J1326" s="146"/>
      <c r="K1326" s="146"/>
      <c r="L1326" s="96"/>
      <c r="M1326" s="56">
        <v>250</v>
      </c>
    </row>
    <row r="1327" spans="1:16" s="51" customFormat="1" ht="25.2" hidden="1" customHeight="1">
      <c r="A1327" s="68">
        <f t="shared" si="58"/>
        <v>0</v>
      </c>
      <c r="B1327" s="69" t="s">
        <v>96</v>
      </c>
      <c r="C1327" s="69"/>
      <c r="D1327" s="111"/>
      <c r="E1327" s="88">
        <f>VLOOKUP($B1327,[1]DG!A:D,[1]DG!$B$2,)</f>
        <v>0</v>
      </c>
      <c r="F1327" s="89" t="str">
        <f>VLOOKUP($B1327,[1]DG!A:D,[1]DG!$C$2,)</f>
        <v xml:space="preserve">Bakelit 550x450 dầy 10mm </v>
      </c>
      <c r="G1327" s="88" t="str">
        <f>VLOOKUP($B1327,[1]DG!A:D,[1]DG!$D$2,)</f>
        <v>cái</v>
      </c>
      <c r="H1327" s="145">
        <v>3</v>
      </c>
      <c r="I1327" s="91">
        <f t="shared" si="57"/>
        <v>0</v>
      </c>
      <c r="J1327" s="146"/>
      <c r="K1327" s="146"/>
      <c r="L1327" s="96"/>
      <c r="M1327" s="56">
        <v>250</v>
      </c>
    </row>
    <row r="1328" spans="1:16" s="51" customFormat="1" ht="25.2" hidden="1" customHeight="1">
      <c r="A1328" s="68">
        <f t="shared" si="58"/>
        <v>0</v>
      </c>
      <c r="B1328" s="69" t="s">
        <v>117</v>
      </c>
      <c r="C1328" s="69"/>
      <c r="D1328" s="87"/>
      <c r="E1328" s="88" t="str">
        <f>VLOOKUP($B1328,[1]DG!A:D,[1]DG!$B$2,)</f>
        <v>06.3191</v>
      </c>
      <c r="F1328" s="89" t="str">
        <f>VLOOKUP($B1328,[1]DG!A:D,[1]DG!$C$2,)</f>
        <v>Bảng tên trạm, bảng báo nguy hiểm + đinh vít</v>
      </c>
      <c r="G1328" s="88" t="str">
        <f>VLOOKUP($B1328,[1]DG!A:D,[1]DG!$D$2,)</f>
        <v>bộ</v>
      </c>
      <c r="H1328" s="145">
        <v>1</v>
      </c>
      <c r="I1328" s="91">
        <f t="shared" si="57"/>
        <v>0</v>
      </c>
      <c r="J1328" s="146"/>
      <c r="K1328" s="146"/>
      <c r="L1328" s="96"/>
      <c r="M1328" s="56">
        <v>250</v>
      </c>
    </row>
    <row r="1329" spans="1:14" s="51" customFormat="1" ht="25.2" hidden="1" customHeight="1">
      <c r="A1329" s="68">
        <f t="shared" si="58"/>
        <v>0</v>
      </c>
      <c r="B1329" s="69"/>
      <c r="C1329" s="69"/>
      <c r="D1329" s="220">
        <f>IF(H1329&gt;0,D1323+1,D1323)</f>
        <v>4</v>
      </c>
      <c r="E1329" s="238"/>
      <c r="F1329" s="239" t="s">
        <v>395</v>
      </c>
      <c r="G1329" s="220" t="s">
        <v>396</v>
      </c>
      <c r="H1329" s="240">
        <f>H1203*0</f>
        <v>0</v>
      </c>
      <c r="I1329" s="91">
        <f t="shared" si="57"/>
        <v>0</v>
      </c>
      <c r="J1329" s="146"/>
      <c r="K1329" s="146"/>
      <c r="L1329" s="117"/>
      <c r="M1329" s="56">
        <v>250</v>
      </c>
    </row>
    <row r="1330" spans="1:14" s="51" customFormat="1" ht="25.2" hidden="1" customHeight="1">
      <c r="A1330" s="68">
        <f>IF(A1329&gt;0,1,0)</f>
        <v>0</v>
      </c>
      <c r="B1330" s="69"/>
      <c r="C1330" s="69"/>
      <c r="D1330" s="111"/>
      <c r="E1330" s="242"/>
      <c r="F1330" s="243" t="s">
        <v>68</v>
      </c>
      <c r="G1330" s="87"/>
      <c r="H1330" s="145"/>
      <c r="I1330" s="91">
        <f t="shared" si="57"/>
        <v>0</v>
      </c>
      <c r="J1330" s="146"/>
      <c r="K1330" s="146"/>
      <c r="L1330" s="117"/>
      <c r="M1330" s="56">
        <v>250</v>
      </c>
    </row>
    <row r="1331" spans="1:14" s="51" customFormat="1" ht="25.2" hidden="1" customHeight="1">
      <c r="A1331" s="68">
        <f t="shared" si="58"/>
        <v>0</v>
      </c>
      <c r="B1331" s="69" t="s">
        <v>469</v>
      </c>
      <c r="C1331" s="69"/>
      <c r="D1331" s="87"/>
      <c r="E1331" s="88">
        <f>VLOOKUP($B1331,[1]DG!A:D,[1]DG!$B$2,)</f>
        <v>0</v>
      </c>
      <c r="F1331" s="92" t="str">
        <f>VLOOKUP($B1331,[1]DG!A:D,[1]DG!$C$2,)&amp;": 0,315m3/m"</f>
        <v>Cát vàng: 0,315m3/m</v>
      </c>
      <c r="G1331" s="88" t="str">
        <f>VLOOKUP($B1331,[1]DG!A:D,[1]DG!$D$2,)</f>
        <v>m3</v>
      </c>
      <c r="H1331" s="145">
        <f>H1329*0.315</f>
        <v>0</v>
      </c>
      <c r="I1331" s="91">
        <f t="shared" si="57"/>
        <v>0</v>
      </c>
      <c r="J1331" s="146"/>
      <c r="K1331" s="146"/>
      <c r="L1331" s="117"/>
      <c r="M1331" s="56">
        <v>250</v>
      </c>
    </row>
    <row r="1332" spans="1:14" s="51" customFormat="1" ht="25.2" hidden="1" customHeight="1">
      <c r="A1332" s="68">
        <f t="shared" si="58"/>
        <v>0</v>
      </c>
      <c r="B1332" s="98" t="s">
        <v>397</v>
      </c>
      <c r="C1332" s="98"/>
      <c r="D1332" s="87"/>
      <c r="E1332" s="88">
        <f>VLOOKUP($B1332,[1]DG!A:D,[1]DG!$B$2,)</f>
        <v>0</v>
      </c>
      <c r="F1332" s="92" t="str">
        <f>VLOOKUP($B1332,[1]DG!A:D,[1]DG!$C$2,)&amp;": 0,092m3/m"</f>
        <v>Đá 2x4: 0,092m3/m</v>
      </c>
      <c r="G1332" s="88" t="str">
        <f>VLOOKUP($B1332,[1]DG!A:D,[1]DG!$D$2,)</f>
        <v>m3</v>
      </c>
      <c r="H1332" s="145">
        <f>0.092*H1329</f>
        <v>0</v>
      </c>
      <c r="I1332" s="91">
        <f t="shared" si="57"/>
        <v>0</v>
      </c>
      <c r="J1332" s="146"/>
      <c r="K1332" s="146"/>
      <c r="L1332" s="117"/>
      <c r="M1332" s="56">
        <v>250</v>
      </c>
    </row>
    <row r="1333" spans="1:14" s="51" customFormat="1" ht="25.2" hidden="1" customHeight="1">
      <c r="A1333" s="68">
        <f t="shared" si="58"/>
        <v>0</v>
      </c>
      <c r="B1333" s="98" t="s">
        <v>398</v>
      </c>
      <c r="C1333" s="98"/>
      <c r="D1333" s="87"/>
      <c r="E1333" s="88">
        <f>VLOOKUP($B1333,[1]DG!A:D,[1]DG!$B$2,)</f>
        <v>0</v>
      </c>
      <c r="F1333" s="92" t="str">
        <f>VLOOKUP($B1333,[1]DG!A:D,[1]DG!$C$2,)&amp;": 3,3vieân/m"</f>
        <v>Gạch tàu: 3,3vieân/m</v>
      </c>
      <c r="G1333" s="88" t="str">
        <f>VLOOKUP($B1333,[1]DG!A:D,[1]DG!$D$2,)</f>
        <v>viên</v>
      </c>
      <c r="H1333" s="145">
        <f>3.3*H1329</f>
        <v>0</v>
      </c>
      <c r="I1333" s="91">
        <f t="shared" si="57"/>
        <v>0</v>
      </c>
      <c r="J1333" s="146"/>
      <c r="K1333" s="146"/>
      <c r="L1333" s="117"/>
      <c r="M1333" s="56">
        <v>250</v>
      </c>
    </row>
    <row r="1334" spans="1:14" s="51" customFormat="1" ht="25.2" hidden="1" customHeight="1">
      <c r="A1334" s="68">
        <f t="shared" si="58"/>
        <v>0</v>
      </c>
      <c r="B1334" s="98" t="s">
        <v>399</v>
      </c>
      <c r="C1334" s="98"/>
      <c r="D1334" s="87"/>
      <c r="E1334" s="88">
        <f>VLOOKUP($B1334,[1]DG!A:D,[1]DG!$B$2,)</f>
        <v>0</v>
      </c>
      <c r="F1334" s="92" t="str">
        <f>VLOOKUP($B1334,[1]DG!A:D,[1]DG!$C$2,)&amp;": 0,4m2/m"</f>
        <v>Tấm nilông màu cảnh báo: 0,4m2/m</v>
      </c>
      <c r="G1334" s="88" t="str">
        <f>VLOOKUP($B1334,[1]DG!A:D,[1]DG!$D$2,)</f>
        <v>m2</v>
      </c>
      <c r="H1334" s="145">
        <f>0.4*H1329</f>
        <v>0</v>
      </c>
      <c r="I1334" s="91">
        <f t="shared" si="57"/>
        <v>0</v>
      </c>
      <c r="J1334" s="146"/>
      <c r="K1334" s="146"/>
      <c r="L1334" s="117"/>
      <c r="M1334" s="56">
        <v>250</v>
      </c>
    </row>
    <row r="1335" spans="1:14" s="51" customFormat="1" ht="25.2" hidden="1" customHeight="1">
      <c r="A1335" s="68">
        <f t="shared" si="58"/>
        <v>0</v>
      </c>
      <c r="B1335" s="98" t="s">
        <v>400</v>
      </c>
      <c r="C1335" s="98"/>
      <c r="D1335" s="111"/>
      <c r="E1335" s="88">
        <f>VLOOKUP($B1335,[1]DG!A:D,[1]DG!$B$2,)</f>
        <v>0</v>
      </c>
      <c r="F1335" s="92" t="str">
        <f>VLOOKUP($B1335,[1]DG!A:D,[1]DG!$C$2,)</f>
        <v>Ống PVC D140x6,7mm</v>
      </c>
      <c r="G1335" s="88" t="str">
        <f>VLOOKUP($B1335,[1]DG!A:D,[1]DG!$D$2,)</f>
        <v>m</v>
      </c>
      <c r="H1335" s="145">
        <f>1*H1329</f>
        <v>0</v>
      </c>
      <c r="I1335" s="91">
        <f t="shared" ref="I1335:I1400" si="59">IF(M1335=$M$23,H1335+J1335-K1335,0)</f>
        <v>0</v>
      </c>
      <c r="J1335" s="146"/>
      <c r="K1335" s="146"/>
      <c r="L1335" s="117"/>
      <c r="M1335" s="56">
        <v>250</v>
      </c>
    </row>
    <row r="1336" spans="1:14" s="51" customFormat="1" ht="25.2" hidden="1" customHeight="1">
      <c r="A1336" s="68">
        <f t="shared" si="58"/>
        <v>0</v>
      </c>
      <c r="B1336" s="98" t="s">
        <v>401</v>
      </c>
      <c r="C1336" s="98"/>
      <c r="D1336" s="87"/>
      <c r="E1336" s="88" t="str">
        <f>VLOOKUP($B1336,[1]DG!A:D,[1]DG!$B$2,)</f>
        <v>03.7000</v>
      </c>
      <c r="F1336" s="92" t="str">
        <f>VLOOKUP($B1336,[1]DG!A:D,[1]DG!$C$2,)&amp;" + ñaép ñaù"</f>
        <v>Đắp cát  + ñaép ñaù</v>
      </c>
      <c r="G1336" s="88" t="str">
        <f>VLOOKUP($B1336,[1]DG!A:D,[1]DG!$D$2,)</f>
        <v>m3</v>
      </c>
      <c r="H1336" s="145">
        <f>H1331+H1332</f>
        <v>0</v>
      </c>
      <c r="I1336" s="91">
        <f t="shared" si="59"/>
        <v>0</v>
      </c>
      <c r="J1336" s="146"/>
      <c r="K1336" s="146"/>
      <c r="L1336" s="117"/>
      <c r="M1336" s="56">
        <v>250</v>
      </c>
    </row>
    <row r="1337" spans="1:14" s="51" customFormat="1" ht="25.2" hidden="1" customHeight="1">
      <c r="A1337" s="68">
        <f t="shared" si="58"/>
        <v>0</v>
      </c>
      <c r="B1337" s="98" t="s">
        <v>402</v>
      </c>
      <c r="C1337" s="98"/>
      <c r="D1337" s="87"/>
      <c r="E1337" s="88" t="str">
        <f>VLOOKUP($B1337,[1]DG!A:D,[1]DG!$B$2,)</f>
        <v>03.3103</v>
      </c>
      <c r="F1337" s="92" t="str">
        <f>VLOOKUP($B1337,[1]DG!A:D,[1]DG!$C$2,)&amp;" : 0,48m3/m"</f>
        <v>Đào mương cáp ngầm đất cấp 3 : 0,48m3/m</v>
      </c>
      <c r="G1337" s="88" t="str">
        <f>VLOOKUP($B1337,[1]DG!A:D,[1]DG!$D$2,)</f>
        <v>m3</v>
      </c>
      <c r="H1337" s="145">
        <f>H1329*0.48</f>
        <v>0</v>
      </c>
      <c r="I1337" s="91">
        <f t="shared" si="59"/>
        <v>0</v>
      </c>
      <c r="J1337" s="146"/>
      <c r="K1337" s="146"/>
      <c r="L1337" s="117"/>
      <c r="M1337" s="56">
        <v>250</v>
      </c>
    </row>
    <row r="1338" spans="1:14" s="51" customFormat="1" ht="25.2" hidden="1" customHeight="1">
      <c r="A1338" s="68">
        <f t="shared" si="58"/>
        <v>0</v>
      </c>
      <c r="B1338" s="98" t="s">
        <v>403</v>
      </c>
      <c r="C1338" s="98"/>
      <c r="D1338" s="87"/>
      <c r="E1338" s="88" t="str">
        <f>VLOOKUP($B1338,[1]DG!A:D,[1]DG!$B$2,)</f>
        <v>03.3203</v>
      </c>
      <c r="F1338" s="92" t="str">
        <f>VLOOKUP($B1338,[1]DG!A:D,[1]DG!$C$2,)&amp;" : 0,073m3/m"</f>
        <v>Đắp đất mương cáp ngầm, đất cấp 3 : 0,073m3/m</v>
      </c>
      <c r="G1338" s="88" t="str">
        <f>VLOOKUP($B1338,[1]DG!A:D,[1]DG!$D$2,)</f>
        <v>m3</v>
      </c>
      <c r="H1338" s="145">
        <f>H1329*0.073</f>
        <v>0</v>
      </c>
      <c r="I1338" s="91">
        <f t="shared" si="59"/>
        <v>0</v>
      </c>
      <c r="J1338" s="146"/>
      <c r="K1338" s="146"/>
      <c r="L1338" s="117"/>
      <c r="M1338" s="56">
        <v>250</v>
      </c>
      <c r="N1338" s="335">
        <v>0.47499999999999998</v>
      </c>
    </row>
    <row r="1339" spans="1:14" s="51" customFormat="1" ht="25.2" hidden="1" customHeight="1">
      <c r="A1339" s="68">
        <f t="shared" si="58"/>
        <v>0</v>
      </c>
      <c r="B1339" s="69"/>
      <c r="C1339" s="69"/>
      <c r="D1339" s="220">
        <f>IF(H1339&gt;0,D1329+1,D1329)</f>
        <v>4</v>
      </c>
      <c r="E1339" s="238"/>
      <c r="F1339" s="239" t="s">
        <v>404</v>
      </c>
      <c r="G1339" s="220" t="s">
        <v>67</v>
      </c>
      <c r="H1339" s="240">
        <f>H1348</f>
        <v>0</v>
      </c>
      <c r="I1339" s="91">
        <f t="shared" si="59"/>
        <v>0</v>
      </c>
      <c r="J1339" s="146"/>
      <c r="K1339" s="146"/>
      <c r="L1339" s="117"/>
      <c r="M1339" s="56">
        <v>250</v>
      </c>
      <c r="N1339" s="335">
        <v>0.88100000000000001</v>
      </c>
    </row>
    <row r="1340" spans="1:14" s="51" customFormat="1" ht="25.2" hidden="1" customHeight="1">
      <c r="A1340" s="68">
        <f>IF(A1339&gt;0,1,0)</f>
        <v>0</v>
      </c>
      <c r="B1340" s="69"/>
      <c r="C1340" s="69"/>
      <c r="D1340" s="111"/>
      <c r="E1340" s="242"/>
      <c r="F1340" s="243" t="s">
        <v>68</v>
      </c>
      <c r="G1340" s="87"/>
      <c r="H1340" s="145"/>
      <c r="I1340" s="91">
        <f t="shared" si="59"/>
        <v>0</v>
      </c>
      <c r="J1340" s="146"/>
      <c r="K1340" s="146"/>
      <c r="L1340" s="117"/>
      <c r="M1340" s="56">
        <v>250</v>
      </c>
    </row>
    <row r="1341" spans="1:14" s="51" customFormat="1" ht="25.2" hidden="1" customHeight="1">
      <c r="A1341" s="68">
        <f t="shared" si="58"/>
        <v>0</v>
      </c>
      <c r="B1341" s="69" t="s">
        <v>405</v>
      </c>
      <c r="C1341" s="69"/>
      <c r="D1341" s="87"/>
      <c r="E1341" s="88" t="str">
        <f>VLOOKUP($B1341,[1]DG!A:D,[1]DG!$B$2,)</f>
        <v>07.2204</v>
      </c>
      <c r="F1341" s="89" t="str">
        <f>VLOOKUP($B1341,[1]DG!A:D,[1]DG!$C$2,)</f>
        <v>ÔÁng sắt tráng kẽm D140</v>
      </c>
      <c r="G1341" s="88" t="str">
        <f>VLOOKUP($B1341,[1]DG!A:D,[1]DG!$D$2,)</f>
        <v>mét</v>
      </c>
      <c r="H1341" s="145">
        <f>H1339*5*0</f>
        <v>0</v>
      </c>
      <c r="I1341" s="91">
        <f t="shared" si="59"/>
        <v>0</v>
      </c>
      <c r="J1341" s="146"/>
      <c r="K1341" s="146"/>
      <c r="L1341" s="117"/>
      <c r="M1341" s="56">
        <v>250</v>
      </c>
    </row>
    <row r="1342" spans="1:14" s="51" customFormat="1" ht="25.2" hidden="1" customHeight="1">
      <c r="A1342" s="68">
        <f t="shared" si="58"/>
        <v>0</v>
      </c>
      <c r="B1342" s="98" t="s">
        <v>406</v>
      </c>
      <c r="C1342" s="98"/>
      <c r="D1342" s="111"/>
      <c r="E1342" s="88">
        <f>VLOOKUP($B1342,[1]DG!A:D,[1]DG!$B$2,)</f>
        <v>0</v>
      </c>
      <c r="F1342" s="89" t="str">
        <f>VLOOKUP($B1342,[1]DG!A:D,[1]DG!$C$2,)</f>
        <v>Co sừng 90 độ PVC 140</v>
      </c>
      <c r="G1342" s="88" t="str">
        <f>VLOOKUP($B1342,[1]DG!A:D,[1]DG!$D$2,)</f>
        <v>cái</v>
      </c>
      <c r="H1342" s="145">
        <f>H1339*0</f>
        <v>0</v>
      </c>
      <c r="I1342" s="91">
        <f t="shared" si="59"/>
        <v>0</v>
      </c>
      <c r="J1342" s="146"/>
      <c r="K1342" s="146"/>
      <c r="L1342" s="117"/>
      <c r="M1342" s="56">
        <v>250</v>
      </c>
    </row>
    <row r="1343" spans="1:14" s="51" customFormat="1" ht="25.2" hidden="1" customHeight="1">
      <c r="A1343" s="68">
        <f t="shared" si="58"/>
        <v>0</v>
      </c>
      <c r="B1343" s="69" t="s">
        <v>407</v>
      </c>
      <c r="C1343" s="69"/>
      <c r="D1343" s="87"/>
      <c r="E1343" s="88" t="str">
        <f>VLOOKUP($B1343,[1]DG!A:D,[1]DG!$B$2,)</f>
        <v>06.3231</v>
      </c>
      <c r="F1343" s="89" t="str">
        <f>VLOOKUP($B1343,[1]DG!A:D,[1]DG!$C$2,)</f>
        <v>Cổ dê giữ ống STK D140 vào tường+Boulon+long đền+tắc ke sắt</v>
      </c>
      <c r="G1343" s="88" t="str">
        <f>VLOOKUP($B1343,[1]DG!A:D,[1]DG!$D$2,)</f>
        <v>bộ</v>
      </c>
      <c r="H1343" s="145">
        <f>H1339*2*0</f>
        <v>0</v>
      </c>
      <c r="I1343" s="91">
        <f t="shared" si="59"/>
        <v>0</v>
      </c>
      <c r="J1343" s="146"/>
      <c r="K1343" s="146"/>
      <c r="L1343" s="117"/>
      <c r="M1343" s="56">
        <v>250</v>
      </c>
    </row>
    <row r="1344" spans="1:14" s="51" customFormat="1" ht="25.2" hidden="1" customHeight="1">
      <c r="A1344" s="68">
        <f t="shared" si="58"/>
        <v>0</v>
      </c>
      <c r="B1344" s="86" t="s">
        <v>408</v>
      </c>
      <c r="C1344" s="86"/>
      <c r="D1344" s="87"/>
      <c r="E1344" s="88">
        <f>VLOOKUP($B1344,[1]DG!A:D,[1]DG!$B$2,)</f>
        <v>0</v>
      </c>
      <c r="F1344" s="89" t="str">
        <f>VLOOKUP($B1344,[1]DG!A:D,[1]DG!$C$2,)</f>
        <v>Giá đỡ cáp ngầm (V63x6)</v>
      </c>
      <c r="G1344" s="88" t="str">
        <f>VLOOKUP($B1344,[1]DG!A:D,[1]DG!$D$2,)</f>
        <v>bộ</v>
      </c>
      <c r="H1344" s="145">
        <f>H1339*0</f>
        <v>0</v>
      </c>
      <c r="I1344" s="91">
        <f t="shared" si="59"/>
        <v>0</v>
      </c>
      <c r="J1344" s="146"/>
      <c r="K1344" s="146"/>
      <c r="L1344" s="117"/>
      <c r="M1344" s="56">
        <v>250</v>
      </c>
    </row>
    <row r="1345" spans="1:13" s="51" customFormat="1" ht="25.2" hidden="1" customHeight="1">
      <c r="A1345" s="68">
        <f t="shared" si="58"/>
        <v>0</v>
      </c>
      <c r="B1345" s="86" t="s">
        <v>409</v>
      </c>
      <c r="C1345" s="86"/>
      <c r="D1345" s="87"/>
      <c r="E1345" s="88">
        <f>VLOOKUP($B1345,[1]DG!A:D,[1]DG!$B$2,)</f>
        <v>0</v>
      </c>
      <c r="F1345" s="89" t="str">
        <f>VLOOKUP($B1345,[1]DG!A:D,[1]DG!$C$2,)</f>
        <v>Giá đỡ cáp trung hạ thế</v>
      </c>
      <c r="G1345" s="88" t="str">
        <f>VLOOKUP($B1345,[1]DG!A:D,[1]DG!$D$2,)</f>
        <v>bộ</v>
      </c>
      <c r="H1345" s="145">
        <f>H1339</f>
        <v>0</v>
      </c>
      <c r="I1345" s="91">
        <f t="shared" si="59"/>
        <v>0</v>
      </c>
      <c r="J1345" s="146"/>
      <c r="K1345" s="146"/>
      <c r="L1345" s="117"/>
      <c r="M1345" s="56">
        <v>250</v>
      </c>
    </row>
    <row r="1346" spans="1:13" s="51" customFormat="1" ht="25.2" hidden="1" customHeight="1">
      <c r="A1346" s="68">
        <f t="shared" si="58"/>
        <v>0</v>
      </c>
      <c r="B1346" s="69" t="s">
        <v>410</v>
      </c>
      <c r="C1346" s="69"/>
      <c r="D1346" s="111"/>
      <c r="E1346" s="88" t="str">
        <f>VLOOKUP($B1346,[1]DG!A:D,[1]DG!$B$2,)</f>
        <v>05.6101</v>
      </c>
      <c r="F1346" s="89" t="str">
        <f>VLOOKUP($B1346,[1]DG!A:D,[1]DG!$C$2,)</f>
        <v>Lắp Giá đỡ cáp</v>
      </c>
      <c r="G1346" s="88" t="str">
        <f>VLOOKUP($B1346,[1]DG!A:D,[1]DG!$D$2,)</f>
        <v>bộ</v>
      </c>
      <c r="H1346" s="145">
        <f>H1344+H1345</f>
        <v>0</v>
      </c>
      <c r="I1346" s="91">
        <f t="shared" si="59"/>
        <v>0</v>
      </c>
      <c r="J1346" s="146"/>
      <c r="K1346" s="146"/>
      <c r="L1346" s="117"/>
      <c r="M1346" s="56">
        <v>250</v>
      </c>
    </row>
    <row r="1347" spans="1:13" s="51" customFormat="1" ht="25.2" hidden="1" customHeight="1">
      <c r="A1347" s="68">
        <f t="shared" si="58"/>
        <v>0</v>
      </c>
      <c r="B1347" s="69" t="s">
        <v>117</v>
      </c>
      <c r="C1347" s="69"/>
      <c r="D1347" s="87"/>
      <c r="E1347" s="88" t="str">
        <f>VLOOKUP($B1347,[1]DG!A:D,[1]DG!$B$2,)</f>
        <v>06.3191</v>
      </c>
      <c r="F1347" s="89" t="str">
        <f>VLOOKUP($B1347,[1]DG!A:D,[1]DG!$C$2,)</f>
        <v>Bảng tên trạm, bảng báo nguy hiểm + đinh vít</v>
      </c>
      <c r="G1347" s="88" t="str">
        <f>VLOOKUP($B1347,[1]DG!A:D,[1]DG!$D$2,)</f>
        <v>bộ</v>
      </c>
      <c r="H1347" s="145">
        <f>H1339*0</f>
        <v>0</v>
      </c>
      <c r="I1347" s="91">
        <f t="shared" si="59"/>
        <v>0</v>
      </c>
      <c r="J1347" s="146"/>
      <c r="K1347" s="146"/>
      <c r="L1347" s="117"/>
      <c r="M1347" s="56">
        <v>250</v>
      </c>
    </row>
    <row r="1348" spans="1:13" s="51" customFormat="1" ht="25.2" hidden="1" customHeight="1">
      <c r="A1348" s="68">
        <f t="shared" si="58"/>
        <v>0</v>
      </c>
      <c r="B1348" s="69"/>
      <c r="C1348" s="69"/>
      <c r="D1348" s="220">
        <f>IF(H1348&gt;0,D1339+1,D1339)</f>
        <v>4</v>
      </c>
      <c r="E1348" s="238"/>
      <c r="F1348" s="247" t="s">
        <v>411</v>
      </c>
      <c r="G1348" s="220" t="s">
        <v>67</v>
      </c>
      <c r="H1348" s="240">
        <f>H1203*0</f>
        <v>0</v>
      </c>
      <c r="I1348" s="91">
        <f t="shared" si="59"/>
        <v>0</v>
      </c>
      <c r="J1348" s="146"/>
      <c r="K1348" s="146"/>
      <c r="L1348" s="117"/>
      <c r="M1348" s="56">
        <v>250</v>
      </c>
    </row>
    <row r="1349" spans="1:13" s="51" customFormat="1" ht="25.2" hidden="1" customHeight="1">
      <c r="A1349" s="68">
        <f>IF(A1348&gt;0,1,0)</f>
        <v>0</v>
      </c>
      <c r="B1349" s="69"/>
      <c r="C1349" s="69"/>
      <c r="D1349" s="111"/>
      <c r="E1349" s="242"/>
      <c r="F1349" s="248" t="s">
        <v>68</v>
      </c>
      <c r="G1349" s="111"/>
      <c r="H1349" s="244"/>
      <c r="I1349" s="91">
        <f t="shared" si="59"/>
        <v>0</v>
      </c>
      <c r="J1349" s="146"/>
      <c r="K1349" s="146"/>
      <c r="L1349" s="117"/>
      <c r="M1349" s="56">
        <v>250</v>
      </c>
    </row>
    <row r="1350" spans="1:13" s="51" customFormat="1" ht="25.2" hidden="1" customHeight="1">
      <c r="A1350" s="68">
        <f t="shared" si="58"/>
        <v>0</v>
      </c>
      <c r="B1350" s="86" t="s">
        <v>412</v>
      </c>
      <c r="C1350" s="86"/>
      <c r="D1350" s="87"/>
      <c r="E1350" s="88">
        <f>VLOOKUP($B1350,[1]DG!A:D,[1]DG!$B$2,)</f>
        <v>0</v>
      </c>
      <c r="F1350" s="89" t="str">
        <f>VLOOKUP($B1350,[1]DG!A:D,[1]DG!$C$2,)&amp;": trong möông vaø leân MBA"</f>
        <v>Cáp 24kV C/XLPE/DSTA/PVC3x50: trong möông vaø leân MBA</v>
      </c>
      <c r="G1350" s="88" t="str">
        <f>VLOOKUP($B1350,[1]DG!A:D,[1]DG!$D$2,)</f>
        <v>mét</v>
      </c>
      <c r="H1350" s="145">
        <f>H1329+H1348*8</f>
        <v>0</v>
      </c>
      <c r="I1350" s="91">
        <f t="shared" si="59"/>
        <v>0</v>
      </c>
      <c r="J1350" s="146"/>
      <c r="K1350" s="146"/>
      <c r="L1350" s="117"/>
      <c r="M1350" s="56">
        <v>250</v>
      </c>
    </row>
    <row r="1351" spans="1:13" s="51" customFormat="1" ht="25.2" hidden="1" customHeight="1">
      <c r="A1351" s="68">
        <f t="shared" si="58"/>
        <v>0</v>
      </c>
      <c r="B1351" s="86" t="s">
        <v>413</v>
      </c>
      <c r="C1351" s="86"/>
      <c r="D1351" s="87"/>
      <c r="E1351" s="88">
        <f>VLOOKUP($B1351,[1]DG!A:D,[1]DG!$B$2,)</f>
        <v>0</v>
      </c>
      <c r="F1351" s="89" t="str">
        <f>VLOOKUP($B1351,[1]DG!A:D,[1]DG!$C$2,)&amp;": trung tính"</f>
        <v>Cáp 24KV C/XLPE/PVC 50mm2: trung tính</v>
      </c>
      <c r="G1351" s="88" t="str">
        <f>VLOOKUP($B1351,[1]DG!A:D,[1]DG!$D$2,)</f>
        <v>mét</v>
      </c>
      <c r="H1351" s="145">
        <f>H1350</f>
        <v>0</v>
      </c>
      <c r="I1351" s="91">
        <f t="shared" si="59"/>
        <v>0</v>
      </c>
      <c r="J1351" s="146"/>
      <c r="K1351" s="146"/>
      <c r="L1351" s="117"/>
      <c r="M1351" s="56">
        <v>250</v>
      </c>
    </row>
    <row r="1352" spans="1:13" s="51" customFormat="1" ht="25.2" hidden="1" customHeight="1">
      <c r="A1352" s="68">
        <f t="shared" si="58"/>
        <v>0</v>
      </c>
      <c r="B1352" s="86" t="s">
        <v>413</v>
      </c>
      <c r="C1352" s="86"/>
      <c r="D1352" s="87"/>
      <c r="E1352" s="88">
        <f>VLOOKUP($B1352,[1]DG!A:D,[1]DG!$B$2,)</f>
        <v>0</v>
      </c>
      <c r="F1352" s="89" t="str">
        <f>VLOOKUP($B1352,[1]DG!A:D,[1]DG!$C$2,)&amp;": 0,5m/pha töø FCO xuoáng MBA"</f>
        <v>Cáp 24KV C/XLPE/PVC 50mm2: 0,5m/pha töø FCO xuoáng MBA</v>
      </c>
      <c r="G1352" s="88" t="str">
        <f>VLOOKUP($B1352,[1]DG!A:D,[1]DG!$D$2,)</f>
        <v>mét</v>
      </c>
      <c r="H1352" s="145">
        <f>H1348*0.5*3*0</f>
        <v>0</v>
      </c>
      <c r="I1352" s="91">
        <f t="shared" si="59"/>
        <v>0</v>
      </c>
      <c r="J1352" s="146"/>
      <c r="K1352" s="146"/>
      <c r="L1352" s="117"/>
      <c r="M1352" s="56">
        <v>250</v>
      </c>
    </row>
    <row r="1353" spans="1:13" s="51" customFormat="1" ht="25.2" hidden="1" customHeight="1">
      <c r="A1353" s="68">
        <f t="shared" si="58"/>
        <v>0</v>
      </c>
      <c r="B1353" s="86" t="s">
        <v>414</v>
      </c>
      <c r="C1353" s="86"/>
      <c r="D1353" s="87"/>
      <c r="E1353" s="88">
        <f>VLOOKUP($B1353,[1]DG!A:D,[1]DG!$B$2,)</f>
        <v>0</v>
      </c>
      <c r="F1353" s="89" t="str">
        <f>VLOOKUP($B1353,[1]DG!A:D,[1]DG!$C$2,)</f>
        <v>Đầu cáp ngầm 24KV 3x50mm2 outdoor</v>
      </c>
      <c r="G1353" s="88" t="str">
        <f>VLOOKUP($B1353,[1]DG!A:D,[1]DG!$D$2,)</f>
        <v>cái</v>
      </c>
      <c r="H1353" s="145">
        <f>H1348</f>
        <v>0</v>
      </c>
      <c r="I1353" s="91">
        <f t="shared" si="59"/>
        <v>0</v>
      </c>
      <c r="J1353" s="146"/>
      <c r="K1353" s="146"/>
      <c r="L1353" s="117"/>
      <c r="M1353" s="56">
        <v>250</v>
      </c>
    </row>
    <row r="1354" spans="1:13" s="51" customFormat="1" ht="25.2" hidden="1" customHeight="1">
      <c r="A1354" s="68">
        <f t="shared" si="58"/>
        <v>0</v>
      </c>
      <c r="B1354" s="86" t="s">
        <v>412</v>
      </c>
      <c r="C1354" s="86"/>
      <c r="D1354" s="87"/>
      <c r="E1354" s="88">
        <f>VLOOKUP($B1354,[1]DG!A:D,[1]DG!$B$2,)</f>
        <v>0</v>
      </c>
      <c r="F1354" s="89" t="str">
        <f>VLOOKUP($B1354,[1]DG!A:D,[1]DG!$C$2,)&amp;": töø tuû LBS ñeán MBA"</f>
        <v>Cáp 24kV C/XLPE/DSTA/PVC3x50: töø tuû LBS ñeán MBA</v>
      </c>
      <c r="G1354" s="88" t="str">
        <f>VLOOKUP($B1354,[1]DG!A:D,[1]DG!$D$2,)</f>
        <v>mét</v>
      </c>
      <c r="H1354" s="145">
        <f>(1.2+2.4)*H1348*0</f>
        <v>0</v>
      </c>
      <c r="I1354" s="91">
        <f t="shared" si="59"/>
        <v>0</v>
      </c>
      <c r="J1354" s="146"/>
      <c r="K1354" s="146"/>
      <c r="L1354" s="117"/>
      <c r="M1354" s="56">
        <v>250</v>
      </c>
    </row>
    <row r="1355" spans="1:13" s="51" customFormat="1" ht="25.2" hidden="1" customHeight="1">
      <c r="A1355" s="68">
        <f t="shared" si="58"/>
        <v>0</v>
      </c>
      <c r="B1355" s="86" t="s">
        <v>413</v>
      </c>
      <c r="C1355" s="86"/>
      <c r="D1355" s="87"/>
      <c r="E1355" s="88">
        <f>VLOOKUP($B1355,[1]DG!A:D,[1]DG!$B$2,)</f>
        <v>0</v>
      </c>
      <c r="F1355" s="89" t="str">
        <f>VLOOKUP($B1355,[1]DG!A:D,[1]DG!$C$2,)&amp;": töø tuû LBS ñeán MBA"</f>
        <v>Cáp 24KV C/XLPE/PVC 50mm2: töø tuû LBS ñeán MBA</v>
      </c>
      <c r="G1355" s="88" t="str">
        <f>VLOOKUP($B1355,[1]DG!A:D,[1]DG!$D$2,)</f>
        <v>mét</v>
      </c>
      <c r="H1355" s="145">
        <f>H1348*1.2*0</f>
        <v>0</v>
      </c>
      <c r="I1355" s="91">
        <f t="shared" si="59"/>
        <v>0</v>
      </c>
      <c r="J1355" s="146"/>
      <c r="K1355" s="146"/>
      <c r="L1355" s="117"/>
      <c r="M1355" s="56">
        <v>250</v>
      </c>
    </row>
    <row r="1356" spans="1:13" s="51" customFormat="1" ht="25.2" hidden="1" customHeight="1">
      <c r="A1356" s="68">
        <f t="shared" si="58"/>
        <v>0</v>
      </c>
      <c r="B1356" s="86" t="s">
        <v>415</v>
      </c>
      <c r="C1356" s="86"/>
      <c r="D1356" s="87"/>
      <c r="E1356" s="88">
        <f>VLOOKUP($B1356,[1]DG!A:D,[1]DG!$B$2,)</f>
        <v>0</v>
      </c>
      <c r="F1356" s="89" t="str">
        <f>VLOOKUP($B1356,[1]DG!A:D,[1]DG!$C$2,)</f>
        <v>Đầu cáp ngầm 24KV 3x50mm2 indoor</v>
      </c>
      <c r="G1356" s="88" t="str">
        <f>VLOOKUP($B1356,[1]DG!A:D,[1]DG!$D$2,)</f>
        <v>cái</v>
      </c>
      <c r="H1356" s="145">
        <f>H1348</f>
        <v>0</v>
      </c>
      <c r="I1356" s="91">
        <f t="shared" si="59"/>
        <v>0</v>
      </c>
      <c r="J1356" s="146"/>
      <c r="K1356" s="146"/>
      <c r="L1356" s="117"/>
      <c r="M1356" s="56">
        <v>250</v>
      </c>
    </row>
    <row r="1357" spans="1:13" s="51" customFormat="1" ht="25.2" hidden="1" customHeight="1">
      <c r="A1357" s="68">
        <f t="shared" si="58"/>
        <v>0</v>
      </c>
      <c r="B1357" s="86" t="s">
        <v>416</v>
      </c>
      <c r="C1357" s="86"/>
      <c r="D1357" s="87"/>
      <c r="E1357" s="88" t="str">
        <f>VLOOKUP($B1357,[1]DG!A:D,[1]DG!$B$2,)</f>
        <v>07.4312</v>
      </c>
      <c r="F1357" s="89" t="str">
        <f>VLOOKUP($B1357,[1]DG!A:D,[1]DG!$C$2,)</f>
        <v>Lắp đầu cáp trung thế 3x50mm2, 70mm2</v>
      </c>
      <c r="G1357" s="88" t="str">
        <f>VLOOKUP($B1357,[1]DG!A:D,[1]DG!$D$2,)</f>
        <v>cái</v>
      </c>
      <c r="H1357" s="145">
        <f>H1353+H1356</f>
        <v>0</v>
      </c>
      <c r="I1357" s="91">
        <f t="shared" si="59"/>
        <v>0</v>
      </c>
      <c r="J1357" s="146"/>
      <c r="K1357" s="146"/>
      <c r="L1357" s="117"/>
      <c r="M1357" s="56">
        <v>250</v>
      </c>
    </row>
    <row r="1358" spans="1:13" s="51" customFormat="1" ht="25.2" hidden="1" customHeight="1">
      <c r="A1358" s="68">
        <f t="shared" si="58"/>
        <v>0</v>
      </c>
      <c r="B1358" s="86" t="s">
        <v>417</v>
      </c>
      <c r="C1358" s="86"/>
      <c r="D1358" s="87"/>
      <c r="E1358" s="88" t="str">
        <f>VLOOKUP($B1358,[1]DG!A:D,[1]DG!$B$2,)</f>
        <v>03.1405</v>
      </c>
      <c r="F1358" s="89" t="str">
        <f>VLOOKUP($B1358,[1]DG!A:D,[1]DG!$C$2,)</f>
        <v>Lắp cáp trong ống bảo vệ trong TBA loại &lt;=6kg</v>
      </c>
      <c r="G1358" s="88" t="str">
        <f>VLOOKUP($B1358,[1]DG!A:D,[1]DG!$D$2,)</f>
        <v>mét</v>
      </c>
      <c r="H1358" s="145">
        <f>H1350+H1354</f>
        <v>0</v>
      </c>
      <c r="I1358" s="91">
        <f t="shared" si="59"/>
        <v>0</v>
      </c>
      <c r="J1358" s="146"/>
      <c r="K1358" s="146"/>
      <c r="L1358" s="117"/>
      <c r="M1358" s="56">
        <v>250</v>
      </c>
    </row>
    <row r="1359" spans="1:13" s="51" customFormat="1" ht="25.2" hidden="1" customHeight="1">
      <c r="A1359" s="68">
        <f t="shared" si="58"/>
        <v>0</v>
      </c>
      <c r="B1359" s="86" t="s">
        <v>418</v>
      </c>
      <c r="C1359" s="86"/>
      <c r="D1359" s="87"/>
      <c r="E1359" s="88" t="str">
        <f>VLOOKUP($B1359,[1]DG!A:D,[1]DG!$B$2,)</f>
        <v>03.1402</v>
      </c>
      <c r="F1359" s="89" t="str">
        <f>VLOOKUP($B1359,[1]DG!A:D,[1]DG!$C$2,)</f>
        <v>Lắp cáp trong ống bảo vệ trong TBA loại &lt;=2kg</v>
      </c>
      <c r="G1359" s="88" t="str">
        <f>VLOOKUP($B1359,[1]DG!A:D,[1]DG!$D$2,)</f>
        <v>mét</v>
      </c>
      <c r="H1359" s="145">
        <f>H1351+H1355</f>
        <v>0</v>
      </c>
      <c r="I1359" s="91">
        <f t="shared" si="59"/>
        <v>0</v>
      </c>
      <c r="J1359" s="146"/>
      <c r="K1359" s="146"/>
      <c r="L1359" s="117"/>
      <c r="M1359" s="56">
        <v>250</v>
      </c>
    </row>
    <row r="1360" spans="1:13" s="51" customFormat="1" ht="25.2" hidden="1" customHeight="1">
      <c r="A1360" s="68">
        <f t="shared" si="58"/>
        <v>0</v>
      </c>
      <c r="B1360" s="86" t="s">
        <v>101</v>
      </c>
      <c r="C1360" s="86"/>
      <c r="D1360" s="87"/>
      <c r="E1360" s="88" t="str">
        <f>VLOOKUP($B1360,[1]DG!A:D,[1]DG!$B$2,)</f>
        <v>04.4201</v>
      </c>
      <c r="F1360" s="89" t="str">
        <f>VLOOKUP($B1360,[1]DG!A:D,[1]DG!$C$2,)</f>
        <v>Lắp cáp đồng xuống thiết bị D ≤ 95mm2</v>
      </c>
      <c r="G1360" s="88" t="str">
        <f>VLOOKUP($B1360,[1]DG!A:D,[1]DG!$D$2,)</f>
        <v>m</v>
      </c>
      <c r="H1360" s="145">
        <f>H1352</f>
        <v>0</v>
      </c>
      <c r="I1360" s="91">
        <f t="shared" si="59"/>
        <v>0</v>
      </c>
      <c r="J1360" s="146"/>
      <c r="K1360" s="146"/>
      <c r="L1360" s="117"/>
      <c r="M1360" s="56">
        <v>250</v>
      </c>
    </row>
    <row r="1361" spans="1:13" s="51" customFormat="1" ht="25.2" hidden="1" customHeight="1">
      <c r="A1361" s="68">
        <f t="shared" si="58"/>
        <v>0</v>
      </c>
      <c r="B1361" s="86" t="s">
        <v>419</v>
      </c>
      <c r="C1361" s="86"/>
      <c r="D1361" s="87"/>
      <c r="E1361" s="88">
        <f>VLOOKUP($B1361,[1]DG!A:D,[1]DG!$B$2,)</f>
        <v>0</v>
      </c>
      <c r="F1361" s="89" t="str">
        <f>VLOOKUP($B1361,[1]DG!A:D,[1]DG!$C$2,)</f>
        <v>Dây rút cáp</v>
      </c>
      <c r="G1361" s="88" t="str">
        <f>VLOOKUP($B1361,[1]DG!A:D,[1]DG!$D$2,)</f>
        <v>bọc</v>
      </c>
      <c r="H1361" s="145">
        <f>H1348*2</f>
        <v>0</v>
      </c>
      <c r="I1361" s="91">
        <f t="shared" si="59"/>
        <v>0</v>
      </c>
      <c r="J1361" s="146"/>
      <c r="K1361" s="146"/>
      <c r="L1361" s="117"/>
      <c r="M1361" s="56">
        <v>250</v>
      </c>
    </row>
    <row r="1362" spans="1:13" s="51" customFormat="1" ht="25.2" hidden="1" customHeight="1">
      <c r="A1362" s="68">
        <f t="shared" si="58"/>
        <v>0</v>
      </c>
      <c r="B1362" s="69"/>
      <c r="C1362" s="69"/>
      <c r="D1362" s="220">
        <f>IF(H1362&gt;0,D1348+1,D1348)</f>
        <v>4</v>
      </c>
      <c r="E1362" s="238"/>
      <c r="F1362" s="247" t="s">
        <v>472</v>
      </c>
      <c r="G1362" s="220" t="s">
        <v>67</v>
      </c>
      <c r="H1362" s="240">
        <f>H1203</f>
        <v>0</v>
      </c>
      <c r="I1362" s="91">
        <f t="shared" si="59"/>
        <v>0</v>
      </c>
      <c r="J1362" s="146"/>
      <c r="K1362" s="146"/>
      <c r="L1362" s="96"/>
      <c r="M1362" s="56">
        <v>250</v>
      </c>
    </row>
    <row r="1363" spans="1:13" s="51" customFormat="1" ht="25.2" hidden="1" customHeight="1">
      <c r="A1363" s="68">
        <f>IF(A1362&gt;0,1,0)</f>
        <v>0</v>
      </c>
      <c r="B1363" s="69"/>
      <c r="C1363" s="69"/>
      <c r="D1363" s="111"/>
      <c r="E1363" s="242"/>
      <c r="F1363" s="248" t="s">
        <v>68</v>
      </c>
      <c r="G1363" s="111"/>
      <c r="H1363" s="244"/>
      <c r="I1363" s="91">
        <f t="shared" si="59"/>
        <v>0</v>
      </c>
      <c r="J1363" s="146"/>
      <c r="K1363" s="146"/>
      <c r="L1363" s="96"/>
      <c r="M1363" s="56">
        <v>250</v>
      </c>
    </row>
    <row r="1364" spans="1:13" s="51" customFormat="1" ht="25.2" hidden="1" customHeight="1">
      <c r="A1364" s="68">
        <f t="shared" si="58"/>
        <v>0</v>
      </c>
      <c r="B1364" s="86" t="s">
        <v>98</v>
      </c>
      <c r="C1364" s="86">
        <v>7</v>
      </c>
      <c r="D1364" s="87"/>
      <c r="E1364" s="88">
        <f>VLOOKUP($B1364,[1]DG!A:D,[1]DG!$B$2,)</f>
        <v>0</v>
      </c>
      <c r="F1364" s="89" t="str">
        <f>VLOOKUP($B1364,[1]DG!A:D,[1]DG!$C$2,)</f>
        <v>Cáp 24KV CX-25mm2</v>
      </c>
      <c r="G1364" s="88" t="str">
        <f>VLOOKUP($B1364,[1]DG!A:D,[1]DG!$D$2,)</f>
        <v>mét</v>
      </c>
      <c r="H1364" s="145">
        <v>21</v>
      </c>
      <c r="I1364" s="91">
        <f t="shared" si="59"/>
        <v>0</v>
      </c>
      <c r="J1364" s="146"/>
      <c r="K1364" s="146"/>
      <c r="L1364" s="96"/>
      <c r="M1364" s="56">
        <v>250</v>
      </c>
    </row>
    <row r="1365" spans="1:13" s="51" customFormat="1" ht="25.2" hidden="1" customHeight="1">
      <c r="A1365" s="68">
        <f t="shared" si="58"/>
        <v>0</v>
      </c>
      <c r="B1365" s="86" t="s">
        <v>473</v>
      </c>
      <c r="C1365" s="86"/>
      <c r="D1365" s="87"/>
      <c r="E1365" s="88">
        <f>VLOOKUP($B1365,[1]DG!A:D,[1]DG!$B$2,)</f>
        <v>0</v>
      </c>
      <c r="F1365" s="89" t="str">
        <f>VLOOKUP($B1365,[1]DG!A:D,[1]DG!$C$2,)</f>
        <v>Bass LL bắt FCO, LA</v>
      </c>
      <c r="G1365" s="88" t="str">
        <f>VLOOKUP($B1365,[1]DG!A:D,[1]DG!$D$2,)</f>
        <v>bộ</v>
      </c>
      <c r="H1365" s="340"/>
      <c r="I1365" s="91">
        <f t="shared" si="59"/>
        <v>0</v>
      </c>
      <c r="J1365" s="146"/>
      <c r="K1365" s="146"/>
      <c r="L1365" s="117"/>
      <c r="M1365" s="56">
        <v>250</v>
      </c>
    </row>
    <row r="1366" spans="1:13" s="51" customFormat="1" ht="25.2" hidden="1" customHeight="1">
      <c r="A1366" s="68">
        <f t="shared" si="58"/>
        <v>0</v>
      </c>
      <c r="B1366" s="86" t="s">
        <v>99</v>
      </c>
      <c r="C1366" s="86"/>
      <c r="D1366" s="87"/>
      <c r="E1366" s="88" t="str">
        <f>VLOOKUP($B1366,[1]DG!A:D,[1]DG!$B$2,)</f>
        <v>04.3007</v>
      </c>
      <c r="F1366" s="89" t="str">
        <f>VLOOKUP($B1366,[1]DG!A:D,[1]DG!$C$2,)</f>
        <v>Kẹp quai 2/0</v>
      </c>
      <c r="G1366" s="88" t="str">
        <f>VLOOKUP($B1366,[1]DG!A:D,[1]DG!$D$2,)</f>
        <v>cái</v>
      </c>
      <c r="H1366" s="340">
        <f>H1362*3</f>
        <v>0</v>
      </c>
      <c r="I1366" s="91">
        <f t="shared" si="59"/>
        <v>0</v>
      </c>
      <c r="J1366" s="146"/>
      <c r="K1366" s="146"/>
      <c r="L1366" s="96"/>
      <c r="M1366" s="56">
        <v>250</v>
      </c>
    </row>
    <row r="1367" spans="1:13" s="51" customFormat="1" ht="25.2" hidden="1" customHeight="1">
      <c r="A1367" s="68">
        <f t="shared" si="58"/>
        <v>0</v>
      </c>
      <c r="B1367" s="86" t="s">
        <v>100</v>
      </c>
      <c r="C1367" s="86"/>
      <c r="D1367" s="87"/>
      <c r="E1367" s="88" t="str">
        <f>VLOOKUP($B1367,[1]DG!A:D,[1]DG!$B$2,)</f>
        <v>04.3007</v>
      </c>
      <c r="F1367" s="89" t="str">
        <f>VLOOKUP($B1367,[1]DG!A:D,[1]DG!$C$2,)&amp;": "</f>
        <v xml:space="preserve">Kẹp hotline 2/0: </v>
      </c>
      <c r="G1367" s="88" t="str">
        <f>VLOOKUP($B1367,[1]DG!A:D,[1]DG!$D$2,)</f>
        <v>cái</v>
      </c>
      <c r="H1367" s="145">
        <f>H1366</f>
        <v>0</v>
      </c>
      <c r="I1367" s="91">
        <f t="shared" si="59"/>
        <v>0</v>
      </c>
      <c r="J1367" s="146"/>
      <c r="K1367" s="146"/>
      <c r="L1367" s="96"/>
      <c r="M1367" s="56">
        <v>250</v>
      </c>
    </row>
    <row r="1368" spans="1:13" s="51" customFormat="1" ht="25.2" hidden="1" customHeight="1">
      <c r="A1368" s="68">
        <f t="shared" si="58"/>
        <v>0</v>
      </c>
      <c r="B1368" s="354" t="s">
        <v>134</v>
      </c>
      <c r="C1368" s="354"/>
      <c r="D1368" s="96"/>
      <c r="E1368" s="88">
        <f>VLOOKUP($B1368,[1]DG!A:D,[1]DG!$B$2,)</f>
        <v>0</v>
      </c>
      <c r="F1368" s="89" t="str">
        <f>VLOOKUP($B1368,[1]DG!A:D,[1]DG!$C$2,)</f>
        <v>Chụp cách điện kẹp quai</v>
      </c>
      <c r="G1368" s="88" t="str">
        <f>VLOOKUP($B1368,[1]DG!A:D,[1]DG!$D$2,)</f>
        <v>cái</v>
      </c>
      <c r="H1368" s="145">
        <v>3</v>
      </c>
      <c r="I1368" s="91">
        <f t="shared" si="59"/>
        <v>0</v>
      </c>
      <c r="J1368" s="146"/>
      <c r="K1368" s="146"/>
      <c r="L1368" s="96"/>
      <c r="M1368" s="56">
        <v>250</v>
      </c>
    </row>
    <row r="1369" spans="1:13" s="51" customFormat="1" ht="25.2" hidden="1" customHeight="1">
      <c r="A1369" s="68">
        <f>IF(I1369&gt;0,1,0)</f>
        <v>0</v>
      </c>
      <c r="B1369" s="354" t="s">
        <v>306</v>
      </c>
      <c r="C1369" s="354"/>
      <c r="D1369" s="87"/>
      <c r="E1369" s="88">
        <f>VLOOKUP($B1369,[1]DG!A:D,[1]DG!$B$2,)</f>
        <v>0</v>
      </c>
      <c r="F1369" s="89" t="str">
        <f>VLOOKUP($B1369,[1]DG!A:D,[1]DG!$C$2,)</f>
        <v>Chụp cách điện đầu cực MBA</v>
      </c>
      <c r="G1369" s="88" t="str">
        <f>VLOOKUP($B1369,[1]DG!A:D,[1]DG!$D$2,)</f>
        <v>cái</v>
      </c>
      <c r="H1369" s="145">
        <v>3</v>
      </c>
      <c r="I1369" s="91">
        <f>IF(M1369=$M$23,H1369+J1369-K1369,0)</f>
        <v>0</v>
      </c>
      <c r="J1369" s="146"/>
      <c r="K1369" s="146"/>
      <c r="L1369" s="96"/>
      <c r="M1369" s="56">
        <v>250</v>
      </c>
    </row>
    <row r="1370" spans="1:13" s="51" customFormat="1" ht="25.2" hidden="1" customHeight="1">
      <c r="A1370" s="68">
        <f>IF(I1370&gt;0,1,0)</f>
        <v>0</v>
      </c>
      <c r="B1370" s="354" t="s">
        <v>209</v>
      </c>
      <c r="C1370" s="354"/>
      <c r="D1370" s="87"/>
      <c r="E1370" s="88">
        <f>VLOOKUP($B1370,[1]DG!A:D,[1]DG!$B$2,)</f>
        <v>0</v>
      </c>
      <c r="F1370" s="89" t="str">
        <f>VLOOKUP($B1370,[1]DG!A:D,[1]DG!$C$2,)</f>
        <v>Chụp cách điện đầu cực LA</v>
      </c>
      <c r="G1370" s="88" t="str">
        <f>VLOOKUP($B1370,[1]DG!A:D,[1]DG!$D$2,)</f>
        <v>cái</v>
      </c>
      <c r="H1370" s="145">
        <v>3</v>
      </c>
      <c r="I1370" s="91">
        <f>IF(M1370=$M$23,H1370+J1370-K1370,0)</f>
        <v>0</v>
      </c>
      <c r="J1370" s="146"/>
      <c r="K1370" s="146"/>
      <c r="L1370" s="96"/>
      <c r="M1370" s="56">
        <v>250</v>
      </c>
    </row>
    <row r="1371" spans="1:13" s="51" customFormat="1" ht="25.2" hidden="1" customHeight="1">
      <c r="A1371" s="68">
        <f t="shared" si="58"/>
        <v>0</v>
      </c>
      <c r="B1371" s="86" t="s">
        <v>474</v>
      </c>
      <c r="C1371" s="86"/>
      <c r="D1371" s="87"/>
      <c r="E1371" s="88">
        <f>VLOOKUP($B1371,[1]DG!A:D,[1]DG!$B$2,)</f>
        <v>0</v>
      </c>
      <c r="F1371" s="89" t="str">
        <f>VLOOKUP($B1371,[1]DG!A:D,[1]DG!$C$2,)</f>
        <v xml:space="preserve">Sứ đứng 24KV </v>
      </c>
      <c r="G1371" s="88" t="str">
        <f>VLOOKUP($B1371,[1]DG!A:D,[1]DG!$D$2,)</f>
        <v>cái</v>
      </c>
      <c r="H1371" s="145">
        <v>6</v>
      </c>
      <c r="I1371" s="91">
        <f t="shared" si="59"/>
        <v>0</v>
      </c>
      <c r="J1371" s="146"/>
      <c r="K1371" s="146"/>
      <c r="L1371" s="96"/>
      <c r="M1371" s="56">
        <v>250</v>
      </c>
    </row>
    <row r="1372" spans="1:13" s="51" customFormat="1" ht="25.2" hidden="1" customHeight="1">
      <c r="A1372" s="68">
        <f t="shared" si="58"/>
        <v>0</v>
      </c>
      <c r="B1372" s="354" t="s">
        <v>475</v>
      </c>
      <c r="C1372" s="354"/>
      <c r="D1372" s="87"/>
      <c r="E1372" s="88">
        <f>VLOOKUP($B1372,[1]DG!A:D,[1]DG!$B$2,)</f>
        <v>0</v>
      </c>
      <c r="F1372" s="89" t="str">
        <f>VLOOKUP($B1372,[1]DG!A:D,[1]DG!$C$2,)</f>
        <v>Chân sứ đứng D20</v>
      </c>
      <c r="G1372" s="88" t="str">
        <f>VLOOKUP($B1372,[1]DG!A:D,[1]DG!$D$2,)</f>
        <v>cái</v>
      </c>
      <c r="H1372" s="145">
        <f>H1371</f>
        <v>6</v>
      </c>
      <c r="I1372" s="91">
        <f t="shared" si="59"/>
        <v>0</v>
      </c>
      <c r="J1372" s="146"/>
      <c r="K1372" s="146"/>
      <c r="L1372" s="96"/>
      <c r="M1372" s="56">
        <v>250</v>
      </c>
    </row>
    <row r="1373" spans="1:13" s="51" customFormat="1" ht="25.2" hidden="1" customHeight="1">
      <c r="A1373" s="68">
        <f t="shared" si="58"/>
        <v>0</v>
      </c>
      <c r="B1373" s="86" t="s">
        <v>423</v>
      </c>
      <c r="C1373" s="86"/>
      <c r="D1373" s="87"/>
      <c r="E1373" s="88" t="str">
        <f>VLOOKUP($B1373,[1]DG!A:D,[1]DG!$B$2,)</f>
        <v>06.1115</v>
      </c>
      <c r="F1373" s="89" t="str">
        <f>VLOOKUP($B1373,[1]DG!A:D,[1]DG!$C$2,)</f>
        <v>Lắp sứ đứng 24KV</v>
      </c>
      <c r="G1373" s="88" t="str">
        <f>VLOOKUP($B1373,[1]DG!A:D,[1]DG!$D$2,)</f>
        <v>bộ</v>
      </c>
      <c r="H1373" s="340">
        <f>H1371</f>
        <v>6</v>
      </c>
      <c r="I1373" s="91">
        <f t="shared" si="59"/>
        <v>0</v>
      </c>
      <c r="J1373" s="146"/>
      <c r="K1373" s="146"/>
      <c r="L1373" s="96"/>
      <c r="M1373" s="56">
        <v>250</v>
      </c>
    </row>
    <row r="1374" spans="1:13" s="51" customFormat="1" ht="25.2" hidden="1" customHeight="1">
      <c r="A1374" s="68">
        <f t="shared" si="58"/>
        <v>0</v>
      </c>
      <c r="B1374" s="86" t="s">
        <v>476</v>
      </c>
      <c r="C1374" s="86"/>
      <c r="D1374" s="87"/>
      <c r="E1374" s="88">
        <f>VLOOKUP($B1374,[1]DG!A:D,[1]DG!$B$2,)</f>
        <v>0</v>
      </c>
      <c r="F1374" s="89" t="str">
        <f>VLOOKUP($B1374,[1]DG!A:D,[1]DG!$C$2,)</f>
        <v>Uclevis + sứ ống chỉ</v>
      </c>
      <c r="G1374" s="88" t="str">
        <f>VLOOKUP($B1374,[1]DG!A:D,[1]DG!$D$2,)</f>
        <v>bộ</v>
      </c>
      <c r="H1374" s="340"/>
      <c r="I1374" s="91">
        <f t="shared" si="59"/>
        <v>0</v>
      </c>
      <c r="J1374" s="146"/>
      <c r="K1374" s="146"/>
      <c r="L1374" s="96"/>
      <c r="M1374" s="56">
        <v>250</v>
      </c>
    </row>
    <row r="1375" spans="1:13" s="51" customFormat="1" ht="25.2" hidden="1" customHeight="1">
      <c r="A1375" s="68">
        <f t="shared" ref="A1375:A1438" si="60">IF(I1375&gt;0,1,0)</f>
        <v>0</v>
      </c>
      <c r="B1375" s="86" t="s">
        <v>65</v>
      </c>
      <c r="C1375" s="86"/>
      <c r="D1375" s="87"/>
      <c r="E1375" s="88">
        <f>VLOOKUP($B1375,[1]DG!A:D,[1]DG!$B$2,)</f>
        <v>0</v>
      </c>
      <c r="F1375" s="89" t="str">
        <f>VLOOKUP($B1375,[1]DG!A:D,[1]DG!$C$2,)</f>
        <v>Boulon 16x300+ 2 long đền vuông D18-50x50x3/Zn</v>
      </c>
      <c r="G1375" s="88" t="str">
        <f>VLOOKUP($B1375,[1]DG!A:D,[1]DG!$D$2,)</f>
        <v>bộ</v>
      </c>
      <c r="H1375" s="340">
        <f>H1374</f>
        <v>0</v>
      </c>
      <c r="I1375" s="91">
        <f t="shared" si="59"/>
        <v>0</v>
      </c>
      <c r="J1375" s="146"/>
      <c r="K1375" s="146"/>
      <c r="L1375" s="96"/>
      <c r="M1375" s="56">
        <v>250</v>
      </c>
    </row>
    <row r="1376" spans="1:13" s="51" customFormat="1" ht="25.2" hidden="1" customHeight="1">
      <c r="A1376" s="68">
        <f t="shared" si="60"/>
        <v>0</v>
      </c>
      <c r="B1376" s="86" t="s">
        <v>477</v>
      </c>
      <c r="C1376" s="86"/>
      <c r="D1376" s="87"/>
      <c r="E1376" s="88">
        <f>VLOOKUP($B1376,[1]DG!A:D,[1]DG!$B$2,)</f>
        <v>0</v>
      </c>
      <c r="F1376" s="89" t="str">
        <f>VLOOKUP($B1376,[1]DG!A:D,[1]DG!$C$2,)</f>
        <v>Sứ treo polymer</v>
      </c>
      <c r="G1376" s="88" t="str">
        <f>VLOOKUP($B1376,[1]DG!A:D,[1]DG!$D$2,)</f>
        <v>chuỗi</v>
      </c>
      <c r="H1376" s="340">
        <f>H1362*0</f>
        <v>0</v>
      </c>
      <c r="I1376" s="91">
        <f t="shared" si="59"/>
        <v>0</v>
      </c>
      <c r="J1376" s="146"/>
      <c r="K1376" s="146"/>
      <c r="L1376" s="96"/>
      <c r="M1376" s="56">
        <v>250</v>
      </c>
    </row>
    <row r="1377" spans="1:13" s="51" customFormat="1" ht="25.2" hidden="1" customHeight="1">
      <c r="A1377" s="68">
        <f t="shared" si="60"/>
        <v>0</v>
      </c>
      <c r="B1377" s="86" t="s">
        <v>478</v>
      </c>
      <c r="C1377" s="86"/>
      <c r="D1377" s="87"/>
      <c r="E1377" s="88">
        <f>VLOOKUP($B1377,[1]DG!A:D,[1]DG!$B$2,)</f>
        <v>0</v>
      </c>
      <c r="F1377" s="89" t="str">
        <f>VLOOKUP($B1377,[1]DG!A:D,[1]DG!$C$2,)</f>
        <v xml:space="preserve">Móc treo chữ U </v>
      </c>
      <c r="G1377" s="88" t="str">
        <f>VLOOKUP($B1377,[1]DG!A:D,[1]DG!$D$2,)</f>
        <v>cái</v>
      </c>
      <c r="H1377" s="340">
        <f>H1376*0</f>
        <v>0</v>
      </c>
      <c r="I1377" s="91">
        <f t="shared" si="59"/>
        <v>0</v>
      </c>
      <c r="J1377" s="146"/>
      <c r="K1377" s="146"/>
      <c r="L1377" s="96"/>
      <c r="M1377" s="56">
        <v>250</v>
      </c>
    </row>
    <row r="1378" spans="1:13" s="51" customFormat="1" ht="25.2" hidden="1" customHeight="1">
      <c r="A1378" s="68">
        <f t="shared" si="60"/>
        <v>0</v>
      </c>
      <c r="B1378" s="86" t="s">
        <v>479</v>
      </c>
      <c r="C1378" s="86"/>
      <c r="D1378" s="87"/>
      <c r="E1378" s="88">
        <f>VLOOKUP($B1378,[1]DG!A:D,[1]DG!$B$2,)</f>
        <v>0</v>
      </c>
      <c r="F1378" s="89" t="str">
        <f>VLOOKUP($B1378,[1]DG!A:D,[1]DG!$C$2,)</f>
        <v>Khóa néo dây cỡ dây 185</v>
      </c>
      <c r="G1378" s="88" t="str">
        <f>VLOOKUP($B1378,[1]DG!A:D,[1]DG!$D$2,)</f>
        <v>cái</v>
      </c>
      <c r="H1378" s="340">
        <f>H1376*0</f>
        <v>0</v>
      </c>
      <c r="I1378" s="91">
        <f t="shared" si="59"/>
        <v>0</v>
      </c>
      <c r="J1378" s="146"/>
      <c r="K1378" s="146"/>
      <c r="L1378" s="96"/>
      <c r="M1378" s="56">
        <v>250</v>
      </c>
    </row>
    <row r="1379" spans="1:13" s="51" customFormat="1" ht="25.2" hidden="1" customHeight="1">
      <c r="A1379" s="68">
        <f t="shared" si="60"/>
        <v>0</v>
      </c>
      <c r="B1379" s="86" t="s">
        <v>480</v>
      </c>
      <c r="C1379" s="86"/>
      <c r="D1379" s="87"/>
      <c r="E1379" s="88">
        <f>VLOOKUP($B1379,[1]DG!A:D,[1]DG!$B$2,)</f>
        <v>0</v>
      </c>
      <c r="F1379" s="89" t="str">
        <f>VLOOKUP($B1379,[1]DG!A:D,[1]DG!$C$2,)</f>
        <v>Khóa néo dây cỡ dây 35</v>
      </c>
      <c r="G1379" s="88" t="str">
        <f>VLOOKUP($B1379,[1]DG!A:D,[1]DG!$D$2,)</f>
        <v>cái</v>
      </c>
      <c r="H1379" s="340">
        <f>H1362*2*0</f>
        <v>0</v>
      </c>
      <c r="I1379" s="91">
        <f t="shared" si="59"/>
        <v>0</v>
      </c>
      <c r="J1379" s="146"/>
      <c r="K1379" s="146"/>
      <c r="L1379" s="96"/>
      <c r="M1379" s="56">
        <v>250</v>
      </c>
    </row>
    <row r="1380" spans="1:13" s="51" customFormat="1" ht="25.2" hidden="1" customHeight="1">
      <c r="A1380" s="68">
        <f t="shared" si="60"/>
        <v>0</v>
      </c>
      <c r="B1380" s="355" t="s">
        <v>481</v>
      </c>
      <c r="C1380" s="355"/>
      <c r="D1380" s="87"/>
      <c r="E1380" s="88">
        <f>VLOOKUP($B1380,[1]DG!A:D,[1]DG!$B$2,)</f>
        <v>0</v>
      </c>
      <c r="F1380" s="89" t="str">
        <f>VLOOKUP($B1380,[1]DG!A:D,[1]DG!$C$2,)</f>
        <v>Kẹp 2 rãnh (APC) cỡ dây 185mm2</v>
      </c>
      <c r="G1380" s="88" t="str">
        <f>VLOOKUP($B1380,[1]DG!A:D,[1]DG!$D$2,)</f>
        <v>cái</v>
      </c>
      <c r="H1380" s="340">
        <f>H1362*6*0</f>
        <v>0</v>
      </c>
      <c r="I1380" s="91">
        <f t="shared" si="59"/>
        <v>0</v>
      </c>
      <c r="J1380" s="146"/>
      <c r="K1380" s="146"/>
      <c r="L1380" s="96"/>
      <c r="M1380" s="56">
        <v>250</v>
      </c>
    </row>
    <row r="1381" spans="1:13" s="51" customFormat="1" ht="25.2" hidden="1" customHeight="1">
      <c r="A1381" s="68">
        <f t="shared" si="60"/>
        <v>0</v>
      </c>
      <c r="B1381" s="86" t="s">
        <v>482</v>
      </c>
      <c r="C1381" s="86"/>
      <c r="D1381" s="87"/>
      <c r="E1381" s="88">
        <f>VLOOKUP($B1381,[1]DG!A:D,[1]DG!$B$2,)</f>
        <v>0</v>
      </c>
      <c r="F1381" s="89" t="str">
        <f>VLOOKUP($B1381,[1]DG!A:D,[1]DG!$C$2,)</f>
        <v>Boulon mắt 16x250+ 2 long đền vuông D18-50x50x3/Zn</v>
      </c>
      <c r="G1381" s="88" t="str">
        <f>VLOOKUP($B1381,[1]DG!A:D,[1]DG!$D$2,)</f>
        <v>bộ</v>
      </c>
      <c r="H1381" s="340">
        <f>H1362*3*0</f>
        <v>0</v>
      </c>
      <c r="I1381" s="91">
        <f t="shared" si="59"/>
        <v>0</v>
      </c>
      <c r="J1381" s="146"/>
      <c r="K1381" s="146"/>
      <c r="L1381" s="96"/>
      <c r="M1381" s="56">
        <v>250</v>
      </c>
    </row>
    <row r="1382" spans="1:13" s="51" customFormat="1" ht="25.2" hidden="1" customHeight="1">
      <c r="A1382" s="68">
        <f t="shared" si="60"/>
        <v>0</v>
      </c>
      <c r="B1382" s="86" t="s">
        <v>483</v>
      </c>
      <c r="C1382" s="86"/>
      <c r="D1382" s="87"/>
      <c r="E1382" s="88">
        <f>VLOOKUP($B1382,[1]DG!A:D,[1]DG!$B$2,)</f>
        <v>0</v>
      </c>
      <c r="F1382" s="89" t="str">
        <f>VLOOKUP($B1382,[1]DG!A:D,[1]DG!$C$2,)</f>
        <v>Boulon mắt 16x300+ 2 long đền vuông D18-50x50x3/Zn</v>
      </c>
      <c r="G1382" s="88" t="str">
        <f>VLOOKUP($B1382,[1]DG!A:D,[1]DG!$D$2,)</f>
        <v>bộ</v>
      </c>
      <c r="H1382" s="340">
        <f>H1379*3*0</f>
        <v>0</v>
      </c>
      <c r="I1382" s="91">
        <f t="shared" si="59"/>
        <v>0</v>
      </c>
      <c r="J1382" s="146"/>
      <c r="K1382" s="146"/>
      <c r="L1382" s="96"/>
      <c r="M1382" s="56">
        <v>250</v>
      </c>
    </row>
    <row r="1383" spans="1:13" s="51" customFormat="1" ht="25.2" hidden="1" customHeight="1">
      <c r="A1383" s="68">
        <f t="shared" si="60"/>
        <v>0</v>
      </c>
      <c r="B1383" s="86" t="s">
        <v>484</v>
      </c>
      <c r="C1383" s="86"/>
      <c r="D1383" s="87"/>
      <c r="E1383" s="88">
        <f>VLOOKUP($B1383,[1]DG!A:D,[1]DG!$B$2,)</f>
        <v>0</v>
      </c>
      <c r="F1383" s="89" t="str">
        <f>VLOOKUP($B1383,[1]DG!A:D,[1]DG!$C$2,)</f>
        <v>Kẹp ép WR cỡ dây 70mm2</v>
      </c>
      <c r="G1383" s="88" t="str">
        <f>VLOOKUP($B1383,[1]DG!A:D,[1]DG!$D$2,)</f>
        <v>cái</v>
      </c>
      <c r="H1383" s="340">
        <f>H1379*0</f>
        <v>0</v>
      </c>
      <c r="I1383" s="91">
        <f t="shared" si="59"/>
        <v>0</v>
      </c>
      <c r="J1383" s="146"/>
      <c r="K1383" s="146"/>
      <c r="L1383" s="96"/>
      <c r="M1383" s="56">
        <v>250</v>
      </c>
    </row>
    <row r="1384" spans="1:13" s="51" customFormat="1" ht="25.2" hidden="1" customHeight="1">
      <c r="A1384" s="68">
        <f t="shared" si="60"/>
        <v>0</v>
      </c>
      <c r="B1384" s="86" t="s">
        <v>425</v>
      </c>
      <c r="C1384" s="86"/>
      <c r="D1384" s="87"/>
      <c r="E1384" s="88" t="str">
        <f>VLOOKUP($B1384,[1]DG!A:D,[1]DG!$B$2,)</f>
        <v>06.2201</v>
      </c>
      <c r="F1384" s="89" t="str">
        <f>VLOOKUP($B1384,[1]DG!A:D,[1]DG!$C$2,)</f>
        <v>Lắp chuỗi sứ néo Polymer</v>
      </c>
      <c r="G1384" s="88" t="str">
        <f>VLOOKUP($B1384,[1]DG!A:D,[1]DG!$D$2,)</f>
        <v>chuỗi</v>
      </c>
      <c r="H1384" s="145">
        <f>H1376*0</f>
        <v>0</v>
      </c>
      <c r="I1384" s="91">
        <f t="shared" si="59"/>
        <v>0</v>
      </c>
      <c r="J1384" s="146"/>
      <c r="K1384" s="146"/>
      <c r="L1384" s="96"/>
      <c r="M1384" s="56">
        <v>250</v>
      </c>
    </row>
    <row r="1385" spans="1:13" s="51" customFormat="1" ht="25.2" hidden="1" customHeight="1">
      <c r="A1385" s="68">
        <f t="shared" si="60"/>
        <v>0</v>
      </c>
      <c r="B1385" s="86" t="s">
        <v>101</v>
      </c>
      <c r="C1385" s="86"/>
      <c r="D1385" s="87"/>
      <c r="E1385" s="88" t="str">
        <f>VLOOKUP($B1385,[1]DG!A:D,[1]DG!$B$2,)</f>
        <v>04.4201</v>
      </c>
      <c r="F1385" s="89" t="str">
        <f>VLOOKUP($B1385,[1]DG!A:D,[1]DG!$C$2,)</f>
        <v>Lắp cáp đồng xuống thiết bị D ≤ 95mm2</v>
      </c>
      <c r="G1385" s="88" t="str">
        <f>VLOOKUP($B1385,[1]DG!A:D,[1]DG!$D$2,)</f>
        <v>m</v>
      </c>
      <c r="H1385" s="145">
        <f>H1364</f>
        <v>21</v>
      </c>
      <c r="I1385" s="91">
        <f t="shared" si="59"/>
        <v>0</v>
      </c>
      <c r="J1385" s="146"/>
      <c r="K1385" s="146"/>
      <c r="L1385" s="96"/>
      <c r="M1385" s="56">
        <v>250</v>
      </c>
    </row>
    <row r="1386" spans="1:13" s="51" customFormat="1" ht="25.2" hidden="1" customHeight="1">
      <c r="A1386" s="68">
        <f t="shared" si="60"/>
        <v>0</v>
      </c>
      <c r="B1386" s="69"/>
      <c r="C1386" s="69"/>
      <c r="D1386" s="220">
        <f>IF(H1386&gt;0,D1362+1,D1362)</f>
        <v>4</v>
      </c>
      <c r="E1386" s="238"/>
      <c r="F1386" s="247" t="s">
        <v>297</v>
      </c>
      <c r="G1386" s="220" t="s">
        <v>67</v>
      </c>
      <c r="H1386" s="240"/>
      <c r="I1386" s="91">
        <f t="shared" si="59"/>
        <v>0</v>
      </c>
      <c r="J1386" s="146"/>
      <c r="K1386" s="146"/>
      <c r="L1386" s="117"/>
      <c r="M1386" s="56">
        <v>250</v>
      </c>
    </row>
    <row r="1387" spans="1:13" s="51" customFormat="1" ht="25.2" hidden="1" customHeight="1">
      <c r="A1387" s="68">
        <f>IF(A1386&gt;0,1,0)</f>
        <v>0</v>
      </c>
      <c r="B1387" s="69"/>
      <c r="C1387" s="69"/>
      <c r="D1387" s="111"/>
      <c r="E1387" s="242"/>
      <c r="F1387" s="248" t="s">
        <v>68</v>
      </c>
      <c r="G1387" s="111"/>
      <c r="H1387" s="244"/>
      <c r="I1387" s="91">
        <f t="shared" si="59"/>
        <v>0</v>
      </c>
      <c r="J1387" s="146"/>
      <c r="K1387" s="146"/>
      <c r="L1387" s="117"/>
      <c r="M1387" s="56">
        <v>250</v>
      </c>
    </row>
    <row r="1388" spans="1:13" s="51" customFormat="1" ht="25.2" hidden="1" customHeight="1">
      <c r="A1388" s="68">
        <f t="shared" si="60"/>
        <v>0</v>
      </c>
      <c r="B1388" s="69" t="s">
        <v>298</v>
      </c>
      <c r="C1388" s="69"/>
      <c r="D1388" s="87"/>
      <c r="E1388" s="88" t="str">
        <f>VLOOKUP($B1388,[1]DG!A:D,[1]DG!$B$2,)</f>
        <v>04.8003</v>
      </c>
      <c r="F1388" s="89" t="str">
        <f>VLOOKUP($B1388,[1]DG!A:D,[1]DG!$C$2,)</f>
        <v xml:space="preserve">Ống PVC D90x3,8mm </v>
      </c>
      <c r="G1388" s="88" t="str">
        <f>VLOOKUP($B1388,[1]DG!A:D,[1]DG!$D$2,)</f>
        <v>m</v>
      </c>
      <c r="H1388" s="145">
        <f>H1386*2</f>
        <v>0</v>
      </c>
      <c r="I1388" s="91">
        <f t="shared" si="59"/>
        <v>0</v>
      </c>
      <c r="J1388" s="146"/>
      <c r="K1388" s="146"/>
      <c r="L1388" s="117"/>
      <c r="M1388" s="56">
        <v>250</v>
      </c>
    </row>
    <row r="1389" spans="1:13" s="51" customFormat="1" ht="25.2" hidden="1" customHeight="1">
      <c r="A1389" s="68">
        <f t="shared" si="60"/>
        <v>0</v>
      </c>
      <c r="B1389" s="69" t="s">
        <v>299</v>
      </c>
      <c r="C1389" s="69"/>
      <c r="D1389" s="87"/>
      <c r="E1389" s="88">
        <f>VLOOKUP($B1389,[1]DG!A:D,[1]DG!$B$2,)</f>
        <v>0</v>
      </c>
      <c r="F1389" s="89" t="str">
        <f>VLOOKUP($B1389,[1]DG!A:D,[1]DG!$C$2,)</f>
        <v>Co  90 độ PVC 90</v>
      </c>
      <c r="G1389" s="88" t="str">
        <f>VLOOKUP($B1389,[1]DG!A:D,[1]DG!$D$2,)</f>
        <v>cái</v>
      </c>
      <c r="H1389" s="145">
        <f>H1386*2</f>
        <v>0</v>
      </c>
      <c r="I1389" s="91">
        <f t="shared" si="59"/>
        <v>0</v>
      </c>
      <c r="J1389" s="146"/>
      <c r="K1389" s="146"/>
      <c r="L1389" s="117"/>
      <c r="M1389" s="56">
        <v>250</v>
      </c>
    </row>
    <row r="1390" spans="1:13" s="51" customFormat="1" ht="25.2" hidden="1" customHeight="1">
      <c r="A1390" s="68">
        <f t="shared" si="60"/>
        <v>0</v>
      </c>
      <c r="B1390" s="86" t="s">
        <v>111</v>
      </c>
      <c r="C1390" s="86"/>
      <c r="D1390" s="87"/>
      <c r="E1390" s="88" t="str">
        <f>VLOOKUP($B1390,[1]DG!A:D,[1]DG!$B$2,)</f>
        <v>06.3231</v>
      </c>
      <c r="F1390" s="89" t="str">
        <f>VLOOKUP($B1390,[1]DG!A:D,[1]DG!$C$2,)&amp;": 1 bộ"</f>
        <v>Cổ dê kẹp ống PVC Ø 90: 1 bộ</v>
      </c>
      <c r="G1390" s="88" t="str">
        <f>VLOOKUP($B1390,[1]DG!A:D,[1]DG!$D$2,)</f>
        <v>bộ</v>
      </c>
      <c r="H1390" s="145">
        <f>H1386*1.21*0</f>
        <v>0</v>
      </c>
      <c r="I1390" s="91">
        <f t="shared" si="59"/>
        <v>0</v>
      </c>
      <c r="J1390" s="146"/>
      <c r="K1390" s="146"/>
      <c r="L1390" s="117"/>
      <c r="M1390" s="56">
        <v>250</v>
      </c>
    </row>
    <row r="1391" spans="1:13" s="51" customFormat="1" ht="25.2" hidden="1" customHeight="1">
      <c r="A1391" s="68">
        <f t="shared" si="60"/>
        <v>0</v>
      </c>
      <c r="B1391" s="86" t="s">
        <v>299</v>
      </c>
      <c r="C1391" s="86"/>
      <c r="D1391" s="87"/>
      <c r="E1391" s="88">
        <f>VLOOKUP($B1391,[1]DG!A:D,[1]DG!$B$2,)</f>
        <v>0</v>
      </c>
      <c r="F1391" s="89" t="str">
        <f>VLOOKUP($B1391,[1]DG!A:D,[1]DG!$C$2,)</f>
        <v>Co  90 độ PVC 90</v>
      </c>
      <c r="G1391" s="88" t="str">
        <f>VLOOKUP($B1391,[1]DG!A:D,[1]DG!$D$2,)</f>
        <v>cái</v>
      </c>
      <c r="H1391" s="145">
        <f>H1386*3*0</f>
        <v>0</v>
      </c>
      <c r="I1391" s="91">
        <f t="shared" si="59"/>
        <v>0</v>
      </c>
      <c r="J1391" s="146"/>
      <c r="K1391" s="146"/>
      <c r="L1391" s="117"/>
      <c r="M1391" s="56">
        <v>250</v>
      </c>
    </row>
    <row r="1392" spans="1:13" s="51" customFormat="1" ht="25.2" hidden="1" customHeight="1">
      <c r="A1392" s="68">
        <f t="shared" si="60"/>
        <v>0</v>
      </c>
      <c r="B1392" s="86" t="s">
        <v>131</v>
      </c>
      <c r="C1392" s="86"/>
      <c r="D1392" s="87"/>
      <c r="E1392" s="88">
        <f>VLOOKUP($B1392,[1]DG!A:D,[1]DG!$B$2,)</f>
        <v>0</v>
      </c>
      <c r="F1392" s="89" t="str">
        <f>VLOOKUP($B1392,[1]DG!A:D,[1]DG!$C$2,)</f>
        <v>Boulon 12x40+ 2 long đền vuông D14-50x50x3/Zn</v>
      </c>
      <c r="G1392" s="88" t="str">
        <f>VLOOKUP($B1392,[1]DG!A:D,[1]DG!$D$2,)</f>
        <v>bộ</v>
      </c>
      <c r="H1392" s="145">
        <f>H1386*2*0</f>
        <v>0</v>
      </c>
      <c r="I1392" s="91">
        <f t="shared" si="59"/>
        <v>0</v>
      </c>
      <c r="J1392" s="146"/>
      <c r="K1392" s="146"/>
      <c r="L1392" s="117"/>
      <c r="M1392" s="56">
        <v>250</v>
      </c>
    </row>
    <row r="1393" spans="1:13" s="51" customFormat="1" ht="25.2" hidden="1" customHeight="1">
      <c r="A1393" s="68">
        <f t="shared" si="60"/>
        <v>0</v>
      </c>
      <c r="B1393" s="86" t="s">
        <v>485</v>
      </c>
      <c r="C1393" s="86"/>
      <c r="D1393" s="87"/>
      <c r="E1393" s="88">
        <f>VLOOKUP($B1393,[1]DG!A:D,[1]DG!$B$2,)</f>
        <v>0</v>
      </c>
      <c r="F1393" s="89" t="str">
        <f>VLOOKUP($B1393,[1]DG!A:D,[1]DG!$C$2,)</f>
        <v>Boulon 12x60+ 2 long đền vuông D14-50x50x3/Zn</v>
      </c>
      <c r="G1393" s="88" t="str">
        <f>VLOOKUP($B1393,[1]DG!A:D,[1]DG!$D$2,)</f>
        <v>bộ</v>
      </c>
      <c r="H1393" s="145">
        <f>H1392</f>
        <v>0</v>
      </c>
      <c r="I1393" s="91">
        <f t="shared" si="59"/>
        <v>0</v>
      </c>
      <c r="J1393" s="146"/>
      <c r="K1393" s="146"/>
      <c r="L1393" s="117"/>
      <c r="M1393" s="56">
        <v>250</v>
      </c>
    </row>
    <row r="1394" spans="1:13" s="51" customFormat="1" ht="25.2" hidden="1" customHeight="1">
      <c r="A1394" s="68">
        <f t="shared" si="60"/>
        <v>0</v>
      </c>
      <c r="B1394" s="69" t="s">
        <v>486</v>
      </c>
      <c r="C1394" s="69"/>
      <c r="D1394" s="87"/>
      <c r="E1394" s="88">
        <f>VLOOKUP($B1394,[1]DG!A:D,[1]DG!$B$2,)</f>
        <v>0</v>
      </c>
      <c r="F1394" s="89" t="str">
        <f>VLOOKUP($B1394,[1]DG!A:D,[1]DG!$C$2,)</f>
        <v>Khâu ven răng trong D90</v>
      </c>
      <c r="G1394" s="88" t="str">
        <f>VLOOKUP($B1394,[1]DG!A:D,[1]DG!$D$2,)</f>
        <v>cái</v>
      </c>
      <c r="H1394" s="145">
        <f>H1386*2*0</f>
        <v>0</v>
      </c>
      <c r="I1394" s="91">
        <f t="shared" si="59"/>
        <v>0</v>
      </c>
      <c r="J1394" s="146"/>
      <c r="K1394" s="146"/>
      <c r="L1394" s="117"/>
      <c r="M1394" s="56">
        <v>250</v>
      </c>
    </row>
    <row r="1395" spans="1:13" s="51" customFormat="1" ht="25.2" hidden="1" customHeight="1">
      <c r="A1395" s="68">
        <f t="shared" si="60"/>
        <v>0</v>
      </c>
      <c r="B1395" s="69" t="s">
        <v>487</v>
      </c>
      <c r="C1395" s="69"/>
      <c r="D1395" s="87"/>
      <c r="E1395" s="88">
        <f>VLOOKUP($B1395,[1]DG!A:D,[1]DG!$B$2,)</f>
        <v>0</v>
      </c>
      <c r="F1395" s="89" t="str">
        <f>VLOOKUP($B1395,[1]DG!A:D,[1]DG!$C$2,)</f>
        <v>Khâu ven răng ngoài D90</v>
      </c>
      <c r="G1395" s="88" t="str">
        <f>VLOOKUP($B1395,[1]DG!A:D,[1]DG!$D$2,)</f>
        <v>cái</v>
      </c>
      <c r="H1395" s="145">
        <f>H1394</f>
        <v>0</v>
      </c>
      <c r="I1395" s="91">
        <f t="shared" si="59"/>
        <v>0</v>
      </c>
      <c r="J1395" s="146"/>
      <c r="K1395" s="146"/>
      <c r="L1395" s="117"/>
      <c r="M1395" s="56">
        <v>250</v>
      </c>
    </row>
    <row r="1396" spans="1:13" s="51" customFormat="1" ht="25.2" hidden="1" customHeight="1">
      <c r="A1396" s="68">
        <f t="shared" si="60"/>
        <v>0</v>
      </c>
      <c r="B1396" s="86"/>
      <c r="C1396" s="86"/>
      <c r="D1396" s="220">
        <f>IF(H1396&gt;0,D1386+1,D1386)</f>
        <v>5</v>
      </c>
      <c r="E1396" s="238"/>
      <c r="F1396" s="247" t="s">
        <v>430</v>
      </c>
      <c r="G1396" s="220" t="s">
        <v>67</v>
      </c>
      <c r="H1396" s="337">
        <f>H1323</f>
        <v>1</v>
      </c>
      <c r="I1396" s="91">
        <f t="shared" si="59"/>
        <v>0</v>
      </c>
      <c r="J1396" s="146"/>
      <c r="K1396" s="146"/>
      <c r="L1396" s="96"/>
      <c r="M1396" s="56">
        <v>250</v>
      </c>
    </row>
    <row r="1397" spans="1:13" s="51" customFormat="1" ht="25.2" hidden="1" customHeight="1">
      <c r="A1397" s="68">
        <f>IF(A1396&gt;0,1,0)</f>
        <v>0</v>
      </c>
      <c r="B1397" s="86"/>
      <c r="C1397" s="86"/>
      <c r="D1397" s="111"/>
      <c r="E1397" s="242"/>
      <c r="F1397" s="248" t="s">
        <v>68</v>
      </c>
      <c r="G1397" s="111"/>
      <c r="H1397" s="145"/>
      <c r="I1397" s="91">
        <f t="shared" si="59"/>
        <v>0</v>
      </c>
      <c r="J1397" s="146"/>
      <c r="K1397" s="146"/>
      <c r="L1397" s="96"/>
      <c r="M1397" s="56">
        <v>250</v>
      </c>
    </row>
    <row r="1398" spans="1:13" s="51" customFormat="1" ht="25.2" hidden="1" customHeight="1">
      <c r="A1398" s="68">
        <f t="shared" si="60"/>
        <v>0</v>
      </c>
      <c r="B1398" s="334" t="s">
        <v>488</v>
      </c>
      <c r="C1398" s="334">
        <v>25.5</v>
      </c>
      <c r="D1398" s="87"/>
      <c r="E1398" s="88">
        <f>VLOOKUP($B1398,[1]DG!A:D,[1]DG!$B$2,)</f>
        <v>0</v>
      </c>
      <c r="F1398" s="89" t="str">
        <f>VLOOKUP($B1398,[1]DG!A:D,[1]DG!$C$2,)</f>
        <v>Cáp đồng bọc CV185</v>
      </c>
      <c r="G1398" s="88" t="str">
        <f>VLOOKUP($B1398,[1]DG!A:D,[1]DG!$D$2,)</f>
        <v>mét</v>
      </c>
      <c r="H1398" s="145">
        <f>$H$1396*C1398</f>
        <v>25.5</v>
      </c>
      <c r="I1398" s="91">
        <f t="shared" si="59"/>
        <v>0</v>
      </c>
      <c r="J1398" s="146"/>
      <c r="K1398" s="146"/>
      <c r="L1398" s="96"/>
      <c r="M1398" s="56">
        <v>250</v>
      </c>
    </row>
    <row r="1399" spans="1:13" s="51" customFormat="1" ht="25.2" hidden="1" customHeight="1">
      <c r="A1399" s="68">
        <f t="shared" si="60"/>
        <v>0</v>
      </c>
      <c r="B1399" s="334" t="s">
        <v>320</v>
      </c>
      <c r="C1399" s="334">
        <v>8.5</v>
      </c>
      <c r="D1399" s="87"/>
      <c r="E1399" s="88">
        <f>VLOOKUP($B1399,[1]DG!A:D,[1]DG!$B$2,)</f>
        <v>0</v>
      </c>
      <c r="F1399" s="89" t="str">
        <f>VLOOKUP($B1399,[1]DG!A:D,[1]DG!$C$2,)</f>
        <v>Cáp đồng bọc CV95</v>
      </c>
      <c r="G1399" s="88" t="str">
        <f>VLOOKUP($B1399,[1]DG!A:D,[1]DG!$D$2,)</f>
        <v>mét</v>
      </c>
      <c r="H1399" s="145">
        <f t="shared" ref="H1399:H1419" si="61">$H$1396*C1399</f>
        <v>8.5</v>
      </c>
      <c r="I1399" s="91">
        <f t="shared" si="59"/>
        <v>0</v>
      </c>
      <c r="J1399" s="146"/>
      <c r="K1399" s="146"/>
      <c r="L1399" s="96"/>
      <c r="M1399" s="56">
        <v>250</v>
      </c>
    </row>
    <row r="1400" spans="1:13" s="51" customFormat="1" ht="25.2" hidden="1" customHeight="1">
      <c r="A1400" s="68">
        <f t="shared" si="60"/>
        <v>0</v>
      </c>
      <c r="B1400" s="69" t="s">
        <v>213</v>
      </c>
      <c r="C1400" s="69">
        <v>6</v>
      </c>
      <c r="D1400" s="87"/>
      <c r="E1400" s="88" t="str">
        <f>VLOOKUP($B1400,[1]DG!A:D,[1]DG!$B$2,)</f>
        <v>03.4007</v>
      </c>
      <c r="F1400" s="89" t="str">
        <f>VLOOKUP($B1400,[1]DG!A:D,[1]DG!$C$2,)</f>
        <v>Đầu cosse ép Cu 185mm2</v>
      </c>
      <c r="G1400" s="88" t="str">
        <f>VLOOKUP($B1400,[1]DG!A:D,[1]DG!$D$2,)</f>
        <v>cái</v>
      </c>
      <c r="H1400" s="145">
        <f t="shared" si="61"/>
        <v>6</v>
      </c>
      <c r="I1400" s="91">
        <f t="shared" si="59"/>
        <v>0</v>
      </c>
      <c r="J1400" s="146"/>
      <c r="K1400" s="146"/>
      <c r="L1400" s="96"/>
      <c r="M1400" s="56">
        <v>250</v>
      </c>
    </row>
    <row r="1401" spans="1:13" s="51" customFormat="1" ht="25.2" hidden="1" customHeight="1">
      <c r="A1401" s="68">
        <f t="shared" si="60"/>
        <v>0</v>
      </c>
      <c r="B1401" s="69" t="s">
        <v>303</v>
      </c>
      <c r="C1401" s="69">
        <v>2</v>
      </c>
      <c r="D1401" s="87"/>
      <c r="E1401" s="88" t="str">
        <f>VLOOKUP($B1401,[1]DG!A:D,[1]DG!$B$2,)</f>
        <v>03.4004</v>
      </c>
      <c r="F1401" s="89" t="str">
        <f>VLOOKUP($B1401,[1]DG!A:D,[1]DG!$C$2,)</f>
        <v>Đầu cosse ép Cu 95mm2</v>
      </c>
      <c r="G1401" s="88" t="str">
        <f>VLOOKUP($B1401,[1]DG!A:D,[1]DG!$D$2,)</f>
        <v>cái</v>
      </c>
      <c r="H1401" s="145">
        <f t="shared" si="61"/>
        <v>2</v>
      </c>
      <c r="I1401" s="91">
        <f t="shared" ref="I1401:I1464" si="62">IF(M1401=$M$23,H1401+J1401-K1401,0)</f>
        <v>0</v>
      </c>
      <c r="J1401" s="146"/>
      <c r="K1401" s="146"/>
      <c r="L1401" s="96"/>
      <c r="M1401" s="56">
        <v>250</v>
      </c>
    </row>
    <row r="1402" spans="1:13" s="51" customFormat="1" ht="25.2" hidden="1" customHeight="1">
      <c r="A1402" s="68">
        <f t="shared" si="60"/>
        <v>0</v>
      </c>
      <c r="B1402" s="69" t="s">
        <v>489</v>
      </c>
      <c r="C1402" s="69">
        <v>6</v>
      </c>
      <c r="D1402" s="87"/>
      <c r="E1402" s="88">
        <f>VLOOKUP($B1402,[1]DG!A:D,[1]DG!$B$2,)</f>
        <v>0</v>
      </c>
      <c r="F1402" s="89" t="str">
        <f>VLOOKUP($B1402,[1]DG!A:D,[1]DG!$C$2,)</f>
        <v>Chụp đầu cosse  185mm2</v>
      </c>
      <c r="G1402" s="88" t="str">
        <f>VLOOKUP($B1402,[1]DG!A:D,[1]DG!$D$2,)</f>
        <v>cái</v>
      </c>
      <c r="H1402" s="145">
        <f t="shared" si="61"/>
        <v>6</v>
      </c>
      <c r="I1402" s="91">
        <f t="shared" si="62"/>
        <v>0</v>
      </c>
      <c r="J1402" s="146"/>
      <c r="K1402" s="146"/>
      <c r="L1402" s="96"/>
      <c r="M1402" s="56">
        <v>250</v>
      </c>
    </row>
    <row r="1403" spans="1:13" s="51" customFormat="1" ht="25.2" hidden="1" customHeight="1">
      <c r="A1403" s="68">
        <f t="shared" si="60"/>
        <v>0</v>
      </c>
      <c r="B1403" s="69" t="s">
        <v>304</v>
      </c>
      <c r="C1403" s="69">
        <v>2</v>
      </c>
      <c r="D1403" s="87"/>
      <c r="E1403" s="88">
        <f>VLOOKUP($B1403,[1]DG!A:D,[1]DG!$B$2,)</f>
        <v>0</v>
      </c>
      <c r="F1403" s="89" t="str">
        <f>VLOOKUP($B1403,[1]DG!A:D,[1]DG!$C$2,)</f>
        <v>Chụp đầu cosse  95mm2</v>
      </c>
      <c r="G1403" s="88" t="str">
        <f>VLOOKUP($B1403,[1]DG!A:D,[1]DG!$D$2,)</f>
        <v>cái</v>
      </c>
      <c r="H1403" s="145">
        <f t="shared" si="61"/>
        <v>2</v>
      </c>
      <c r="I1403" s="91">
        <f t="shared" si="62"/>
        <v>0</v>
      </c>
      <c r="J1403" s="146"/>
      <c r="K1403" s="146"/>
      <c r="L1403" s="96"/>
      <c r="M1403" s="56">
        <v>250</v>
      </c>
    </row>
    <row r="1404" spans="1:13" s="51" customFormat="1" ht="25.2" hidden="1" customHeight="1">
      <c r="A1404" s="68">
        <f t="shared" si="60"/>
        <v>0</v>
      </c>
      <c r="B1404" s="69" t="s">
        <v>144</v>
      </c>
      <c r="C1404" s="69">
        <v>6</v>
      </c>
      <c r="D1404" s="87"/>
      <c r="E1404" s="88">
        <f>VLOOKUP($B1404,[1]DG!A:D,[1]DG!$B$2,)</f>
        <v>0</v>
      </c>
      <c r="F1404" s="89" t="str">
        <f>VLOOKUP($B1404,[1]DG!A:D,[1]DG!$C$2,)</f>
        <v xml:space="preserve">Ống PVC D114x4,9mm </v>
      </c>
      <c r="G1404" s="88" t="str">
        <f>VLOOKUP($B1404,[1]DG!A:D,[1]DG!$D$2,)</f>
        <v>m</v>
      </c>
      <c r="H1404" s="145">
        <f t="shared" si="61"/>
        <v>6</v>
      </c>
      <c r="I1404" s="91">
        <f t="shared" si="62"/>
        <v>0</v>
      </c>
      <c r="J1404" s="146"/>
      <c r="K1404" s="146"/>
      <c r="L1404" s="96"/>
      <c r="M1404" s="56">
        <v>250</v>
      </c>
    </row>
    <row r="1405" spans="1:13" s="51" customFormat="1" ht="25.2" hidden="1" customHeight="1">
      <c r="A1405" s="68">
        <f t="shared" si="60"/>
        <v>0</v>
      </c>
      <c r="B1405" s="86" t="s">
        <v>299</v>
      </c>
      <c r="C1405" s="86">
        <v>1</v>
      </c>
      <c r="D1405" s="87"/>
      <c r="E1405" s="88">
        <f>VLOOKUP($B1405,[1]DG!A:D,[1]DG!$B$2,)</f>
        <v>0</v>
      </c>
      <c r="F1405" s="89" t="str">
        <f>VLOOKUP($B1405,[1]DG!A:D,[1]DG!$C$2,)</f>
        <v>Co  90 độ PVC 90</v>
      </c>
      <c r="G1405" s="88" t="str">
        <f>VLOOKUP($B1405,[1]DG!A:D,[1]DG!$D$2,)</f>
        <v>cái</v>
      </c>
      <c r="H1405" s="145">
        <f t="shared" si="61"/>
        <v>1</v>
      </c>
      <c r="I1405" s="91">
        <f t="shared" si="62"/>
        <v>0</v>
      </c>
      <c r="J1405" s="146"/>
      <c r="K1405" s="146"/>
      <c r="L1405" s="96"/>
      <c r="M1405" s="56">
        <v>250</v>
      </c>
    </row>
    <row r="1406" spans="1:13" s="51" customFormat="1" ht="25.2" hidden="1" customHeight="1">
      <c r="A1406" s="68">
        <f t="shared" si="60"/>
        <v>0</v>
      </c>
      <c r="B1406" s="356" t="s">
        <v>490</v>
      </c>
      <c r="C1406" s="356">
        <v>1</v>
      </c>
      <c r="D1406" s="87"/>
      <c r="E1406" s="88">
        <f>VLOOKUP($B1406,[1]DG!A:D,[1]DG!$B$2,)</f>
        <v>0</v>
      </c>
      <c r="F1406" s="89" t="str">
        <f>VLOOKUP($B1406,[1]DG!A:D,[1]DG!$C$2,)</f>
        <v>Co 135 độ PVC 90</v>
      </c>
      <c r="G1406" s="88" t="str">
        <f>VLOOKUP($B1406,[1]DG!A:D,[1]DG!$D$2,)</f>
        <v>cái</v>
      </c>
      <c r="H1406" s="145">
        <f t="shared" si="61"/>
        <v>1</v>
      </c>
      <c r="I1406" s="91">
        <f t="shared" si="62"/>
        <v>0</v>
      </c>
      <c r="J1406" s="146"/>
      <c r="K1406" s="146"/>
      <c r="L1406" s="96"/>
      <c r="M1406" s="56">
        <v>250</v>
      </c>
    </row>
    <row r="1407" spans="1:13" s="51" customFormat="1" ht="25.2" hidden="1" customHeight="1">
      <c r="A1407" s="68">
        <f t="shared" si="60"/>
        <v>0</v>
      </c>
      <c r="B1407" s="86" t="s">
        <v>298</v>
      </c>
      <c r="C1407" s="86">
        <v>12</v>
      </c>
      <c r="D1407" s="87"/>
      <c r="E1407" s="88" t="str">
        <f>VLOOKUP($B1407,[1]DG!A:D,[1]DG!$B$2,)</f>
        <v>04.8003</v>
      </c>
      <c r="F1407" s="89" t="str">
        <f>VLOOKUP($B1407,[1]DG!A:D,[1]DG!$C$2,)</f>
        <v xml:space="preserve">Ống PVC D90x3,8mm </v>
      </c>
      <c r="G1407" s="88" t="str">
        <f>VLOOKUP($B1407,[1]DG!A:D,[1]DG!$D$2,)</f>
        <v>m</v>
      </c>
      <c r="H1407" s="145">
        <f t="shared" si="61"/>
        <v>12</v>
      </c>
      <c r="I1407" s="91">
        <f t="shared" si="62"/>
        <v>0</v>
      </c>
      <c r="J1407" s="146"/>
      <c r="K1407" s="146"/>
      <c r="L1407" s="96"/>
      <c r="M1407" s="56">
        <v>250</v>
      </c>
    </row>
    <row r="1408" spans="1:13" s="51" customFormat="1" ht="25.2" hidden="1" customHeight="1">
      <c r="A1408" s="68">
        <f t="shared" si="60"/>
        <v>0</v>
      </c>
      <c r="B1408" s="86" t="s">
        <v>111</v>
      </c>
      <c r="C1408" s="86">
        <v>3</v>
      </c>
      <c r="D1408" s="87"/>
      <c r="E1408" s="88" t="str">
        <f>VLOOKUP($B1408,[1]DG!A:D,[1]DG!$B$2,)</f>
        <v>06.3231</v>
      </c>
      <c r="F1408" s="89" t="str">
        <f>VLOOKUP($B1408,[1]DG!A:D,[1]DG!$C$2,)</f>
        <v>Cổ dê kẹp ống PVC Ø 90</v>
      </c>
      <c r="G1408" s="88" t="str">
        <f>VLOOKUP($B1408,[1]DG!A:D,[1]DG!$D$2,)</f>
        <v>bộ</v>
      </c>
      <c r="H1408" s="145">
        <f t="shared" si="61"/>
        <v>3</v>
      </c>
      <c r="I1408" s="91">
        <f t="shared" si="62"/>
        <v>0</v>
      </c>
      <c r="J1408" s="146"/>
      <c r="K1408" s="146"/>
      <c r="L1408" s="96"/>
      <c r="M1408" s="56">
        <v>250</v>
      </c>
    </row>
    <row r="1409" spans="1:13" s="51" customFormat="1" ht="25.2" hidden="1" customHeight="1">
      <c r="A1409" s="68">
        <f t="shared" si="60"/>
        <v>0</v>
      </c>
      <c r="B1409" s="86" t="s">
        <v>87</v>
      </c>
      <c r="C1409" s="86">
        <v>3</v>
      </c>
      <c r="D1409" s="87"/>
      <c r="E1409" s="88" t="str">
        <f>VLOOKUP($B1409,[1]DG!A:D,[1]DG!$B$2,)</f>
        <v>06.2110</v>
      </c>
      <c r="F1409" s="89" t="str">
        <f>VLOOKUP($B1409,[1]DG!A:D,[1]DG!$C$2,)</f>
        <v>Lắp cổ dề</v>
      </c>
      <c r="G1409" s="88" t="str">
        <f>VLOOKUP($B1409,[1]DG!A:D,[1]DG!$D$2,)</f>
        <v>bộ</v>
      </c>
      <c r="H1409" s="145">
        <f t="shared" si="61"/>
        <v>3</v>
      </c>
      <c r="I1409" s="91">
        <f t="shared" si="62"/>
        <v>0</v>
      </c>
      <c r="J1409" s="146"/>
      <c r="K1409" s="146"/>
      <c r="L1409" s="96"/>
      <c r="M1409" s="56">
        <v>250</v>
      </c>
    </row>
    <row r="1410" spans="1:13" s="51" customFormat="1" ht="25.2" hidden="1" customHeight="1">
      <c r="A1410" s="68">
        <f t="shared" si="60"/>
        <v>0</v>
      </c>
      <c r="B1410" s="86" t="s">
        <v>433</v>
      </c>
      <c r="C1410" s="86">
        <v>1</v>
      </c>
      <c r="D1410" s="87"/>
      <c r="E1410" s="88">
        <f>VLOOKUP($B1410,[1]DG!A:D,[1]DG!$B$2,)</f>
        <v>0</v>
      </c>
      <c r="F1410" s="89" t="str">
        <f>VLOOKUP($B1410,[1]DG!A:D,[1]DG!$C$2,)</f>
        <v>Co sừng 90 độ PVC 114</v>
      </c>
      <c r="G1410" s="88" t="str">
        <f>VLOOKUP($B1410,[1]DG!A:D,[1]DG!$D$2,)</f>
        <v>cái</v>
      </c>
      <c r="H1410" s="145">
        <f t="shared" si="61"/>
        <v>1</v>
      </c>
      <c r="I1410" s="91">
        <f t="shared" si="62"/>
        <v>0</v>
      </c>
      <c r="J1410" s="146"/>
      <c r="K1410" s="146"/>
      <c r="L1410" s="96"/>
      <c r="M1410" s="56">
        <v>250</v>
      </c>
    </row>
    <row r="1411" spans="1:13" s="51" customFormat="1" ht="25.2" hidden="1" customHeight="1">
      <c r="A1411" s="68">
        <f t="shared" si="60"/>
        <v>0</v>
      </c>
      <c r="B1411" s="69" t="s">
        <v>217</v>
      </c>
      <c r="C1411" s="69"/>
      <c r="D1411" s="87"/>
      <c r="E1411" s="88">
        <f>VLOOKUP($B1411,[1]DG!A:D,[1]DG!$B$2,)</f>
        <v>0</v>
      </c>
      <c r="F1411" s="89" t="str">
        <f>VLOOKUP($B1411,[1]DG!A:D,[1]DG!$C$2,)</f>
        <v>Khâu ven răng trong D114</v>
      </c>
      <c r="G1411" s="88" t="str">
        <f>VLOOKUP($B1411,[1]DG!A:D,[1]DG!$D$2,)</f>
        <v>cái</v>
      </c>
      <c r="H1411" s="145">
        <f t="shared" si="61"/>
        <v>0</v>
      </c>
      <c r="I1411" s="91">
        <f t="shared" si="62"/>
        <v>0</v>
      </c>
      <c r="J1411" s="146"/>
      <c r="K1411" s="146"/>
      <c r="L1411" s="96"/>
      <c r="M1411" s="56">
        <v>250</v>
      </c>
    </row>
    <row r="1412" spans="1:13" s="51" customFormat="1" ht="25.2" hidden="1" customHeight="1">
      <c r="A1412" s="68">
        <f t="shared" si="60"/>
        <v>0</v>
      </c>
      <c r="B1412" s="69" t="s">
        <v>218</v>
      </c>
      <c r="C1412" s="69"/>
      <c r="D1412" s="87"/>
      <c r="E1412" s="88">
        <f>VLOOKUP($B1412,[1]DG!A:D,[1]DG!$B$2,)</f>
        <v>0</v>
      </c>
      <c r="F1412" s="89" t="str">
        <f>VLOOKUP($B1412,[1]DG!A:D,[1]DG!$C$2,)&amp;": "</f>
        <v xml:space="preserve">Khâu ven răng ngoài D114: </v>
      </c>
      <c r="G1412" s="88" t="str">
        <f>VLOOKUP($B1412,[1]DG!A:D,[1]DG!$D$2,)</f>
        <v>cái</v>
      </c>
      <c r="H1412" s="145">
        <f t="shared" si="61"/>
        <v>0</v>
      </c>
      <c r="I1412" s="91">
        <f t="shared" si="62"/>
        <v>0</v>
      </c>
      <c r="J1412" s="146"/>
      <c r="K1412" s="146"/>
      <c r="L1412" s="96"/>
      <c r="M1412" s="56">
        <v>250</v>
      </c>
    </row>
    <row r="1413" spans="1:13" s="51" customFormat="1" ht="25.2" hidden="1" customHeight="1">
      <c r="A1413" s="68">
        <f t="shared" si="60"/>
        <v>0</v>
      </c>
      <c r="B1413" s="69" t="s">
        <v>114</v>
      </c>
      <c r="C1413" s="69">
        <v>1</v>
      </c>
      <c r="D1413" s="87"/>
      <c r="E1413" s="88">
        <f>VLOOKUP($B1413,[1]DG!A:D,[1]DG!$B$2,)</f>
        <v>0</v>
      </c>
      <c r="F1413" s="89" t="str">
        <f>VLOOKUP($B1413,[1]DG!A:D,[1]DG!$C$2,)&amp;": "</f>
        <v xml:space="preserve">Keo dán ống PVC (100gr): </v>
      </c>
      <c r="G1413" s="88" t="str">
        <f>VLOOKUP($B1413,[1]DG!A:D,[1]DG!$D$2,)</f>
        <v>tuýp</v>
      </c>
      <c r="H1413" s="145">
        <f t="shared" si="61"/>
        <v>1</v>
      </c>
      <c r="I1413" s="91">
        <f t="shared" si="62"/>
        <v>0</v>
      </c>
      <c r="J1413" s="146"/>
      <c r="K1413" s="146"/>
      <c r="L1413" s="96"/>
      <c r="M1413" s="56">
        <v>250</v>
      </c>
    </row>
    <row r="1414" spans="1:13" s="51" customFormat="1" ht="25.2" hidden="1" customHeight="1">
      <c r="A1414" s="68">
        <f t="shared" si="60"/>
        <v>0</v>
      </c>
      <c r="B1414" s="86" t="s">
        <v>436</v>
      </c>
      <c r="C1414" s="86">
        <v>1</v>
      </c>
      <c r="D1414" s="87"/>
      <c r="E1414" s="88"/>
      <c r="F1414" s="89" t="str">
        <f>VLOOKUP($B1414,[1]DG!A:D,[1]DG!$C$2,)&amp;":"</f>
        <v>Keo silicon bít miệng ống:</v>
      </c>
      <c r="G1414" s="88" t="str">
        <f>VLOOKUP($B1414,[1]DG!A:D,[1]DG!$D$2,)</f>
        <v>ống</v>
      </c>
      <c r="H1414" s="145">
        <f t="shared" si="61"/>
        <v>1</v>
      </c>
      <c r="I1414" s="91">
        <f t="shared" si="62"/>
        <v>0</v>
      </c>
      <c r="J1414" s="146"/>
      <c r="K1414" s="146"/>
      <c r="L1414" s="117"/>
      <c r="M1414" s="56">
        <v>250</v>
      </c>
    </row>
    <row r="1415" spans="1:13" s="51" customFormat="1" ht="25.2" hidden="1" customHeight="1">
      <c r="A1415" s="68">
        <f t="shared" si="60"/>
        <v>0</v>
      </c>
      <c r="B1415" s="69" t="s">
        <v>302</v>
      </c>
      <c r="C1415" s="69">
        <v>4</v>
      </c>
      <c r="D1415" s="87"/>
      <c r="E1415" s="88" t="str">
        <f>VLOOKUP($B1415,[1]DG!A:D,[1]DG!$B$2,)</f>
        <v>03.1401</v>
      </c>
      <c r="F1415" s="89" t="str">
        <f>VLOOKUP($B1415,[1]DG!A:D,[1]DG!$C$2,)</f>
        <v xml:space="preserve">Cáp CVV 4x4mm2  </v>
      </c>
      <c r="G1415" s="88" t="str">
        <f>VLOOKUP($B1415,[1]DG!A:D,[1]DG!$D$2,)</f>
        <v>mét</v>
      </c>
      <c r="H1415" s="145">
        <f t="shared" si="61"/>
        <v>4</v>
      </c>
      <c r="I1415" s="91">
        <f t="shared" si="62"/>
        <v>0</v>
      </c>
      <c r="J1415" s="146"/>
      <c r="K1415" s="146"/>
      <c r="L1415" s="117"/>
      <c r="M1415" s="56">
        <v>250</v>
      </c>
    </row>
    <row r="1416" spans="1:13" s="51" customFormat="1" ht="25.2" hidden="1" customHeight="1">
      <c r="A1416" s="68">
        <f t="shared" si="60"/>
        <v>0</v>
      </c>
      <c r="B1416" s="86" t="s">
        <v>148</v>
      </c>
      <c r="C1416" s="86">
        <v>2</v>
      </c>
      <c r="D1416" s="87"/>
      <c r="E1416" s="88">
        <f>VLOOKUP($B1416,[1]DG!A:D,[1]DG!$B$2,)</f>
        <v>0</v>
      </c>
      <c r="F1416" s="89" t="str">
        <f>VLOOKUP($B1416,[1]DG!A:D,[1]DG!$C$2,)&amp;":"</f>
        <v>Băng keo cách điện:</v>
      </c>
      <c r="G1416" s="88" t="str">
        <f>VLOOKUP($B1416,[1]DG!A:D,[1]DG!$D$2,)</f>
        <v>cuộn</v>
      </c>
      <c r="H1416" s="145">
        <f t="shared" si="61"/>
        <v>2</v>
      </c>
      <c r="I1416" s="91">
        <f t="shared" si="62"/>
        <v>0</v>
      </c>
      <c r="J1416" s="146"/>
      <c r="K1416" s="146"/>
      <c r="L1416" s="96"/>
      <c r="M1416" s="56">
        <v>250</v>
      </c>
    </row>
    <row r="1417" spans="1:13" s="51" customFormat="1" ht="25.2" hidden="1" customHeight="1">
      <c r="A1417" s="68">
        <f t="shared" si="60"/>
        <v>0</v>
      </c>
      <c r="B1417" s="86" t="s">
        <v>438</v>
      </c>
      <c r="C1417" s="86">
        <v>9</v>
      </c>
      <c r="D1417" s="87"/>
      <c r="E1417" s="88" t="str">
        <f>VLOOKUP($B1417,[1]DG!A:D,[1]DG!$B$2,)</f>
        <v>04.4203</v>
      </c>
      <c r="F1417" s="89" t="str">
        <f>VLOOKUP($B1417,[1]DG!A:D,[1]DG!$C$2,)&amp;":"</f>
        <v>Lắp cáp đồng xuống thiết bị D &gt; 150mm2:</v>
      </c>
      <c r="G1417" s="88" t="str">
        <f>VLOOKUP($B1417,[1]DG!A:D,[1]DG!$D$2,)</f>
        <v>m</v>
      </c>
      <c r="H1417" s="145">
        <f t="shared" si="61"/>
        <v>9</v>
      </c>
      <c r="I1417" s="91">
        <f t="shared" si="62"/>
        <v>0</v>
      </c>
      <c r="J1417" s="146"/>
      <c r="K1417" s="146"/>
      <c r="L1417" s="96"/>
      <c r="M1417" s="56">
        <v>250</v>
      </c>
    </row>
    <row r="1418" spans="1:13" s="51" customFormat="1" ht="25.2" hidden="1" customHeight="1">
      <c r="A1418" s="68">
        <f t="shared" si="60"/>
        <v>0</v>
      </c>
      <c r="B1418" s="86" t="s">
        <v>326</v>
      </c>
      <c r="C1418" s="86">
        <v>10</v>
      </c>
      <c r="D1418" s="87"/>
      <c r="E1418" s="88" t="str">
        <f>VLOOKUP($B1418,[1]DG!A:D,[1]DG!$B$2,)</f>
        <v>04.4202</v>
      </c>
      <c r="F1418" s="89" t="str">
        <f>VLOOKUP($B1418,[1]DG!A:D,[1]DG!$C$2,)&amp;":"</f>
        <v>Lắp cáp đồng xuống thiết bị D ≤ 150mm2:</v>
      </c>
      <c r="G1418" s="88" t="str">
        <f>VLOOKUP($B1418,[1]DG!A:D,[1]DG!$D$2,)</f>
        <v>m</v>
      </c>
      <c r="H1418" s="145">
        <f t="shared" si="61"/>
        <v>10</v>
      </c>
      <c r="I1418" s="91">
        <f t="shared" si="62"/>
        <v>0</v>
      </c>
      <c r="J1418" s="146"/>
      <c r="K1418" s="146"/>
      <c r="L1418" s="96"/>
      <c r="M1418" s="56">
        <v>250</v>
      </c>
    </row>
    <row r="1419" spans="1:13" s="51" customFormat="1" ht="25.2" hidden="1" customHeight="1">
      <c r="A1419" s="68">
        <f t="shared" si="60"/>
        <v>0</v>
      </c>
      <c r="B1419" s="86" t="s">
        <v>449</v>
      </c>
      <c r="C1419" s="86">
        <v>1</v>
      </c>
      <c r="D1419" s="87"/>
      <c r="E1419" s="88" t="str">
        <f>VLOOKUP($B1419,[1]DG!A:D,[1]DG!$B$2,)</f>
        <v>06.3191</v>
      </c>
      <c r="F1419" s="89" t="str">
        <f>VLOOKUP($B1419,[1]DG!A:D,[1]DG!$C$2,)&amp;":"</f>
        <v>Bảng tên trạm, bảng báo nguy hiểm + đinh vít:</v>
      </c>
      <c r="G1419" s="88" t="str">
        <f>VLOOKUP($B1419,[1]DG!A:D,[1]DG!$D$2,)</f>
        <v>bộ</v>
      </c>
      <c r="H1419" s="145">
        <f t="shared" si="61"/>
        <v>1</v>
      </c>
      <c r="I1419" s="91">
        <f t="shared" si="62"/>
        <v>0</v>
      </c>
      <c r="J1419" s="146"/>
      <c r="K1419" s="146"/>
      <c r="L1419" s="96"/>
      <c r="M1419" s="56">
        <v>250</v>
      </c>
    </row>
    <row r="1420" spans="1:13" s="51" customFormat="1" ht="25.2" hidden="1" customHeight="1">
      <c r="A1420" s="68">
        <f t="shared" si="60"/>
        <v>0</v>
      </c>
      <c r="B1420" s="86"/>
      <c r="C1420" s="86"/>
      <c r="D1420" s="220">
        <f>IF(H1420&gt;0,D1396+1,D1396)</f>
        <v>5</v>
      </c>
      <c r="E1420" s="238"/>
      <c r="F1420" s="247" t="s">
        <v>327</v>
      </c>
      <c r="G1420" s="220" t="s">
        <v>67</v>
      </c>
      <c r="H1420" s="337"/>
      <c r="I1420" s="91">
        <f t="shared" si="62"/>
        <v>0</v>
      </c>
      <c r="J1420" s="146"/>
      <c r="K1420" s="146"/>
      <c r="L1420" s="96"/>
      <c r="M1420" s="56">
        <v>250</v>
      </c>
    </row>
    <row r="1421" spans="1:13" s="147" customFormat="1" ht="25.2" hidden="1" customHeight="1">
      <c r="A1421" s="68">
        <f>IF(A1420&gt;0,1,0)</f>
        <v>0</v>
      </c>
      <c r="B1421" s="338"/>
      <c r="C1421" s="338"/>
      <c r="D1421" s="111"/>
      <c r="E1421" s="242"/>
      <c r="F1421" s="248" t="s">
        <v>68</v>
      </c>
      <c r="G1421" s="111"/>
      <c r="H1421" s="244"/>
      <c r="I1421" s="91">
        <f t="shared" si="62"/>
        <v>0</v>
      </c>
      <c r="J1421" s="146"/>
      <c r="K1421" s="146"/>
      <c r="L1421" s="96"/>
      <c r="M1421" s="56">
        <v>250</v>
      </c>
    </row>
    <row r="1422" spans="1:13" s="51" customFormat="1" ht="25.2" hidden="1" customHeight="1">
      <c r="A1422" s="68">
        <f t="shared" si="60"/>
        <v>0</v>
      </c>
      <c r="B1422" s="69" t="s">
        <v>273</v>
      </c>
      <c r="C1422" s="69"/>
      <c r="D1422" s="96"/>
      <c r="E1422" s="88" t="str">
        <f>VLOOKUP($B1422,[1]DG!A:D,[1]DG!$B$2,)</f>
        <v>03.1401</v>
      </c>
      <c r="F1422" s="92" t="str">
        <f>VLOOKUP($B1422,[1]DG!A:D,[1]DG!$C$2,)</f>
        <v xml:space="preserve">Cáp CVV 4x2,5mm2  </v>
      </c>
      <c r="G1422" s="339" t="str">
        <f>VLOOKUP($B1422,[1]DG!A:D,[1]DG!$D$2,)</f>
        <v>mét</v>
      </c>
      <c r="H1422" s="145">
        <f>H1420*26</f>
        <v>0</v>
      </c>
      <c r="I1422" s="91">
        <f t="shared" si="62"/>
        <v>0</v>
      </c>
      <c r="J1422" s="95"/>
      <c r="K1422" s="95"/>
      <c r="L1422" s="96"/>
      <c r="M1422" s="56">
        <v>250</v>
      </c>
    </row>
    <row r="1423" spans="1:13" s="51" customFormat="1" ht="25.2" hidden="1" customHeight="1">
      <c r="A1423" s="68">
        <f t="shared" si="60"/>
        <v>0</v>
      </c>
      <c r="B1423" s="69" t="s">
        <v>440</v>
      </c>
      <c r="C1423" s="69"/>
      <c r="D1423" s="96"/>
      <c r="E1423" s="88" t="str">
        <f>VLOOKUP($B1423,[1]DG!A:D,[1]DG!$B$2,)</f>
        <v>05.6101</v>
      </c>
      <c r="F1423" s="92" t="str">
        <f>VLOOKUP($B1423,[1]DG!A:D,[1]DG!$C$2,)</f>
        <v>Xà kẹp TU, TI U50x32x4 350</v>
      </c>
      <c r="G1423" s="339" t="str">
        <f>VLOOKUP($B1423,[1]DG!A:D,[1]DG!$D$2,)</f>
        <v>Bộ</v>
      </c>
      <c r="H1423" s="145">
        <f>H1420*24</f>
        <v>0</v>
      </c>
      <c r="I1423" s="91">
        <f t="shared" si="62"/>
        <v>0</v>
      </c>
      <c r="J1423" s="95"/>
      <c r="K1423" s="95"/>
      <c r="L1423" s="96"/>
      <c r="M1423" s="56">
        <v>250</v>
      </c>
    </row>
    <row r="1424" spans="1:13" s="51" customFormat="1" ht="25.2" hidden="1" customHeight="1">
      <c r="A1424" s="68">
        <f t="shared" si="60"/>
        <v>0</v>
      </c>
      <c r="B1424" s="69" t="s">
        <v>441</v>
      </c>
      <c r="C1424" s="69"/>
      <c r="D1424" s="87"/>
      <c r="E1424" s="88" t="str">
        <f>VLOOKUP($B1424,[1]DG!A:D,[1]DG!$B$2,)</f>
        <v>03.4001</v>
      </c>
      <c r="F1424" s="92" t="str">
        <f>VLOOKUP($B1424,[1]DG!A:D,[1]DG!$C$2,)</f>
        <v xml:space="preserve">Đầu cosse ép Cu 2,5mm2 + bao PVC </v>
      </c>
      <c r="G1424" s="339" t="str">
        <f>VLOOKUP($B1424,[1]DG!A:D,[1]DG!$D$2,)</f>
        <v>cái</v>
      </c>
      <c r="H1424" s="145">
        <f>H1420*16</f>
        <v>0</v>
      </c>
      <c r="I1424" s="91">
        <f t="shared" si="62"/>
        <v>0</v>
      </c>
      <c r="J1424" s="95"/>
      <c r="K1424" s="95"/>
      <c r="L1424" s="96"/>
      <c r="M1424" s="56">
        <v>250</v>
      </c>
    </row>
    <row r="1425" spans="1:13" s="51" customFormat="1" ht="25.2" hidden="1" customHeight="1">
      <c r="A1425" s="68">
        <f t="shared" si="60"/>
        <v>0</v>
      </c>
      <c r="B1425" s="69" t="s">
        <v>442</v>
      </c>
      <c r="C1425" s="69"/>
      <c r="D1425" s="87"/>
      <c r="E1425" s="88">
        <f>VLOOKUP($B1425,[1]DG!A:D,[1]DG!$B$2,)</f>
        <v>0</v>
      </c>
      <c r="F1425" s="92" t="str">
        <f>VLOOKUP($B1425,[1]DG!A:D,[1]DG!$C$2,)</f>
        <v>Dây điện đôi 16/10</v>
      </c>
      <c r="G1425" s="339" t="str">
        <f>VLOOKUP($B1425,[1]DG!A:D,[1]DG!$D$2,)</f>
        <v>mét</v>
      </c>
      <c r="H1425" s="145">
        <f>2*H1420</f>
        <v>0</v>
      </c>
      <c r="I1425" s="91">
        <f t="shared" si="62"/>
        <v>0</v>
      </c>
      <c r="J1425" s="95"/>
      <c r="K1425" s="95"/>
      <c r="L1425" s="96"/>
      <c r="M1425" s="56">
        <v>250</v>
      </c>
    </row>
    <row r="1426" spans="1:13" s="51" customFormat="1" ht="25.2" hidden="1" customHeight="1">
      <c r="A1426" s="68">
        <f t="shared" si="60"/>
        <v>0</v>
      </c>
      <c r="B1426" s="69" t="s">
        <v>85</v>
      </c>
      <c r="C1426" s="69"/>
      <c r="D1426" s="87"/>
      <c r="E1426" s="88">
        <f>VLOOKUP($B1426,[1]DG!A:D,[1]DG!$B$2,)</f>
        <v>0</v>
      </c>
      <c r="F1426" s="92" t="str">
        <f>VLOOKUP($B1426,[1]DG!A:D,[1]DG!$C$2,)&amp;" (ñaáu TU )"</f>
        <v>Kẹp ép cỡ dây 25mm2 (ñaáu TU )</v>
      </c>
      <c r="G1426" s="339" t="str">
        <f>VLOOKUP($B1426,[1]DG!A:D,[1]DG!$D$2,)</f>
        <v>cái</v>
      </c>
      <c r="H1426" s="145">
        <f>+H1420*3</f>
        <v>0</v>
      </c>
      <c r="I1426" s="91">
        <f t="shared" si="62"/>
        <v>0</v>
      </c>
      <c r="J1426" s="95"/>
      <c r="K1426" s="95"/>
      <c r="L1426" s="96"/>
      <c r="M1426" s="56">
        <v>250</v>
      </c>
    </row>
    <row r="1427" spans="1:13" s="51" customFormat="1" ht="25.2" hidden="1" customHeight="1">
      <c r="A1427" s="68">
        <f t="shared" si="60"/>
        <v>0</v>
      </c>
      <c r="B1427" s="69" t="s">
        <v>426</v>
      </c>
      <c r="C1427" s="69"/>
      <c r="D1427" s="87"/>
      <c r="E1427" s="88" t="str">
        <f>VLOOKUP($B1427,[1]DG!A:D,[1]DG!$B$2,)</f>
        <v>07.2403</v>
      </c>
      <c r="F1427" s="92" t="str">
        <f>VLOOKUP($B1427,[1]DG!A:D,[1]DG!$C$2,)</f>
        <v>Ống PVC D42x2,1mm</v>
      </c>
      <c r="G1427" s="339" t="str">
        <f>VLOOKUP($B1427,[1]DG!A:D,[1]DG!$D$2,)</f>
        <v>m</v>
      </c>
      <c r="H1427" s="145">
        <f>H1420*16</f>
        <v>0</v>
      </c>
      <c r="I1427" s="91">
        <f t="shared" si="62"/>
        <v>0</v>
      </c>
      <c r="J1427" s="95"/>
      <c r="K1427" s="95"/>
      <c r="L1427" s="96"/>
      <c r="M1427" s="56">
        <v>250</v>
      </c>
    </row>
    <row r="1428" spans="1:13" s="51" customFormat="1" ht="25.2" hidden="1" customHeight="1">
      <c r="A1428" s="68">
        <f t="shared" si="60"/>
        <v>0</v>
      </c>
      <c r="B1428" s="86" t="s">
        <v>443</v>
      </c>
      <c r="C1428" s="86"/>
      <c r="D1428" s="87"/>
      <c r="E1428" s="88" t="str">
        <f>VLOOKUP($B1428,[1]DG!A:D,[1]DG!$B$2,)</f>
        <v>06.3231</v>
      </c>
      <c r="F1428" s="92" t="str">
        <f>VLOOKUP($B1428,[1]DG!A:D,[1]DG!$C$2,)</f>
        <v>Cổ dê giữ ống PVC D42</v>
      </c>
      <c r="G1428" s="339" t="str">
        <f>VLOOKUP($B1428,[1]DG!A:D,[1]DG!$D$2,)</f>
        <v>bộ</v>
      </c>
      <c r="H1428" s="145">
        <f>H1420*4</f>
        <v>0</v>
      </c>
      <c r="I1428" s="91">
        <f t="shared" si="62"/>
        <v>0</v>
      </c>
      <c r="J1428" s="95"/>
      <c r="K1428" s="95"/>
      <c r="L1428" s="96"/>
      <c r="M1428" s="56">
        <v>250</v>
      </c>
    </row>
    <row r="1429" spans="1:13" s="51" customFormat="1" ht="25.2" hidden="1" customHeight="1">
      <c r="A1429" s="68">
        <f t="shared" si="60"/>
        <v>0</v>
      </c>
      <c r="B1429" s="69" t="s">
        <v>444</v>
      </c>
      <c r="C1429" s="69"/>
      <c r="D1429" s="87"/>
      <c r="E1429" s="88">
        <f>VLOOKUP($B1429,[1]DG!A:D,[1]DG!$B$2,)</f>
        <v>0</v>
      </c>
      <c r="F1429" s="92" t="str">
        <f>VLOOKUP($B1429,[1]DG!A:D,[1]DG!$C$2,)</f>
        <v>Co 90 độ PVC 42</v>
      </c>
      <c r="G1429" s="339" t="str">
        <f>VLOOKUP($B1429,[1]DG!A:D,[1]DG!$D$2,)</f>
        <v>cái</v>
      </c>
      <c r="H1429" s="145">
        <f>H1420*5</f>
        <v>0</v>
      </c>
      <c r="I1429" s="91">
        <f t="shared" si="62"/>
        <v>0</v>
      </c>
      <c r="J1429" s="95"/>
      <c r="K1429" s="95"/>
      <c r="L1429" s="96"/>
      <c r="M1429" s="56">
        <v>250</v>
      </c>
    </row>
    <row r="1430" spans="1:13" s="51" customFormat="1" ht="25.2" hidden="1" customHeight="1">
      <c r="A1430" s="68">
        <f t="shared" si="60"/>
        <v>0</v>
      </c>
      <c r="B1430" s="69" t="s">
        <v>427</v>
      </c>
      <c r="C1430" s="69"/>
      <c r="D1430" s="87"/>
      <c r="E1430" s="88">
        <f>VLOOKUP($B1430,[1]DG!A:D,[1]DG!$B$2,)</f>
        <v>0</v>
      </c>
      <c r="F1430" s="92" t="str">
        <f>VLOOKUP($B1430,[1]DG!A:D,[1]DG!$C$2,)</f>
        <v>Co chữ T ống PVC 42</v>
      </c>
      <c r="G1430" s="339" t="str">
        <f>VLOOKUP($B1430,[1]DG!A:D,[1]DG!$D$2,)</f>
        <v>cái</v>
      </c>
      <c r="H1430" s="145">
        <f>H1420*5</f>
        <v>0</v>
      </c>
      <c r="I1430" s="91">
        <f t="shared" si="62"/>
        <v>0</v>
      </c>
      <c r="J1430" s="95"/>
      <c r="K1430" s="95"/>
      <c r="L1430" s="96"/>
      <c r="M1430" s="56">
        <v>250</v>
      </c>
    </row>
    <row r="1431" spans="1:13" s="51" customFormat="1" ht="25.2" hidden="1" customHeight="1">
      <c r="A1431" s="68">
        <f t="shared" si="60"/>
        <v>0</v>
      </c>
      <c r="B1431" s="69" t="s">
        <v>445</v>
      </c>
      <c r="C1431" s="69"/>
      <c r="D1431" s="87"/>
      <c r="E1431" s="88">
        <f>VLOOKUP($B1431,[1]DG!A:D,[1]DG!$B$2,)</f>
        <v>0</v>
      </c>
      <c r="F1431" s="92" t="str">
        <f>VLOOKUP($B1431,[1]DG!A:D,[1]DG!$C$2,)</f>
        <v>Nối thẳng ống PVC 42</v>
      </c>
      <c r="G1431" s="339" t="str">
        <f>VLOOKUP($B1431,[1]DG!A:D,[1]DG!$D$2,)</f>
        <v>cái</v>
      </c>
      <c r="H1431" s="145">
        <f>H1420</f>
        <v>0</v>
      </c>
      <c r="I1431" s="91">
        <f t="shared" si="62"/>
        <v>0</v>
      </c>
      <c r="J1431" s="95"/>
      <c r="K1431" s="95"/>
      <c r="L1431" s="96"/>
      <c r="M1431" s="56">
        <v>250</v>
      </c>
    </row>
    <row r="1432" spans="1:13" s="51" customFormat="1" ht="25.2" hidden="1" customHeight="1">
      <c r="A1432" s="68">
        <f t="shared" si="60"/>
        <v>0</v>
      </c>
      <c r="B1432" s="69" t="s">
        <v>98</v>
      </c>
      <c r="C1432" s="69"/>
      <c r="D1432" s="87"/>
      <c r="E1432" s="88">
        <f>VLOOKUP($B1432,[1]DG!A:D,[1]DG!$B$2,)</f>
        <v>0</v>
      </c>
      <c r="F1432" s="92" t="str">
        <f>VLOOKUP($B1432,[1]DG!A:D,[1]DG!$C$2,)&amp;" ñaáu TU"</f>
        <v>Cáp 24KV CX-25mm2 ñaáu TU</v>
      </c>
      <c r="G1432" s="339" t="str">
        <f>VLOOKUP($B1432,[1]DG!A:D,[1]DG!$D$2,)</f>
        <v>mét</v>
      </c>
      <c r="H1432" s="145">
        <f>H1420*2.5*3*0</f>
        <v>0</v>
      </c>
      <c r="I1432" s="91">
        <f t="shared" si="62"/>
        <v>0</v>
      </c>
      <c r="J1432" s="95"/>
      <c r="K1432" s="95"/>
      <c r="L1432" s="96"/>
      <c r="M1432" s="56">
        <v>250</v>
      </c>
    </row>
    <row r="1433" spans="1:13" s="51" customFormat="1" ht="25.2" hidden="1" customHeight="1">
      <c r="A1433" s="68">
        <f t="shared" si="60"/>
        <v>0</v>
      </c>
      <c r="B1433" s="69" t="s">
        <v>446</v>
      </c>
      <c r="C1433" s="69"/>
      <c r="D1433" s="87"/>
      <c r="E1433" s="88">
        <f>VLOOKUP($B1433,[1]DG!A:D,[1]DG!$B$2,)</f>
        <v>0</v>
      </c>
      <c r="F1433" s="92" t="str">
        <f>VLOOKUP($B1433,[1]DG!A:D,[1]DG!$C$2,)</f>
        <v>Keo dán ống PVC (500gr)</v>
      </c>
      <c r="G1433" s="339" t="str">
        <f>VLOOKUP($B1433,[1]DG!A:D,[1]DG!$D$2,)</f>
        <v>lon</v>
      </c>
      <c r="H1433" s="145">
        <f>H1420</f>
        <v>0</v>
      </c>
      <c r="I1433" s="91">
        <f t="shared" si="62"/>
        <v>0</v>
      </c>
      <c r="J1433" s="95"/>
      <c r="K1433" s="95"/>
      <c r="L1433" s="96"/>
      <c r="M1433" s="56">
        <v>250</v>
      </c>
    </row>
    <row r="1434" spans="1:13" s="51" customFormat="1" ht="25.2" hidden="1" customHeight="1">
      <c r="A1434" s="68">
        <f t="shared" si="60"/>
        <v>0</v>
      </c>
      <c r="B1434" s="86" t="s">
        <v>148</v>
      </c>
      <c r="C1434" s="86"/>
      <c r="D1434" s="87"/>
      <c r="E1434" s="88">
        <f>VLOOKUP($B1434,[1]DG!A:D,[1]DG!$B$2,)</f>
        <v>0</v>
      </c>
      <c r="F1434" s="92" t="str">
        <f>VLOOKUP($B1434,[1]DG!A:D,[1]DG!$C$2,)</f>
        <v>Băng keo cách điện</v>
      </c>
      <c r="G1434" s="339" t="str">
        <f>VLOOKUP($B1434,[1]DG!A:D,[1]DG!$D$2,)</f>
        <v>cuộn</v>
      </c>
      <c r="H1434" s="145">
        <f>H1420</f>
        <v>0</v>
      </c>
      <c r="I1434" s="91">
        <f t="shared" si="62"/>
        <v>0</v>
      </c>
      <c r="J1434" s="146"/>
      <c r="K1434" s="146"/>
      <c r="L1434" s="96"/>
      <c r="M1434" s="56">
        <v>250</v>
      </c>
    </row>
    <row r="1435" spans="1:13" s="51" customFormat="1" ht="25.2" hidden="1" customHeight="1">
      <c r="A1435" s="68">
        <f t="shared" si="60"/>
        <v>0</v>
      </c>
      <c r="B1435" s="69" t="s">
        <v>428</v>
      </c>
      <c r="C1435" s="69"/>
      <c r="D1435" s="87"/>
      <c r="E1435" s="88">
        <f>VLOOKUP($B1435,[1]DG!A:D,[1]DG!$B$2,)</f>
        <v>0</v>
      </c>
      <c r="F1435" s="92" t="str">
        <f>VLOOKUP($B1435,[1]DG!A:D,[1]DG!$C$2,)</f>
        <v>Khâu ven răng trong D42</v>
      </c>
      <c r="G1435" s="339" t="str">
        <f>VLOOKUP($B1435,[1]DG!A:D,[1]DG!$D$2,)</f>
        <v>cái</v>
      </c>
      <c r="H1435" s="145">
        <f>H1420</f>
        <v>0</v>
      </c>
      <c r="I1435" s="91">
        <f t="shared" si="62"/>
        <v>0</v>
      </c>
      <c r="J1435" s="146"/>
      <c r="K1435" s="146"/>
      <c r="L1435" s="96"/>
      <c r="M1435" s="56">
        <v>250</v>
      </c>
    </row>
    <row r="1436" spans="1:13" s="51" customFormat="1" ht="25.2" hidden="1" customHeight="1">
      <c r="A1436" s="68">
        <f t="shared" si="60"/>
        <v>0</v>
      </c>
      <c r="B1436" s="86" t="s">
        <v>429</v>
      </c>
      <c r="C1436" s="86"/>
      <c r="D1436" s="87"/>
      <c r="E1436" s="88">
        <f>VLOOKUP($B1436,[1]DG!A:D,[1]DG!$B$2,)</f>
        <v>0</v>
      </c>
      <c r="F1436" s="92" t="str">
        <f>VLOOKUP($B1436,[1]DG!A:D,[1]DG!$C$2,)</f>
        <v>Khâu ven răng ngoài D42</v>
      </c>
      <c r="G1436" s="339" t="str">
        <f>VLOOKUP($B1436,[1]DG!A:D,[1]DG!$D$2,)</f>
        <v>cái</v>
      </c>
      <c r="H1436" s="145">
        <f>H1420</f>
        <v>0</v>
      </c>
      <c r="I1436" s="91">
        <f t="shared" si="62"/>
        <v>0</v>
      </c>
      <c r="J1436" s="146"/>
      <c r="K1436" s="146"/>
      <c r="L1436" s="96"/>
      <c r="M1436" s="56">
        <v>250</v>
      </c>
    </row>
    <row r="1437" spans="1:13" s="51" customFormat="1" ht="25.2" hidden="1" customHeight="1">
      <c r="A1437" s="68">
        <f t="shared" si="60"/>
        <v>0</v>
      </c>
      <c r="B1437" s="86" t="s">
        <v>317</v>
      </c>
      <c r="C1437" s="86"/>
      <c r="D1437" s="87"/>
      <c r="E1437" s="88" t="str">
        <f>VLOOKUP($B1437,[1]DG!A:D,[1]DG!$B$2,)</f>
        <v>06.3231</v>
      </c>
      <c r="F1437" s="92" t="str">
        <f>VLOOKUP($B1437,[1]DG!A:D,[1]DG!$C$2,)</f>
        <v>Cổ dê CDĐKĐT( bắt thùng điện kế)</v>
      </c>
      <c r="G1437" s="339" t="str">
        <f>VLOOKUP($B1437,[1]DG!A:D,[1]DG!$D$2,)</f>
        <v>bộ</v>
      </c>
      <c r="H1437" s="340">
        <f>H1420*2*0</f>
        <v>0</v>
      </c>
      <c r="I1437" s="91">
        <f t="shared" si="62"/>
        <v>0</v>
      </c>
      <c r="J1437" s="146"/>
      <c r="K1437" s="146"/>
      <c r="L1437" s="117"/>
      <c r="M1437" s="56">
        <v>250</v>
      </c>
    </row>
    <row r="1438" spans="1:13" s="51" customFormat="1" ht="25.2" hidden="1" customHeight="1">
      <c r="A1438" s="68">
        <f t="shared" si="60"/>
        <v>0</v>
      </c>
      <c r="B1438" s="86" t="s">
        <v>447</v>
      </c>
      <c r="C1438" s="86"/>
      <c r="D1438" s="87"/>
      <c r="E1438" s="88" t="str">
        <f>VLOOKUP($B1438,[1]DG!A:D,[1]DG!$B$2,)</f>
        <v>05.1101</v>
      </c>
      <c r="F1438" s="92" t="str">
        <f>VLOOKUP($B1438,[1]DG!A:D,[1]DG!$C$2,)</f>
        <v>Thùng điện kế 450x300x200mm đo đếm trung thế</v>
      </c>
      <c r="G1438" s="339" t="str">
        <f>VLOOKUP($B1438,[1]DG!A:D,[1]DG!$D$2,)</f>
        <v>cái</v>
      </c>
      <c r="H1438" s="145">
        <f>H1420*0</f>
        <v>0</v>
      </c>
      <c r="I1438" s="91">
        <f t="shared" si="62"/>
        <v>0</v>
      </c>
      <c r="J1438" s="146"/>
      <c r="K1438" s="146"/>
      <c r="L1438" s="96"/>
      <c r="M1438" s="56">
        <v>250</v>
      </c>
    </row>
    <row r="1439" spans="1:13" s="51" customFormat="1" ht="25.2" hidden="1" customHeight="1">
      <c r="A1439" s="68">
        <f t="shared" ref="A1439:A1502" si="63">IF(I1439&gt;0,1,0)</f>
        <v>0</v>
      </c>
      <c r="B1439" s="86" t="s">
        <v>436</v>
      </c>
      <c r="C1439" s="86"/>
      <c r="D1439" s="87"/>
      <c r="E1439" s="88">
        <f>VLOOKUP($B1439,[1]DG!A:D,[1]DG!$B$2,)</f>
        <v>0</v>
      </c>
      <c r="F1439" s="92" t="str">
        <f>VLOOKUP($B1439,[1]DG!A:D,[1]DG!$C$2,)</f>
        <v>Keo silicon bít miệng ống</v>
      </c>
      <c r="G1439" s="339" t="str">
        <f>VLOOKUP($B1439,[1]DG!A:D,[1]DG!$D$2,)</f>
        <v>ống</v>
      </c>
      <c r="H1439" s="145">
        <f>H1420</f>
        <v>0</v>
      </c>
      <c r="I1439" s="91">
        <f t="shared" si="62"/>
        <v>0</v>
      </c>
      <c r="J1439" s="146"/>
      <c r="K1439" s="146"/>
      <c r="L1439" s="96"/>
      <c r="M1439" s="56">
        <v>250</v>
      </c>
    </row>
    <row r="1440" spans="1:13" s="51" customFormat="1" ht="25.2" hidden="1" customHeight="1">
      <c r="A1440" s="68">
        <f t="shared" si="63"/>
        <v>0</v>
      </c>
      <c r="B1440" s="86" t="s">
        <v>448</v>
      </c>
      <c r="C1440" s="86"/>
      <c r="D1440" s="87"/>
      <c r="E1440" s="88">
        <f>VLOOKUP($B1440,[1]DG!A:D,[1]DG!$B$2,)</f>
        <v>0</v>
      </c>
      <c r="F1440" s="92" t="str">
        <f>VLOOKUP($B1440,[1]DG!A:D,[1]DG!$C$2,)</f>
        <v>Dây đồng trần mềm dẹt</v>
      </c>
      <c r="G1440" s="339" t="str">
        <f>VLOOKUP($B1440,[1]DG!A:D,[1]DG!$D$2,)</f>
        <v>mét</v>
      </c>
      <c r="H1440" s="145">
        <f>H1420*4</f>
        <v>0</v>
      </c>
      <c r="I1440" s="91">
        <f t="shared" si="62"/>
        <v>0</v>
      </c>
      <c r="J1440" s="146"/>
      <c r="K1440" s="146"/>
      <c r="L1440" s="96"/>
      <c r="M1440" s="56">
        <v>250</v>
      </c>
    </row>
    <row r="1441" spans="1:13" s="51" customFormat="1" ht="25.2" hidden="1" customHeight="1">
      <c r="A1441" s="68">
        <f t="shared" si="63"/>
        <v>0</v>
      </c>
      <c r="B1441" s="86" t="s">
        <v>449</v>
      </c>
      <c r="C1441" s="86"/>
      <c r="D1441" s="87"/>
      <c r="E1441" s="88" t="str">
        <f>VLOOKUP($B1441,[1]DG!A:D,[1]DG!$B$2,)</f>
        <v>06.3191</v>
      </c>
      <c r="F1441" s="92" t="str">
        <f>VLOOKUP($B1441,[1]DG!A:D,[1]DG!$C$2,)</f>
        <v>Bảng tên trạm, bảng báo nguy hiểm + đinh vít</v>
      </c>
      <c r="G1441" s="339" t="str">
        <f>VLOOKUP($B1441,[1]DG!A:D,[1]DG!$D$2,)</f>
        <v>bộ</v>
      </c>
      <c r="H1441" s="145">
        <f>H1420</f>
        <v>0</v>
      </c>
      <c r="I1441" s="91">
        <f t="shared" si="62"/>
        <v>0</v>
      </c>
      <c r="J1441" s="146"/>
      <c r="K1441" s="146"/>
      <c r="L1441" s="96"/>
      <c r="M1441" s="56">
        <v>250</v>
      </c>
    </row>
    <row r="1442" spans="1:13" s="51" customFormat="1" ht="25.2" hidden="1" customHeight="1">
      <c r="A1442" s="68">
        <f t="shared" si="63"/>
        <v>0</v>
      </c>
      <c r="B1442" s="86" t="s">
        <v>157</v>
      </c>
      <c r="C1442" s="86"/>
      <c r="D1442" s="87"/>
      <c r="E1442" s="88">
        <f>VLOOKUP($B1442,[1]DG!A:D,[1]DG!$B$2,)</f>
        <v>0</v>
      </c>
      <c r="F1442" s="92" t="str">
        <f>VLOOKUP($B1442,[1]DG!A:D,[1]DG!$C$2,)&amp;" baét thuøng ÑKÑT"</f>
        <v>Boulon 12x60+ 2 long đền vuông D14-50x50x3/Zn baét thuøng ÑKÑT</v>
      </c>
      <c r="G1442" s="339" t="str">
        <f>VLOOKUP($B1442,[1]DG!A:D,[1]DG!$D$2,)</f>
        <v>bộ</v>
      </c>
      <c r="H1442" s="145">
        <f>4*H1420*0</f>
        <v>0</v>
      </c>
      <c r="I1442" s="91">
        <f t="shared" si="62"/>
        <v>0</v>
      </c>
      <c r="J1442" s="146"/>
      <c r="K1442" s="146"/>
      <c r="L1442" s="96"/>
      <c r="M1442" s="56">
        <v>250</v>
      </c>
    </row>
    <row r="1443" spans="1:13" s="51" customFormat="1" ht="25.2" hidden="1" customHeight="1">
      <c r="A1443" s="68">
        <f t="shared" si="63"/>
        <v>0</v>
      </c>
      <c r="B1443" s="86"/>
      <c r="C1443" s="86"/>
      <c r="D1443" s="276"/>
      <c r="E1443" s="277"/>
      <c r="F1443" s="267" t="s">
        <v>450</v>
      </c>
      <c r="G1443" s="267"/>
      <c r="H1443" s="191"/>
      <c r="I1443" s="91">
        <f t="shared" si="62"/>
        <v>0</v>
      </c>
      <c r="J1443" s="267"/>
      <c r="K1443" s="267"/>
      <c r="L1443" s="133"/>
      <c r="M1443" s="56">
        <v>250</v>
      </c>
    </row>
    <row r="1444" spans="1:13" s="51" customFormat="1" ht="25.2" hidden="1" customHeight="1">
      <c r="A1444" s="68">
        <f t="shared" si="63"/>
        <v>0</v>
      </c>
      <c r="B1444" s="86" t="s">
        <v>451</v>
      </c>
      <c r="C1444" s="86"/>
      <c r="D1444" s="87"/>
      <c r="E1444" s="88" t="str">
        <f>VLOOKUP($B1444,[1]DG!A:D,[1]DG!$B$2,)</f>
        <v>02.5114</v>
      </c>
      <c r="F1444" s="92" t="s">
        <v>452</v>
      </c>
      <c r="G1444" s="339" t="str">
        <f>VLOOKUP($B1444,[1]DG!A:D,[1]DG!$D$2,)</f>
        <v>cái</v>
      </c>
      <c r="H1444" s="145"/>
      <c r="I1444" s="91">
        <f t="shared" si="62"/>
        <v>0</v>
      </c>
      <c r="J1444" s="146"/>
      <c r="K1444" s="146"/>
      <c r="L1444" s="96" t="s">
        <v>453</v>
      </c>
      <c r="M1444" s="56">
        <v>250</v>
      </c>
    </row>
    <row r="1445" spans="1:13" s="51" customFormat="1" ht="25.2" hidden="1" customHeight="1">
      <c r="A1445" s="68">
        <f t="shared" si="63"/>
        <v>0</v>
      </c>
      <c r="B1445" s="86" t="s">
        <v>454</v>
      </c>
      <c r="C1445" s="86"/>
      <c r="D1445" s="87"/>
      <c r="E1445" s="88" t="str">
        <f>VLOOKUP($B1445,[1]DG!A:D,[1]DG!$B$2,)</f>
        <v>05.6011</v>
      </c>
      <c r="F1445" s="92" t="s">
        <v>455</v>
      </c>
      <c r="G1445" s="339" t="str">
        <f>VLOOKUP($B1445,[1]DG!A:D,[1]DG!$D$2,)</f>
        <v>bộ</v>
      </c>
      <c r="H1445" s="145"/>
      <c r="I1445" s="91">
        <f t="shared" si="62"/>
        <v>0</v>
      </c>
      <c r="J1445" s="146"/>
      <c r="K1445" s="146"/>
      <c r="L1445" s="117"/>
      <c r="M1445" s="56">
        <v>250</v>
      </c>
    </row>
    <row r="1446" spans="1:13" s="51" customFormat="1" ht="25.2" hidden="1" customHeight="1">
      <c r="A1446" s="68">
        <f t="shared" si="63"/>
        <v>0</v>
      </c>
      <c r="B1446" s="86"/>
      <c r="C1446" s="86"/>
      <c r="D1446" s="341"/>
      <c r="E1446" s="296"/>
      <c r="F1446" s="267"/>
      <c r="G1446" s="297"/>
      <c r="H1446" s="298"/>
      <c r="I1446" s="91">
        <f t="shared" si="62"/>
        <v>0</v>
      </c>
      <c r="J1446" s="342"/>
      <c r="K1446" s="343"/>
      <c r="L1446" s="100"/>
      <c r="M1446" s="56"/>
    </row>
    <row r="1447" spans="1:13" s="51" customFormat="1" ht="25.2" hidden="1" customHeight="1">
      <c r="A1447" s="68">
        <f t="shared" si="63"/>
        <v>0</v>
      </c>
      <c r="B1447" s="86"/>
      <c r="C1447" s="86"/>
      <c r="F1447" s="344"/>
      <c r="H1447" s="66"/>
      <c r="I1447" s="91">
        <f t="shared" si="62"/>
        <v>0</v>
      </c>
      <c r="M1447" s="56"/>
    </row>
    <row r="1448" spans="1:13" s="51" customFormat="1" ht="25.2" hidden="1" customHeight="1">
      <c r="A1448" s="68">
        <f t="shared" si="63"/>
        <v>0</v>
      </c>
      <c r="B1448" s="262"/>
      <c r="C1448" s="262"/>
      <c r="D1448" s="263" t="e">
        <f>"BAÛNG TOÅNG HÔÏP VAÄT LIEÄU, NHAÂN COÂNG, MAÙY THI COÂNG : "&amp;#REF!&amp;" TRAÏM 3P_320KVA ÑO ÑEÁM TRUNG THEÁ"</f>
        <v>#REF!</v>
      </c>
      <c r="E1448" s="263"/>
      <c r="F1448" s="263"/>
      <c r="G1448" s="263"/>
      <c r="H1448" s="264"/>
      <c r="I1448" s="91">
        <f t="shared" si="62"/>
        <v>0</v>
      </c>
      <c r="J1448" s="345"/>
      <c r="K1448" s="345"/>
      <c r="L1448" s="346"/>
      <c r="M1448" s="56"/>
    </row>
    <row r="1449" spans="1:13" s="51" customFormat="1" ht="25.2" hidden="1" customHeight="1">
      <c r="A1449" s="68">
        <f t="shared" si="63"/>
        <v>0</v>
      </c>
      <c r="B1449" s="69"/>
      <c r="C1449" s="69"/>
      <c r="D1449" s="265"/>
      <c r="E1449" s="266"/>
      <c r="F1449" s="267" t="s">
        <v>53</v>
      </c>
      <c r="G1449" s="268"/>
      <c r="H1449" s="305"/>
      <c r="I1449" s="91">
        <f t="shared" si="62"/>
        <v>0</v>
      </c>
      <c r="J1449" s="268"/>
      <c r="K1449" s="268"/>
      <c r="L1449" s="100"/>
      <c r="M1449" s="56">
        <v>320</v>
      </c>
    </row>
    <row r="1450" spans="1:13" s="51" customFormat="1" ht="25.2" hidden="1" customHeight="1">
      <c r="A1450" s="68">
        <f t="shared" si="63"/>
        <v>0</v>
      </c>
      <c r="B1450" s="86" t="s">
        <v>491</v>
      </c>
      <c r="C1450" s="86"/>
      <c r="D1450" s="87">
        <f>IF(H1450&gt;0,1,0)</f>
        <v>0</v>
      </c>
      <c r="E1450" s="88" t="str">
        <f>VLOOKUP($B1450,[1]DG!A:D,[1]DG!$B$2,)</f>
        <v>01.1145</v>
      </c>
      <c r="F1450" s="89" t="str">
        <f>VLOOKUP($B1450,[1]DG!A:D,[1]DG!$C$2,)&amp;"-MBA siêu giảm tổn thất"</f>
        <v>Máy biến áp 22/0,4kV- 320kVA-MBA siêu giảm tổn thất</v>
      </c>
      <c r="G1450" s="88" t="str">
        <f>VLOOKUP($B1450,[1]DG!A:D,[1]DG!$D$2,)</f>
        <v>máy</v>
      </c>
      <c r="H1450" s="306">
        <f>L12</f>
        <v>0</v>
      </c>
      <c r="I1450" s="91">
        <f t="shared" si="62"/>
        <v>0</v>
      </c>
      <c r="J1450" s="92"/>
      <c r="K1450" s="92"/>
      <c r="L1450" s="307"/>
      <c r="M1450" s="56">
        <v>320</v>
      </c>
    </row>
    <row r="1451" spans="1:13" s="51" customFormat="1" ht="25.2" hidden="1" customHeight="1">
      <c r="A1451" s="68">
        <f t="shared" si="63"/>
        <v>0</v>
      </c>
      <c r="B1451" s="86" t="s">
        <v>56</v>
      </c>
      <c r="C1451" s="86"/>
      <c r="D1451" s="87">
        <f>IF(H1451&gt;0,D1450+1,D1450)</f>
        <v>0</v>
      </c>
      <c r="E1451" s="88" t="str">
        <f>VLOOKUP($B1451,[1]DG!A:D,[1]DG!$B$2,)</f>
        <v>02.3155</v>
      </c>
      <c r="F1451" s="89" t="str">
        <f>VLOOKUP($B1451,[1]DG!A:D,[1]DG!$C$2,)</f>
        <v>FCO 27kV - 100A</v>
      </c>
      <c r="G1451" s="88" t="str">
        <f>VLOOKUP($B1451,[1]DG!A:D,[1]DG!$D$2,)</f>
        <v>cái</v>
      </c>
      <c r="H1451" s="145">
        <f>H1450*3</f>
        <v>0</v>
      </c>
      <c r="I1451" s="91">
        <f t="shared" si="62"/>
        <v>0</v>
      </c>
      <c r="J1451" s="146"/>
      <c r="K1451" s="146"/>
      <c r="L1451" s="96"/>
      <c r="M1451" s="56">
        <v>320</v>
      </c>
    </row>
    <row r="1452" spans="1:13" s="51" customFormat="1" ht="25.2" hidden="1" customHeight="1">
      <c r="A1452" s="68">
        <f t="shared" si="63"/>
        <v>0</v>
      </c>
      <c r="B1452" s="86" t="s">
        <v>457</v>
      </c>
      <c r="C1452" s="86"/>
      <c r="D1452" s="87">
        <f t="shared" ref="D1452:D1458" si="64">IF(H1452&gt;0,D1451+1,D1451)</f>
        <v>0</v>
      </c>
      <c r="E1452" s="88">
        <f>VLOOKUP($B1452,[1]DG!A:D,[1]DG!$B$2,)</f>
        <v>0</v>
      </c>
      <c r="F1452" s="89" t="str">
        <f>VLOOKUP($B1452,[1]DG!A:D,[1]DG!$C$2,)</f>
        <v>Dây chảy 10K</v>
      </c>
      <c r="G1452" s="88" t="str">
        <f>VLOOKUP($B1452,[1]DG!A:D,[1]DG!$D$2,)</f>
        <v>Sợi</v>
      </c>
      <c r="H1452" s="145">
        <f>H1451</f>
        <v>0</v>
      </c>
      <c r="I1452" s="91">
        <f t="shared" si="62"/>
        <v>0</v>
      </c>
      <c r="J1452" s="146"/>
      <c r="K1452" s="146"/>
      <c r="L1452" s="96"/>
      <c r="M1452" s="56">
        <v>320</v>
      </c>
    </row>
    <row r="1453" spans="1:13" s="51" customFormat="1" ht="25.2" hidden="1" customHeight="1">
      <c r="A1453" s="68">
        <f t="shared" si="63"/>
        <v>0</v>
      </c>
      <c r="B1453" s="69" t="s">
        <v>58</v>
      </c>
      <c r="C1453" s="69"/>
      <c r="D1453" s="87">
        <f t="shared" si="64"/>
        <v>0</v>
      </c>
      <c r="E1453" s="88" t="str">
        <f>VLOOKUP($B1453,[1]DG!A:D,[1]DG!$B$2,)</f>
        <v>02.5114</v>
      </c>
      <c r="F1453" s="89" t="str">
        <f>VLOOKUP($B1453,[1]DG!A:D,[1]DG!$C$2,)</f>
        <v>Chống sét van LA-18KV-10KA</v>
      </c>
      <c r="G1453" s="88" t="str">
        <f>VLOOKUP($B1453,[1]DG!A:D,[1]DG!$D$2,)</f>
        <v>cái</v>
      </c>
      <c r="H1453" s="145">
        <f>H1451</f>
        <v>0</v>
      </c>
      <c r="I1453" s="91">
        <f t="shared" si="62"/>
        <v>0</v>
      </c>
      <c r="J1453" s="146"/>
      <c r="K1453" s="146"/>
      <c r="L1453" s="96"/>
      <c r="M1453" s="56">
        <v>320</v>
      </c>
    </row>
    <row r="1454" spans="1:13" s="51" customFormat="1" ht="25.2" hidden="1" customHeight="1">
      <c r="A1454" s="68">
        <f t="shared" si="63"/>
        <v>0</v>
      </c>
      <c r="B1454" s="86" t="s">
        <v>220</v>
      </c>
      <c r="C1454" s="86"/>
      <c r="D1454" s="87">
        <f t="shared" si="64"/>
        <v>0</v>
      </c>
      <c r="E1454" s="88" t="str">
        <f>VLOOKUP($B1454,[1]DG!A:D,[1]DG!$B$2,)</f>
        <v>02.8403</v>
      </c>
      <c r="F1454" s="89" t="str">
        <f>VLOOKUP($B1454,[1]DG!A:D,[1]DG!$C$2,)</f>
        <v>MCCB 3 cực 400V -500A - 50KA</v>
      </c>
      <c r="G1454" s="88" t="str">
        <f>VLOOKUP($B1454,[1]DG!A:D,[1]DG!$D$2,)</f>
        <v>cái</v>
      </c>
      <c r="H1454" s="145">
        <f>H1450</f>
        <v>0</v>
      </c>
      <c r="I1454" s="91">
        <f t="shared" si="62"/>
        <v>0</v>
      </c>
      <c r="J1454" s="146"/>
      <c r="K1454" s="146"/>
      <c r="L1454" s="96"/>
      <c r="M1454" s="56">
        <v>320</v>
      </c>
    </row>
    <row r="1455" spans="1:13" s="51" customFormat="1" ht="25.2" hidden="1" customHeight="1">
      <c r="A1455" s="68">
        <f t="shared" si="63"/>
        <v>0</v>
      </c>
      <c r="B1455" s="86" t="s">
        <v>492</v>
      </c>
      <c r="C1455" s="86"/>
      <c r="D1455" s="87">
        <f t="shared" si="64"/>
        <v>1</v>
      </c>
      <c r="E1455" s="88" t="str">
        <f>VLOOKUP($B1455,[1]DG!A:D,[1]DG!$B$2,)</f>
        <v>02.8534</v>
      </c>
      <c r="F1455" s="89" t="str">
        <f>VLOOKUP($B1455,[1]DG!A:D,[1]DG!$C$2,)</f>
        <v>Tủ tụ bù hạ thế 135kVAr</v>
      </c>
      <c r="G1455" s="88" t="str">
        <f>VLOOKUP($B1455,[1]DG!A:D,[1]DG!$D$2,)</f>
        <v>tủ</v>
      </c>
      <c r="H1455" s="145">
        <v>1</v>
      </c>
      <c r="I1455" s="91">
        <f t="shared" si="62"/>
        <v>0</v>
      </c>
      <c r="J1455" s="146"/>
      <c r="K1455" s="146"/>
      <c r="L1455" s="96"/>
      <c r="M1455" s="56">
        <v>320</v>
      </c>
    </row>
    <row r="1456" spans="1:13" s="51" customFormat="1" ht="25.2" hidden="1" customHeight="1">
      <c r="A1456" s="68">
        <f t="shared" si="63"/>
        <v>0</v>
      </c>
      <c r="B1456" s="86" t="s">
        <v>493</v>
      </c>
      <c r="C1456" s="86"/>
      <c r="D1456" s="87">
        <f t="shared" si="64"/>
        <v>1</v>
      </c>
      <c r="E1456" s="88">
        <f>VLOOKUP($B1456,[1]DG!A:D,[1]DG!$B$2,)</f>
        <v>0</v>
      </c>
      <c r="F1456" s="89" t="str">
        <f>VLOOKUP($B1456,[1]DG!A:D,[1]DG!$C$2,)</f>
        <v>Biến dòng 600V - 500/5A</v>
      </c>
      <c r="G1456" s="88" t="str">
        <f>VLOOKUP($B1456,[1]DG!A:D,[1]DG!$D$2,)</f>
        <v>cái</v>
      </c>
      <c r="H1456" s="308">
        <f>H1450*3</f>
        <v>0</v>
      </c>
      <c r="I1456" s="91">
        <f t="shared" si="62"/>
        <v>0</v>
      </c>
      <c r="J1456" s="146"/>
      <c r="K1456" s="146"/>
      <c r="L1456" s="309" t="s">
        <v>61</v>
      </c>
      <c r="M1456" s="56">
        <v>320</v>
      </c>
    </row>
    <row r="1457" spans="1:13" s="51" customFormat="1" ht="25.2" hidden="1" customHeight="1">
      <c r="A1457" s="68">
        <f t="shared" si="63"/>
        <v>0</v>
      </c>
      <c r="B1457" s="86" t="s">
        <v>494</v>
      </c>
      <c r="C1457" s="86"/>
      <c r="D1457" s="87">
        <f t="shared" si="64"/>
        <v>1</v>
      </c>
      <c r="E1457" s="88" t="str">
        <f>VLOOKUP($B1457,[1]DG!A:D,[1]DG!$B$2,)</f>
        <v>02.1114</v>
      </c>
      <c r="F1457" s="89" t="str">
        <f>VLOOKUP($B1457,[1]DG!A:D,[1]DG!$C$2,)</f>
        <v>Biến điện áp 12000/120(60)V</v>
      </c>
      <c r="G1457" s="88" t="str">
        <f>VLOOKUP($B1457,[1]DG!A:D,[1]DG!$D$2,)</f>
        <v>cái</v>
      </c>
      <c r="H1457" s="308"/>
      <c r="I1457" s="91">
        <f t="shared" si="62"/>
        <v>0</v>
      </c>
      <c r="J1457" s="146"/>
      <c r="K1457" s="146"/>
      <c r="L1457" s="309" t="s">
        <v>61</v>
      </c>
      <c r="M1457" s="56">
        <v>320</v>
      </c>
    </row>
    <row r="1458" spans="1:13" s="51" customFormat="1" ht="25.2" hidden="1" customHeight="1">
      <c r="A1458" s="68">
        <f t="shared" si="63"/>
        <v>0</v>
      </c>
      <c r="B1458" s="310" t="s">
        <v>495</v>
      </c>
      <c r="C1458" s="310"/>
      <c r="D1458" s="87">
        <f t="shared" si="64"/>
        <v>1</v>
      </c>
      <c r="E1458" s="88">
        <f>VLOOKUP($B1458,[1]DG!A:D,[1]DG!$B$2,)</f>
        <v>0</v>
      </c>
      <c r="F1458" s="89" t="str">
        <f>VLOOKUP($B1458,[1]DG!A:D,[1]DG!$C$2,)</f>
        <v>Điện kế 3 pha điện tử 600V-5A</v>
      </c>
      <c r="G1458" s="88" t="str">
        <f>VLOOKUP($B1458,[1]DG!A:D,[1]DG!$D$2,)</f>
        <v>cái</v>
      </c>
      <c r="H1458" s="308">
        <f>H1450</f>
        <v>0</v>
      </c>
      <c r="I1458" s="91">
        <f t="shared" si="62"/>
        <v>0</v>
      </c>
      <c r="J1458" s="146"/>
      <c r="K1458" s="146"/>
      <c r="L1458" s="311" t="s">
        <v>61</v>
      </c>
      <c r="M1458" s="56">
        <v>320</v>
      </c>
    </row>
    <row r="1459" spans="1:13" s="51" customFormat="1" ht="25.2" hidden="1" customHeight="1">
      <c r="A1459" s="68">
        <f t="shared" si="63"/>
        <v>0</v>
      </c>
      <c r="B1459" s="69"/>
      <c r="C1459" s="69"/>
      <c r="D1459" s="272"/>
      <c r="E1459" s="273"/>
      <c r="F1459" s="274"/>
      <c r="G1459" s="272"/>
      <c r="H1459" s="207"/>
      <c r="I1459" s="357">
        <f>IF(M1459=$M$23,1,0)</f>
        <v>0</v>
      </c>
      <c r="J1459" s="274"/>
      <c r="K1459" s="272"/>
      <c r="L1459" s="100"/>
      <c r="M1459" s="56">
        <v>320</v>
      </c>
    </row>
    <row r="1460" spans="1:13" s="51" customFormat="1" ht="25.2" hidden="1" customHeight="1">
      <c r="A1460" s="68">
        <f t="shared" si="63"/>
        <v>0</v>
      </c>
      <c r="B1460" s="69"/>
      <c r="C1460" s="69"/>
      <c r="D1460" s="276"/>
      <c r="E1460" s="277"/>
      <c r="F1460" s="267" t="s">
        <v>64</v>
      </c>
      <c r="G1460" s="267"/>
      <c r="H1460" s="191"/>
      <c r="I1460" s="357">
        <f>IF(M1460=$M$23,1,0)</f>
        <v>0</v>
      </c>
      <c r="J1460" s="267"/>
      <c r="K1460" s="267"/>
      <c r="L1460" s="100"/>
      <c r="M1460" s="56">
        <v>320</v>
      </c>
    </row>
    <row r="1461" spans="1:13" s="51" customFormat="1" ht="25.2" hidden="1" customHeight="1">
      <c r="A1461" s="68">
        <f t="shared" si="63"/>
        <v>0</v>
      </c>
      <c r="B1461" s="313"/>
      <c r="C1461" s="313"/>
      <c r="D1461" s="314">
        <f>IF(H1461&gt;0,1,0)</f>
        <v>0</v>
      </c>
      <c r="E1461" s="315"/>
      <c r="F1461" s="316" t="s">
        <v>462</v>
      </c>
      <c r="G1461" s="317" t="s">
        <v>339</v>
      </c>
      <c r="H1461" s="317">
        <f>H1450*2*0</f>
        <v>0</v>
      </c>
      <c r="I1461" s="91">
        <f t="shared" ref="I1461:I1524" si="65">IF(M1461=$M$23,H1461+J1461-K1461,0)</f>
        <v>0</v>
      </c>
      <c r="J1461" s="318"/>
      <c r="K1461" s="318"/>
      <c r="L1461" s="96"/>
      <c r="M1461" s="56">
        <v>320</v>
      </c>
    </row>
    <row r="1462" spans="1:13" s="51" customFormat="1" ht="25.2" hidden="1" customHeight="1">
      <c r="A1462" s="68">
        <f t="shared" si="63"/>
        <v>0</v>
      </c>
      <c r="B1462" s="86" t="s">
        <v>69</v>
      </c>
      <c r="C1462" s="86"/>
      <c r="D1462" s="319"/>
      <c r="E1462" s="88"/>
      <c r="F1462" s="320" t="str">
        <f>VLOOKUP($B1462,[1]DG!A:D,[1]DG!$C$2,)</f>
        <v>Trụ BTLT 12m F350 dự ứng lực</v>
      </c>
      <c r="G1462" s="88" t="str">
        <f>VLOOKUP($B1462,[1]DG!A:D,[1]DG!$D$2,)</f>
        <v>trụ</v>
      </c>
      <c r="H1462" s="321">
        <f>H1461</f>
        <v>0</v>
      </c>
      <c r="I1462" s="91">
        <f t="shared" si="65"/>
        <v>0</v>
      </c>
      <c r="J1462" s="92"/>
      <c r="K1462" s="111"/>
      <c r="L1462" s="96"/>
      <c r="M1462" s="56">
        <v>320</v>
      </c>
    </row>
    <row r="1463" spans="1:13" s="51" customFormat="1" ht="25.2" hidden="1" customHeight="1">
      <c r="A1463" s="68">
        <f t="shared" si="63"/>
        <v>0</v>
      </c>
      <c r="B1463" s="86" t="s">
        <v>70</v>
      </c>
      <c r="C1463" s="86"/>
      <c r="D1463" s="319"/>
      <c r="E1463" s="88"/>
      <c r="F1463" s="320" t="str">
        <f>VLOOKUP($B1463,[1]DG!A:D,[1]DG!$C$2,)</f>
        <v>Vật liệu dựng trụ</v>
      </c>
      <c r="G1463" s="88" t="str">
        <f>VLOOKUP($B1463,[1]DG!A:D,[1]DG!$D$2,)</f>
        <v>trụ</v>
      </c>
      <c r="H1463" s="321">
        <f>H1462</f>
        <v>0</v>
      </c>
      <c r="I1463" s="91">
        <f t="shared" si="65"/>
        <v>0</v>
      </c>
      <c r="J1463" s="111"/>
      <c r="K1463" s="111"/>
      <c r="L1463" s="96"/>
      <c r="M1463" s="56">
        <v>320</v>
      </c>
    </row>
    <row r="1464" spans="1:13" s="51" customFormat="1" ht="25.2" hidden="1" customHeight="1">
      <c r="A1464" s="68">
        <f t="shared" si="63"/>
        <v>0</v>
      </c>
      <c r="B1464" s="86" t="s">
        <v>340</v>
      </c>
      <c r="C1464" s="86"/>
      <c r="D1464" s="319"/>
      <c r="E1464" s="88" t="str">
        <f>VLOOKUP($B1464,[1]DG!A:D,[1]DG!$B$2,)</f>
        <v>04.9203</v>
      </c>
      <c r="F1464" s="320" t="str">
        <f>VLOOKUP($B1464,[1]DG!A:D,[1]DG!$C$2,)</f>
        <v>Dựng trụ BTLT 12m trong TBA bằng thủ công + cơ giới</v>
      </c>
      <c r="G1464" s="88" t="str">
        <f>VLOOKUP($B1464,[1]DG!A:D,[1]DG!$D$2,)</f>
        <v>trụ</v>
      </c>
      <c r="H1464" s="321">
        <f>H1462</f>
        <v>0</v>
      </c>
      <c r="I1464" s="91">
        <f t="shared" si="65"/>
        <v>0</v>
      </c>
      <c r="J1464" s="92"/>
      <c r="K1464" s="92"/>
      <c r="L1464" s="96"/>
      <c r="M1464" s="56">
        <v>320</v>
      </c>
    </row>
    <row r="1465" spans="1:13" s="51" customFormat="1" ht="25.2" hidden="1" customHeight="1">
      <c r="A1465" s="68">
        <f t="shared" si="63"/>
        <v>0</v>
      </c>
      <c r="B1465" s="313"/>
      <c r="C1465" s="313"/>
      <c r="D1465" s="314">
        <f>IF(H1465&gt;0,1,0)</f>
        <v>0</v>
      </c>
      <c r="E1465" s="315"/>
      <c r="F1465" s="316" t="s">
        <v>341</v>
      </c>
      <c r="G1465" s="317" t="s">
        <v>339</v>
      </c>
      <c r="H1465" s="317">
        <f>H1450*2*0</f>
        <v>0</v>
      </c>
      <c r="I1465" s="91">
        <f t="shared" si="65"/>
        <v>0</v>
      </c>
      <c r="J1465" s="318"/>
      <c r="K1465" s="318"/>
      <c r="L1465" s="117"/>
      <c r="M1465" s="56">
        <v>320</v>
      </c>
    </row>
    <row r="1466" spans="1:13" s="51" customFormat="1" ht="25.2" hidden="1" customHeight="1">
      <c r="A1466" s="68">
        <f t="shared" si="63"/>
        <v>0</v>
      </c>
      <c r="B1466" s="86" t="s">
        <v>342</v>
      </c>
      <c r="C1466" s="86"/>
      <c r="D1466" s="319"/>
      <c r="E1466" s="88"/>
      <c r="F1466" s="320" t="str">
        <f>VLOOKUP($B1466,[1]DG!A:D,[1]DG!$C$2,)</f>
        <v>Trụ BTLT 10,5m F350 dự ứng lực</v>
      </c>
      <c r="G1466" s="88" t="str">
        <f>VLOOKUP($B1466,[1]DG!A:D,[1]DG!$D$2,)</f>
        <v>trụ</v>
      </c>
      <c r="H1466" s="321">
        <f>H1465</f>
        <v>0</v>
      </c>
      <c r="I1466" s="91">
        <f t="shared" si="65"/>
        <v>0</v>
      </c>
      <c r="J1466" s="92"/>
      <c r="K1466" s="111"/>
      <c r="L1466" s="117"/>
      <c r="M1466" s="56">
        <v>320</v>
      </c>
    </row>
    <row r="1467" spans="1:13" s="51" customFormat="1" ht="25.2" hidden="1" customHeight="1">
      <c r="A1467" s="68">
        <f t="shared" si="63"/>
        <v>0</v>
      </c>
      <c r="B1467" s="86" t="s">
        <v>70</v>
      </c>
      <c r="C1467" s="86"/>
      <c r="D1467" s="319"/>
      <c r="E1467" s="88"/>
      <c r="F1467" s="320" t="str">
        <f>VLOOKUP($B1467,[1]DG!A:D,[1]DG!$C$2,)</f>
        <v>Vật liệu dựng trụ</v>
      </c>
      <c r="G1467" s="88" t="str">
        <f>VLOOKUP($B1467,[1]DG!A:D,[1]DG!$D$2,)</f>
        <v>trụ</v>
      </c>
      <c r="H1467" s="321">
        <f>H1466</f>
        <v>0</v>
      </c>
      <c r="I1467" s="91">
        <f t="shared" si="65"/>
        <v>0</v>
      </c>
      <c r="J1467" s="111"/>
      <c r="K1467" s="111"/>
      <c r="L1467" s="117"/>
      <c r="M1467" s="56">
        <v>320</v>
      </c>
    </row>
    <row r="1468" spans="1:13" s="51" customFormat="1" ht="25.2" hidden="1" customHeight="1">
      <c r="A1468" s="68">
        <f t="shared" si="63"/>
        <v>0</v>
      </c>
      <c r="B1468" s="86" t="s">
        <v>343</v>
      </c>
      <c r="C1468" s="86"/>
      <c r="D1468" s="319"/>
      <c r="E1468" s="88" t="str">
        <f>VLOOKUP($B1468,[1]DG!A:D,[1]DG!$B$2,)</f>
        <v>04.9203</v>
      </c>
      <c r="F1468" s="320" t="str">
        <f>VLOOKUP($B1468,[1]DG!A:D,[1]DG!$C$2,)</f>
        <v>Dựng trụ BTLT 10,5m trong TBA bằng thủ công + cơ giới</v>
      </c>
      <c r="G1468" s="88" t="str">
        <f>VLOOKUP($B1468,[1]DG!A:D,[1]DG!$D$2,)</f>
        <v>trụ</v>
      </c>
      <c r="H1468" s="321">
        <f>H1466</f>
        <v>0</v>
      </c>
      <c r="I1468" s="91">
        <f t="shared" si="65"/>
        <v>0</v>
      </c>
      <c r="J1468" s="92"/>
      <c r="K1468" s="92"/>
      <c r="L1468" s="117"/>
      <c r="M1468" s="56">
        <v>320</v>
      </c>
    </row>
    <row r="1469" spans="1:13" s="51" customFormat="1" ht="25.2" hidden="1" customHeight="1">
      <c r="A1469" s="68">
        <f t="shared" si="63"/>
        <v>0</v>
      </c>
      <c r="B1469" s="322"/>
      <c r="C1469" s="322"/>
      <c r="D1469" s="220">
        <f>IF(H1469&gt;0,D1461+1,D1461)</f>
        <v>0</v>
      </c>
      <c r="E1469" s="315"/>
      <c r="F1469" s="316" t="s">
        <v>72</v>
      </c>
      <c r="G1469" s="317" t="s">
        <v>344</v>
      </c>
      <c r="H1469" s="317">
        <f>H1461</f>
        <v>0</v>
      </c>
      <c r="I1469" s="91">
        <f t="shared" si="65"/>
        <v>0</v>
      </c>
      <c r="J1469" s="111"/>
      <c r="K1469" s="111"/>
      <c r="L1469" s="96"/>
      <c r="M1469" s="56">
        <v>320</v>
      </c>
    </row>
    <row r="1470" spans="1:13" s="51" customFormat="1" ht="25.2" hidden="1" customHeight="1">
      <c r="A1470" s="68">
        <f t="shared" si="63"/>
        <v>0</v>
      </c>
      <c r="B1470" s="86" t="s">
        <v>73</v>
      </c>
      <c r="C1470" s="86"/>
      <c r="D1470" s="319"/>
      <c r="E1470" s="88" t="str">
        <f>VLOOKUP($B1470,[1]DG!A:D,[1]DG!$B$2,)</f>
        <v>04.4001</v>
      </c>
      <c r="F1470" s="320" t="str">
        <f>VLOOKUP($B1470,[1]DG!A:D,[1]DG!$C$2,)</f>
        <v>Đà cản BTCT 1,2m</v>
      </c>
      <c r="G1470" s="88" t="str">
        <f>VLOOKUP($B1470,[1]DG!A:D,[1]DG!$D$2,)</f>
        <v>cái</v>
      </c>
      <c r="H1470" s="321">
        <f>H1469</f>
        <v>0</v>
      </c>
      <c r="I1470" s="91">
        <f t="shared" si="65"/>
        <v>0</v>
      </c>
      <c r="J1470" s="92"/>
      <c r="K1470" s="111"/>
      <c r="L1470" s="96"/>
      <c r="M1470" s="56">
        <v>320</v>
      </c>
    </row>
    <row r="1471" spans="1:13" s="51" customFormat="1" ht="25.2" hidden="1" customHeight="1">
      <c r="A1471" s="68">
        <f t="shared" si="63"/>
        <v>0</v>
      </c>
      <c r="B1471" s="86" t="s">
        <v>74</v>
      </c>
      <c r="C1471" s="86"/>
      <c r="D1471" s="319"/>
      <c r="E1471" s="88"/>
      <c r="F1471" s="320" t="str">
        <f>VLOOKUP($B1471,[1]DG!A:D,[1]DG!$C$2,)</f>
        <v>Boulon 22x650+ 2 long đền vuông D24-50x50x3/Zn</v>
      </c>
      <c r="G1471" s="88" t="str">
        <f>VLOOKUP($B1471,[1]DG!A:D,[1]DG!$D$2,)</f>
        <v>bộ</v>
      </c>
      <c r="H1471" s="321">
        <f>H1470</f>
        <v>0</v>
      </c>
      <c r="I1471" s="91">
        <f t="shared" si="65"/>
        <v>0</v>
      </c>
      <c r="J1471" s="320"/>
      <c r="K1471" s="111"/>
      <c r="L1471" s="96"/>
      <c r="M1471" s="56">
        <v>320</v>
      </c>
    </row>
    <row r="1472" spans="1:13" s="51" customFormat="1" ht="25.2" hidden="1" customHeight="1">
      <c r="A1472" s="68">
        <f t="shared" si="63"/>
        <v>0</v>
      </c>
      <c r="B1472" s="86" t="str">
        <f>IF(chitiet!G5=1,"MDD1",IF(chitiet!G5=2,"MDD2",IF(chitiet!G5=3,"MDD3",IF(chitiet!G5=4,"MDD4"))))</f>
        <v>MDD3</v>
      </c>
      <c r="C1472" s="86"/>
      <c r="D1472" s="319"/>
      <c r="E1472" s="88" t="str">
        <f>VLOOKUP($B1472,[1]DG!A:D,[1]DG!$B$2,)</f>
        <v>03.1013</v>
      </c>
      <c r="F1472" s="320" t="str">
        <f>VLOOKUP($B1472,[1]DG!A:D,[1]DG!$C$2,)</f>
        <v>Đào hố móng đất cấp 3 sâu &gt;1m</v>
      </c>
      <c r="G1472" s="88" t="str">
        <f>VLOOKUP($B1472,[1]DG!A:D,[1]DG!$D$2,)</f>
        <v>m3</v>
      </c>
      <c r="H1472" s="323">
        <f>0.87*H1469</f>
        <v>0</v>
      </c>
      <c r="I1472" s="91">
        <f t="shared" si="65"/>
        <v>0</v>
      </c>
      <c r="J1472" s="324"/>
      <c r="K1472" s="111"/>
      <c r="L1472" s="96"/>
      <c r="M1472" s="56">
        <v>320</v>
      </c>
    </row>
    <row r="1473" spans="1:13" s="51" customFormat="1" ht="25.2" hidden="1" customHeight="1">
      <c r="A1473" s="68">
        <f t="shared" si="63"/>
        <v>0</v>
      </c>
      <c r="B1473" s="86" t="str">
        <f>IF(chitiet!G5=1,"MDAP1",IF(chitiet!G5=2,"MDAP2",IF(chitiet!G5=3,"MDAP3",IF(chitiet!G5=4,"MDAP4"))))</f>
        <v>MDAP3</v>
      </c>
      <c r="C1473" s="86"/>
      <c r="D1473" s="319"/>
      <c r="E1473" s="88" t="str">
        <f>VLOOKUP($B1473,[1]DG!A:D,[1]DG!$B$2,)</f>
        <v>03.4113</v>
      </c>
      <c r="F1473" s="320" t="str">
        <f>VLOOKUP($B1473,[1]DG!A:D,[1]DG!$C$2,)</f>
        <v>Đắp đất hố móng, độ chặt k=0,95</v>
      </c>
      <c r="G1473" s="88" t="str">
        <f>VLOOKUP($B1473,[1]DG!A:D,[1]DG!$D$2,)</f>
        <v>m3</v>
      </c>
      <c r="H1473" s="323">
        <f>0.79*H1469</f>
        <v>0</v>
      </c>
      <c r="I1473" s="91">
        <f t="shared" si="65"/>
        <v>0</v>
      </c>
      <c r="J1473" s="324"/>
      <c r="K1473" s="111"/>
      <c r="L1473" s="96"/>
      <c r="M1473" s="56">
        <v>320</v>
      </c>
    </row>
    <row r="1474" spans="1:13" s="51" customFormat="1" ht="25.2" hidden="1" customHeight="1">
      <c r="A1474" s="68">
        <f t="shared" si="63"/>
        <v>0</v>
      </c>
      <c r="B1474" s="322"/>
      <c r="C1474" s="322"/>
      <c r="D1474" s="220">
        <f>IF(H1474&gt;0,D1466+1,D1466)</f>
        <v>0</v>
      </c>
      <c r="E1474" s="315"/>
      <c r="F1474" s="316" t="s">
        <v>345</v>
      </c>
      <c r="G1474" s="317" t="s">
        <v>344</v>
      </c>
      <c r="H1474" s="317">
        <f>H1465*0</f>
        <v>0</v>
      </c>
      <c r="I1474" s="91">
        <f t="shared" si="65"/>
        <v>0</v>
      </c>
      <c r="J1474" s="111"/>
      <c r="K1474" s="111"/>
      <c r="L1474" s="117"/>
      <c r="M1474" s="56">
        <v>320</v>
      </c>
    </row>
    <row r="1475" spans="1:13" s="51" customFormat="1" ht="25.2" hidden="1" customHeight="1">
      <c r="A1475" s="68">
        <f t="shared" si="63"/>
        <v>0</v>
      </c>
      <c r="B1475" s="86" t="s">
        <v>73</v>
      </c>
      <c r="C1475" s="86"/>
      <c r="D1475" s="319"/>
      <c r="E1475" s="88" t="str">
        <f>VLOOKUP($B1475,[1]DG!A:D,[1]DG!$B$2,)</f>
        <v>04.4001</v>
      </c>
      <c r="F1475" s="320" t="str">
        <f>VLOOKUP($B1475,[1]DG!A:D,[1]DG!$C$2,)</f>
        <v>Đà cản BTCT 1,2m</v>
      </c>
      <c r="G1475" s="88" t="str">
        <f>VLOOKUP($B1475,[1]DG!A:D,[1]DG!$D$2,)</f>
        <v>cái</v>
      </c>
      <c r="H1475" s="321">
        <f>H1474</f>
        <v>0</v>
      </c>
      <c r="I1475" s="91">
        <f t="shared" si="65"/>
        <v>0</v>
      </c>
      <c r="J1475" s="92"/>
      <c r="K1475" s="111"/>
      <c r="L1475" s="117"/>
      <c r="M1475" s="56">
        <v>320</v>
      </c>
    </row>
    <row r="1476" spans="1:13" s="51" customFormat="1" ht="25.2" hidden="1" customHeight="1">
      <c r="A1476" s="68">
        <f t="shared" si="63"/>
        <v>0</v>
      </c>
      <c r="B1476" s="86" t="s">
        <v>74</v>
      </c>
      <c r="C1476" s="86"/>
      <c r="D1476" s="319"/>
      <c r="E1476" s="88"/>
      <c r="F1476" s="320" t="str">
        <f>VLOOKUP($B1476,[1]DG!A:D,[1]DG!$C$2,)</f>
        <v>Boulon 22x650+ 2 long đền vuông D24-50x50x3/Zn</v>
      </c>
      <c r="G1476" s="88" t="str">
        <f>VLOOKUP($B1476,[1]DG!A:D,[1]DG!$D$2,)</f>
        <v>bộ</v>
      </c>
      <c r="H1476" s="321">
        <f>H1475</f>
        <v>0</v>
      </c>
      <c r="I1476" s="91">
        <f t="shared" si="65"/>
        <v>0</v>
      </c>
      <c r="J1476" s="320"/>
      <c r="K1476" s="111"/>
      <c r="L1476" s="117"/>
      <c r="M1476" s="56">
        <v>320</v>
      </c>
    </row>
    <row r="1477" spans="1:13" s="51" customFormat="1" ht="25.2" hidden="1" customHeight="1">
      <c r="A1477" s="68">
        <f t="shared" si="63"/>
        <v>0</v>
      </c>
      <c r="B1477" s="86" t="str">
        <f>IF(chitiet!G5=1,"MDD1",IF(chitiet!G5=2,"MDD2",IF(chitiet!G5=3,"MDD3",IF(chitiet!G5=4,"MDD4"))))</f>
        <v>MDD3</v>
      </c>
      <c r="C1477" s="86"/>
      <c r="D1477" s="319"/>
      <c r="E1477" s="88" t="str">
        <f>VLOOKUP($B1477,[1]DG!A:D,[1]DG!$B$2,)</f>
        <v>03.1013</v>
      </c>
      <c r="F1477" s="320" t="str">
        <f>VLOOKUP($B1477,[1]DG!A:D,[1]DG!$C$2,)</f>
        <v>Đào hố móng đất cấp 3 sâu &gt;1m</v>
      </c>
      <c r="G1477" s="88" t="str">
        <f>VLOOKUP($B1477,[1]DG!A:D,[1]DG!$D$2,)</f>
        <v>m3</v>
      </c>
      <c r="H1477" s="323">
        <f>1.48*H1475</f>
        <v>0</v>
      </c>
      <c r="I1477" s="91">
        <f t="shared" si="65"/>
        <v>0</v>
      </c>
      <c r="J1477" s="324"/>
      <c r="K1477" s="111"/>
      <c r="L1477" s="117"/>
      <c r="M1477" s="56">
        <v>320</v>
      </c>
    </row>
    <row r="1478" spans="1:13" s="51" customFormat="1" ht="25.2" hidden="1" customHeight="1">
      <c r="A1478" s="68">
        <f t="shared" si="63"/>
        <v>0</v>
      </c>
      <c r="B1478" s="86" t="str">
        <f>IF(chitiet!G5=1,"MDAP1",IF(chitiet!G5=2,"MDAP2",IF(chitiet!G5=3,"MDAP3",IF(chitiet!G5=4,"MDAP4"))))</f>
        <v>MDAP3</v>
      </c>
      <c r="C1478" s="86"/>
      <c r="D1478" s="319"/>
      <c r="E1478" s="88" t="str">
        <f>VLOOKUP($B1478,[1]DG!A:D,[1]DG!$B$2,)</f>
        <v>03.4113</v>
      </c>
      <c r="F1478" s="320" t="str">
        <f>VLOOKUP($B1478,[1]DG!A:D,[1]DG!$C$2,)</f>
        <v>Đắp đất hố móng, độ chặt k=0,95</v>
      </c>
      <c r="G1478" s="88" t="str">
        <f>VLOOKUP($B1478,[1]DG!A:D,[1]DG!$D$2,)</f>
        <v>m3</v>
      </c>
      <c r="H1478" s="323">
        <f>1.39*H1474</f>
        <v>0</v>
      </c>
      <c r="I1478" s="91">
        <f t="shared" si="65"/>
        <v>0</v>
      </c>
      <c r="J1478" s="324"/>
      <c r="K1478" s="111"/>
      <c r="L1478" s="117"/>
      <c r="M1478" s="56">
        <v>320</v>
      </c>
    </row>
    <row r="1479" spans="1:13" s="51" customFormat="1" ht="25.2" hidden="1" customHeight="1">
      <c r="A1479" s="68">
        <f t="shared" si="63"/>
        <v>0</v>
      </c>
      <c r="B1479" s="69"/>
      <c r="C1479" s="69"/>
      <c r="D1479" s="220">
        <f>IF(H1479&gt;0,D1469+1,D1469)</f>
        <v>0</v>
      </c>
      <c r="E1479" s="325"/>
      <c r="F1479" s="316" t="s">
        <v>464</v>
      </c>
      <c r="G1479" s="314" t="s">
        <v>67</v>
      </c>
      <c r="H1479" s="326">
        <f>H1450*1</f>
        <v>0</v>
      </c>
      <c r="I1479" s="91">
        <f t="shared" si="65"/>
        <v>0</v>
      </c>
      <c r="J1479" s="327"/>
      <c r="K1479" s="327"/>
      <c r="L1479" s="117"/>
      <c r="M1479" s="56">
        <v>320</v>
      </c>
    </row>
    <row r="1480" spans="1:13" s="51" customFormat="1" ht="25.2" hidden="1" customHeight="1">
      <c r="A1480" s="68">
        <f>IF(A1479&gt;0,1,0)</f>
        <v>0</v>
      </c>
      <c r="B1480" s="69"/>
      <c r="C1480" s="69"/>
      <c r="D1480" s="111"/>
      <c r="E1480" s="328"/>
      <c r="F1480" s="243" t="s">
        <v>68</v>
      </c>
      <c r="G1480" s="87"/>
      <c r="H1480" s="145"/>
      <c r="I1480" s="91">
        <f t="shared" si="65"/>
        <v>0</v>
      </c>
      <c r="J1480" s="282"/>
      <c r="K1480" s="282"/>
      <c r="L1480" s="117"/>
      <c r="M1480" s="56">
        <v>320</v>
      </c>
    </row>
    <row r="1481" spans="1:13" s="51" customFormat="1" ht="25.2" hidden="1" customHeight="1">
      <c r="A1481" s="68">
        <f t="shared" si="63"/>
        <v>0</v>
      </c>
      <c r="B1481" s="86" t="s">
        <v>347</v>
      </c>
      <c r="C1481" s="86"/>
      <c r="D1481" s="111"/>
      <c r="E1481" s="88" t="str">
        <f>VLOOKUP($B1481,[1]DG!A:D,[1]DG!$B$2,)</f>
        <v>05.6105</v>
      </c>
      <c r="F1481" s="89" t="str">
        <f>VLOOKUP($B1481,[1]DG!A:D,[1]DG!$C$2,)&amp;": 2 cái"</f>
        <v>Đà U160x68x5x2800 đỡ MBA: 2 cái</v>
      </c>
      <c r="G1481" s="88" t="str">
        <f>VLOOKUP($B1481,[1]DG!A:D,[1]DG!$D$2,)</f>
        <v>cái</v>
      </c>
      <c r="H1481" s="145">
        <v>2</v>
      </c>
      <c r="I1481" s="91">
        <f t="shared" si="65"/>
        <v>0</v>
      </c>
      <c r="J1481" s="92"/>
      <c r="K1481" s="92"/>
      <c r="L1481" s="117"/>
      <c r="M1481" s="56">
        <v>320</v>
      </c>
    </row>
    <row r="1482" spans="1:13" s="51" customFormat="1" ht="25.2" hidden="1" customHeight="1">
      <c r="A1482" s="68">
        <f t="shared" si="63"/>
        <v>0</v>
      </c>
      <c r="B1482" s="86" t="s">
        <v>348</v>
      </c>
      <c r="C1482" s="86"/>
      <c r="D1482" s="111"/>
      <c r="E1482" s="88" t="str">
        <f>VLOOKUP($B1482,[1]DG!A:D,[1]DG!$B$2,)</f>
        <v>05.6101</v>
      </c>
      <c r="F1482" s="89" t="str">
        <f>VLOOKUP($B1482,[1]DG!A:D,[1]DG!$C$2,)&amp;": 4 cái"</f>
        <v>Đà U100x46x4.5x400 : 4 cái</v>
      </c>
      <c r="G1482" s="88" t="str">
        <f>VLOOKUP($B1482,[1]DG!A:D,[1]DG!$D$2,)</f>
        <v>cái</v>
      </c>
      <c r="H1482" s="145">
        <v>4</v>
      </c>
      <c r="I1482" s="91">
        <f t="shared" si="65"/>
        <v>0</v>
      </c>
      <c r="J1482" s="92"/>
      <c r="K1482" s="92"/>
      <c r="L1482" s="117"/>
      <c r="M1482" s="56">
        <v>320</v>
      </c>
    </row>
    <row r="1483" spans="1:13" s="51" customFormat="1" ht="25.2" hidden="1" customHeight="1">
      <c r="A1483" s="68">
        <f t="shared" si="63"/>
        <v>0</v>
      </c>
      <c r="B1483" s="86" t="s">
        <v>349</v>
      </c>
      <c r="C1483" s="86"/>
      <c r="D1483" s="111"/>
      <c r="E1483" s="88" t="str">
        <f>VLOOKUP($B1483,[1]DG!A:D,[1]DG!$B$2,)</f>
        <v>05.6101</v>
      </c>
      <c r="F1483" s="89" t="str">
        <f>VLOOKUP($B1483,[1]DG!A:D,[1]DG!$C$2,)&amp;": 2 cái"</f>
        <v>Đà U100x46x5x800 : 2 cái</v>
      </c>
      <c r="G1483" s="88" t="str">
        <f>VLOOKUP($B1483,[1]DG!A:D,[1]DG!$D$2,)</f>
        <v>cái</v>
      </c>
      <c r="H1483" s="145">
        <v>2</v>
      </c>
      <c r="I1483" s="91">
        <f t="shared" si="65"/>
        <v>0</v>
      </c>
      <c r="J1483" s="92"/>
      <c r="K1483" s="92"/>
      <c r="L1483" s="117"/>
      <c r="M1483" s="56">
        <v>320</v>
      </c>
    </row>
    <row r="1484" spans="1:13" s="51" customFormat="1" ht="25.2" hidden="1" customHeight="1">
      <c r="A1484" s="68">
        <f t="shared" si="63"/>
        <v>0</v>
      </c>
      <c r="B1484" s="69" t="s">
        <v>350</v>
      </c>
      <c r="C1484" s="69"/>
      <c r="D1484" s="111"/>
      <c r="E1484" s="88">
        <f>VLOOKUP($B1484,[1]DG!A:D,[1]DG!$B$2,)</f>
        <v>0</v>
      </c>
      <c r="F1484" s="89" t="str">
        <f>VLOOKUP($B1484,[1]DG!A:D,[1]DG!$C$2,)</f>
        <v>Boulon 16x400VRS+ 4 long đền vuông D18-50x50x3/Zn</v>
      </c>
      <c r="G1484" s="88" t="str">
        <f>VLOOKUP($B1484,[1]DG!A:D,[1]DG!$D$2,)</f>
        <v>bộ</v>
      </c>
      <c r="H1484" s="145">
        <f>H1479*10</f>
        <v>0</v>
      </c>
      <c r="I1484" s="91">
        <f t="shared" si="65"/>
        <v>0</v>
      </c>
      <c r="J1484" s="92"/>
      <c r="K1484" s="92"/>
      <c r="L1484" s="117"/>
      <c r="M1484" s="56">
        <v>320</v>
      </c>
    </row>
    <row r="1485" spans="1:13" s="51" customFormat="1" ht="25.2" hidden="1" customHeight="1">
      <c r="A1485" s="68">
        <f t="shared" si="63"/>
        <v>0</v>
      </c>
      <c r="B1485" s="69" t="s">
        <v>265</v>
      </c>
      <c r="C1485" s="69"/>
      <c r="D1485" s="111"/>
      <c r="E1485" s="88">
        <f>VLOOKUP($B1485,[1]DG!A:D,[1]DG!$B$2,)</f>
        <v>0</v>
      </c>
      <c r="F1485" s="89" t="str">
        <f>VLOOKUP($B1485,[1]DG!A:D,[1]DG!$C$2,)</f>
        <v>Boulon 16x400+ 2 long đền vuông D18-50x50x3/Zn</v>
      </c>
      <c r="G1485" s="88" t="str">
        <f>VLOOKUP($B1485,[1]DG!A:D,[1]DG!$D$2,)</f>
        <v>bộ</v>
      </c>
      <c r="H1485" s="145">
        <f>H1479*2</f>
        <v>0</v>
      </c>
      <c r="I1485" s="91">
        <f t="shared" si="65"/>
        <v>0</v>
      </c>
      <c r="J1485" s="92"/>
      <c r="K1485" s="92"/>
      <c r="L1485" s="117"/>
      <c r="M1485" s="56">
        <v>320</v>
      </c>
    </row>
    <row r="1486" spans="1:13" s="51" customFormat="1" ht="25.2" hidden="1" customHeight="1">
      <c r="A1486" s="68">
        <f t="shared" si="63"/>
        <v>0</v>
      </c>
      <c r="B1486" s="69" t="s">
        <v>123</v>
      </c>
      <c r="C1486" s="69"/>
      <c r="D1486" s="111"/>
      <c r="E1486" s="88">
        <f>VLOOKUP($B1486,[1]DG!A:D,[1]DG!$B$2,)</f>
        <v>0</v>
      </c>
      <c r="F1486" s="89" t="str">
        <f>VLOOKUP($B1486,[1]DG!A:D,[1]DG!$C$2,)</f>
        <v>Boulon 16x350+ 2 long đền vuông D18-50x50x3/Zn</v>
      </c>
      <c r="G1486" s="88" t="str">
        <f>VLOOKUP($B1486,[1]DG!A:D,[1]DG!$D$2,)</f>
        <v>bộ</v>
      </c>
      <c r="H1486" s="145">
        <f>H1479*12</f>
        <v>0</v>
      </c>
      <c r="I1486" s="91">
        <f t="shared" si="65"/>
        <v>0</v>
      </c>
      <c r="J1486" s="92"/>
      <c r="K1486" s="92"/>
      <c r="L1486" s="117"/>
      <c r="M1486" s="56">
        <v>320</v>
      </c>
    </row>
    <row r="1487" spans="1:13" s="51" customFormat="1" ht="25.2" hidden="1" customHeight="1">
      <c r="A1487" s="68">
        <f t="shared" si="63"/>
        <v>0</v>
      </c>
      <c r="B1487" s="69" t="s">
        <v>363</v>
      </c>
      <c r="C1487" s="69"/>
      <c r="D1487" s="111"/>
      <c r="E1487" s="88" t="str">
        <f>VLOOKUP($B1487,[1]DG!A:D,[1]DG!$B$2,)</f>
        <v>05.6044</v>
      </c>
      <c r="F1487" s="89" t="str">
        <f>VLOOKUP($B1487,[1]DG!A:D,[1]DG!$C$2,)</f>
        <v>Lắp xà cột Pi loại ≤140kg/xà</v>
      </c>
      <c r="G1487" s="88" t="str">
        <f>VLOOKUP($B1487,[1]DG!A:D,[1]DG!$D$2,)</f>
        <v>bộ</v>
      </c>
      <c r="H1487" s="145">
        <f>H1479</f>
        <v>0</v>
      </c>
      <c r="I1487" s="91">
        <f t="shared" si="65"/>
        <v>0</v>
      </c>
      <c r="J1487" s="92"/>
      <c r="K1487" s="92"/>
      <c r="L1487" s="117"/>
      <c r="M1487" s="56">
        <v>320</v>
      </c>
    </row>
    <row r="1488" spans="1:13" s="51" customFormat="1" ht="25.2" hidden="1" customHeight="1">
      <c r="A1488" s="68">
        <f t="shared" si="63"/>
        <v>0</v>
      </c>
      <c r="B1488" s="69"/>
      <c r="C1488" s="69"/>
      <c r="D1488" s="220">
        <f>IF(H1488&gt;0,D1479+1,D1479)</f>
        <v>0</v>
      </c>
      <c r="E1488" s="238"/>
      <c r="F1488" s="329" t="s">
        <v>496</v>
      </c>
      <c r="G1488" s="220" t="s">
        <v>67</v>
      </c>
      <c r="H1488" s="240">
        <f>H1479*2</f>
        <v>0</v>
      </c>
      <c r="I1488" s="91">
        <f t="shared" si="65"/>
        <v>0</v>
      </c>
      <c r="J1488" s="95"/>
      <c r="K1488" s="95"/>
      <c r="L1488" s="117"/>
      <c r="M1488" s="56">
        <v>320</v>
      </c>
    </row>
    <row r="1489" spans="1:13" s="51" customFormat="1" ht="25.2" hidden="1" customHeight="1">
      <c r="A1489" s="68">
        <f>IF(A1488&gt;0,1,0)</f>
        <v>0</v>
      </c>
      <c r="B1489" s="69"/>
      <c r="C1489" s="69"/>
      <c r="D1489" s="111"/>
      <c r="E1489" s="88"/>
      <c r="F1489" s="243" t="s">
        <v>68</v>
      </c>
      <c r="G1489" s="87"/>
      <c r="H1489" s="358">
        <f>H1488</f>
        <v>0</v>
      </c>
      <c r="I1489" s="359">
        <f t="shared" si="65"/>
        <v>0</v>
      </c>
      <c r="J1489" s="95"/>
      <c r="K1489" s="95"/>
      <c r="L1489" s="117"/>
      <c r="M1489" s="56">
        <v>320</v>
      </c>
    </row>
    <row r="1490" spans="1:13" s="51" customFormat="1" ht="25.2" hidden="1" customHeight="1">
      <c r="A1490" s="68">
        <f t="shared" si="63"/>
        <v>0</v>
      </c>
      <c r="B1490" s="86" t="s">
        <v>367</v>
      </c>
      <c r="C1490" s="86"/>
      <c r="D1490" s="111"/>
      <c r="E1490" s="88">
        <f>VLOOKUP($B1490,[1]DG!A:D,[1]DG!$B$2,)</f>
        <v>0</v>
      </c>
      <c r="F1490" s="89" t="str">
        <f>VLOOKUP($B1490,[1]DG!A:D,[1]DG!$C$2,)</f>
        <v>Sắt góc L75 x75 x8</v>
      </c>
      <c r="G1490" s="88" t="str">
        <f>VLOOKUP($B1490,[1]DG!A:D,[1]DG!$D$2,)</f>
        <v>kg</v>
      </c>
      <c r="H1490" s="145">
        <v>1</v>
      </c>
      <c r="I1490" s="91">
        <f t="shared" si="65"/>
        <v>0</v>
      </c>
      <c r="J1490" s="92"/>
      <c r="K1490" s="92"/>
      <c r="L1490" s="117"/>
      <c r="M1490" s="56">
        <v>320</v>
      </c>
    </row>
    <row r="1491" spans="1:13" s="51" customFormat="1" ht="25.2" hidden="1" customHeight="1">
      <c r="A1491" s="68">
        <f t="shared" si="63"/>
        <v>0</v>
      </c>
      <c r="B1491" s="69" t="s">
        <v>368</v>
      </c>
      <c r="C1491" s="69"/>
      <c r="D1491" s="111"/>
      <c r="E1491" s="88">
        <f>VLOOKUP($B1491,[1]DG!A:D,[1]DG!$B$2,)</f>
        <v>0</v>
      </c>
      <c r="F1491" s="89" t="str">
        <f>VLOOKUP($B1491,[1]DG!A:D,[1]DG!$C$2,)</f>
        <v>Boulon 16x300VRS+ 4 long đền vuông D18-50x50x3/Zn</v>
      </c>
      <c r="G1491" s="88" t="str">
        <f>VLOOKUP($B1491,[1]DG!A:D,[1]DG!$D$2,)</f>
        <v>bộ</v>
      </c>
      <c r="H1491" s="145"/>
      <c r="I1491" s="91">
        <f t="shared" si="65"/>
        <v>0</v>
      </c>
      <c r="J1491" s="92"/>
      <c r="K1491" s="92"/>
      <c r="L1491" s="117"/>
      <c r="M1491" s="56">
        <v>320</v>
      </c>
    </row>
    <row r="1492" spans="1:13" s="51" customFormat="1" ht="25.2" hidden="1" customHeight="1">
      <c r="A1492" s="68">
        <f t="shared" si="63"/>
        <v>0</v>
      </c>
      <c r="B1492" s="69" t="s">
        <v>65</v>
      </c>
      <c r="C1492" s="69"/>
      <c r="D1492" s="111"/>
      <c r="E1492" s="88">
        <f>VLOOKUP($B1492,[1]DG!A:D,[1]DG!$B$2,)</f>
        <v>0</v>
      </c>
      <c r="F1492" s="89" t="str">
        <f>VLOOKUP($B1492,[1]DG!A:D,[1]DG!$C$2,)</f>
        <v>Boulon 16x300+ 2 long đền vuông D18-50x50x3/Zn</v>
      </c>
      <c r="G1492" s="88" t="str">
        <f>VLOOKUP($B1492,[1]DG!A:D,[1]DG!$D$2,)</f>
        <v>bộ</v>
      </c>
      <c r="H1492" s="145">
        <v>2</v>
      </c>
      <c r="I1492" s="91">
        <f t="shared" si="65"/>
        <v>0</v>
      </c>
      <c r="J1492" s="92"/>
      <c r="K1492" s="92"/>
      <c r="L1492" s="117"/>
      <c r="M1492" s="56">
        <v>320</v>
      </c>
    </row>
    <row r="1493" spans="1:13" s="51" customFormat="1" ht="25.2" hidden="1" customHeight="1">
      <c r="A1493" s="68">
        <f t="shared" si="63"/>
        <v>0</v>
      </c>
      <c r="B1493" s="69" t="s">
        <v>237</v>
      </c>
      <c r="C1493" s="69"/>
      <c r="D1493" s="111"/>
      <c r="E1493" s="88">
        <f>VLOOKUP($B1493,[1]DG!A:D,[1]DG!$B$2,)</f>
        <v>0</v>
      </c>
      <c r="F1493" s="89" t="str">
        <f>VLOOKUP($B1493,[1]DG!A:D,[1]DG!$C$2,)</f>
        <v>Boulon 16x250+ 2 long đền vuông D18-50x50x3/Zn</v>
      </c>
      <c r="G1493" s="88" t="str">
        <f>VLOOKUP($B1493,[1]DG!A:D,[1]DG!$D$2,)</f>
        <v>bộ</v>
      </c>
      <c r="H1493" s="145"/>
      <c r="I1493" s="91">
        <f t="shared" si="65"/>
        <v>0</v>
      </c>
      <c r="J1493" s="92"/>
      <c r="K1493" s="92"/>
      <c r="L1493" s="117"/>
      <c r="M1493" s="56">
        <v>320</v>
      </c>
    </row>
    <row r="1494" spans="1:13" s="51" customFormat="1" ht="25.2" hidden="1" customHeight="1">
      <c r="A1494" s="68">
        <f t="shared" si="63"/>
        <v>0</v>
      </c>
      <c r="B1494" s="69" t="s">
        <v>363</v>
      </c>
      <c r="C1494" s="69"/>
      <c r="D1494" s="111"/>
      <c r="E1494" s="88" t="str">
        <f>VLOOKUP($B1494,[1]DG!A:D,[1]DG!$B$2,)</f>
        <v>05.6044</v>
      </c>
      <c r="F1494" s="89" t="str">
        <f>VLOOKUP($B1494,[1]DG!A:D,[1]DG!$C$2,)</f>
        <v>Lắp xà cột Pi loại ≤140kg/xà</v>
      </c>
      <c r="G1494" s="88" t="str">
        <f>VLOOKUP($B1494,[1]DG!A:D,[1]DG!$D$2,)</f>
        <v>bộ</v>
      </c>
      <c r="H1494" s="145">
        <v>1</v>
      </c>
      <c r="I1494" s="91">
        <f t="shared" si="65"/>
        <v>0</v>
      </c>
      <c r="J1494" s="92"/>
      <c r="K1494" s="92"/>
      <c r="L1494" s="117"/>
      <c r="M1494" s="56">
        <v>320</v>
      </c>
    </row>
    <row r="1495" spans="1:13" s="51" customFormat="1" ht="25.2" hidden="1" customHeight="1">
      <c r="A1495" s="68">
        <f t="shared" si="63"/>
        <v>0</v>
      </c>
      <c r="B1495" s="69"/>
      <c r="C1495" s="69"/>
      <c r="D1495" s="220">
        <f>IF(H1495&gt;0,D1488+1,D1488)</f>
        <v>0</v>
      </c>
      <c r="E1495" s="238"/>
      <c r="F1495" s="329" t="s">
        <v>467</v>
      </c>
      <c r="G1495" s="220" t="s">
        <v>67</v>
      </c>
      <c r="H1495" s="240">
        <f>H1450</f>
        <v>0</v>
      </c>
      <c r="I1495" s="91">
        <f t="shared" si="65"/>
        <v>0</v>
      </c>
      <c r="J1495" s="95"/>
      <c r="K1495" s="95"/>
      <c r="L1495" s="117"/>
      <c r="M1495" s="56">
        <v>320</v>
      </c>
    </row>
    <row r="1496" spans="1:13" s="51" customFormat="1" ht="25.2" hidden="1" customHeight="1">
      <c r="A1496" s="68">
        <f>IF(A1495&gt;0,1,0)</f>
        <v>0</v>
      </c>
      <c r="B1496" s="69"/>
      <c r="C1496" s="69"/>
      <c r="D1496" s="111"/>
      <c r="E1496" s="242"/>
      <c r="F1496" s="243" t="s">
        <v>68</v>
      </c>
      <c r="G1496" s="87"/>
      <c r="H1496" s="145"/>
      <c r="I1496" s="91">
        <f t="shared" si="65"/>
        <v>0</v>
      </c>
      <c r="J1496" s="95"/>
      <c r="K1496" s="95"/>
      <c r="L1496" s="117"/>
      <c r="M1496" s="56">
        <v>320</v>
      </c>
    </row>
    <row r="1497" spans="1:13" s="51" customFormat="1" ht="25.2" hidden="1" customHeight="1">
      <c r="A1497" s="68">
        <f t="shared" si="63"/>
        <v>0</v>
      </c>
      <c r="B1497" s="144" t="s">
        <v>221</v>
      </c>
      <c r="C1497" s="144"/>
      <c r="D1497" s="111"/>
      <c r="E1497" s="88">
        <f>VLOOKUP($B1497,[1]DG!A:D,[1]DG!$B$2,)</f>
        <v>0</v>
      </c>
      <c r="F1497" s="89" t="str">
        <f>VLOOKUP($B1497,[1]DG!A:D,[1]DG!$C$2,)</f>
        <v>Xà composite 110x800x5</v>
      </c>
      <c r="G1497" s="88" t="str">
        <f>VLOOKUP($B1497,[1]DG!A:D,[1]DG!$D$2,)</f>
        <v>cái</v>
      </c>
      <c r="H1497" s="145">
        <v>1</v>
      </c>
      <c r="I1497" s="91">
        <f t="shared" si="65"/>
        <v>0</v>
      </c>
      <c r="J1497" s="92"/>
      <c r="K1497" s="92"/>
      <c r="L1497" s="117"/>
      <c r="M1497" s="56">
        <v>320</v>
      </c>
    </row>
    <row r="1498" spans="1:13" s="51" customFormat="1" ht="25.2" hidden="1" customHeight="1">
      <c r="A1498" s="68">
        <f t="shared" si="63"/>
        <v>0</v>
      </c>
      <c r="B1498" s="69" t="s">
        <v>237</v>
      </c>
      <c r="C1498" s="69"/>
      <c r="D1498" s="111"/>
      <c r="E1498" s="88">
        <f>VLOOKUP($B1498,[1]DG!A:D,[1]DG!$B$2,)</f>
        <v>0</v>
      </c>
      <c r="F1498" s="89" t="str">
        <f>VLOOKUP($B1498,[1]DG!A:D,[1]DG!$C$2,)</f>
        <v>Boulon 16x250+ 2 long đền vuông D18-50x50x3/Zn</v>
      </c>
      <c r="G1498" s="88" t="str">
        <f>VLOOKUP($B1498,[1]DG!A:D,[1]DG!$D$2,)</f>
        <v>bộ</v>
      </c>
      <c r="H1498" s="145"/>
      <c r="I1498" s="91">
        <f t="shared" si="65"/>
        <v>0</v>
      </c>
      <c r="J1498" s="92"/>
      <c r="K1498" s="92"/>
      <c r="L1498" s="117"/>
      <c r="M1498" s="56">
        <v>320</v>
      </c>
    </row>
    <row r="1499" spans="1:13" s="51" customFormat="1" ht="25.2" hidden="1" customHeight="1">
      <c r="A1499" s="68">
        <f t="shared" si="63"/>
        <v>0</v>
      </c>
      <c r="B1499" s="69" t="s">
        <v>65</v>
      </c>
      <c r="C1499" s="69"/>
      <c r="D1499" s="111"/>
      <c r="E1499" s="88">
        <f>VLOOKUP($B1499,[1]DG!A:D,[1]DG!$B$2,)</f>
        <v>0</v>
      </c>
      <c r="F1499" s="89" t="str">
        <f>VLOOKUP($B1499,[1]DG!A:D,[1]DG!$C$2,)</f>
        <v>Boulon 16x300+ 2 long đền vuông D18-50x50x3/Zn</v>
      </c>
      <c r="G1499" s="88" t="str">
        <f>VLOOKUP($B1499,[1]DG!A:D,[1]DG!$D$2,)</f>
        <v>bộ</v>
      </c>
      <c r="H1499" s="145">
        <v>2</v>
      </c>
      <c r="I1499" s="91">
        <f t="shared" si="65"/>
        <v>0</v>
      </c>
      <c r="J1499" s="92"/>
      <c r="K1499" s="92"/>
      <c r="L1499" s="117"/>
      <c r="M1499" s="56">
        <v>320</v>
      </c>
    </row>
    <row r="1500" spans="1:13" s="51" customFormat="1" ht="25.2" hidden="1" customHeight="1">
      <c r="A1500" s="68">
        <f t="shared" si="63"/>
        <v>0</v>
      </c>
      <c r="B1500" s="69" t="s">
        <v>370</v>
      </c>
      <c r="C1500" s="69"/>
      <c r="D1500" s="111"/>
      <c r="E1500" s="88">
        <f>VLOOKUP($B1500,[1]DG!A:D,[1]DG!$B$2,)</f>
        <v>0</v>
      </c>
      <c r="F1500" s="89" t="str">
        <f>VLOOKUP($B1500,[1]DG!A:D,[1]DG!$C$2,)</f>
        <v>Bass LI bắt FCO</v>
      </c>
      <c r="G1500" s="88" t="str">
        <f>VLOOKUP($B1500,[1]DG!A:D,[1]DG!$D$2,)</f>
        <v>Bộ</v>
      </c>
      <c r="H1500" s="145">
        <f>H1451</f>
        <v>0</v>
      </c>
      <c r="I1500" s="91">
        <f t="shared" si="65"/>
        <v>0</v>
      </c>
      <c r="J1500" s="92"/>
      <c r="K1500" s="92"/>
      <c r="L1500" s="117"/>
      <c r="M1500" s="56">
        <v>320</v>
      </c>
    </row>
    <row r="1501" spans="1:13" s="51" customFormat="1" ht="25.2" hidden="1" customHeight="1">
      <c r="A1501" s="68">
        <f t="shared" si="63"/>
        <v>0</v>
      </c>
      <c r="B1501" s="69" t="s">
        <v>363</v>
      </c>
      <c r="C1501" s="69"/>
      <c r="D1501" s="111"/>
      <c r="E1501" s="88" t="str">
        <f>VLOOKUP($B1501,[1]DG!A:D,[1]DG!$B$2,)</f>
        <v>05.6044</v>
      </c>
      <c r="F1501" s="89" t="str">
        <f>VLOOKUP($B1501,[1]DG!A:D,[1]DG!$C$2,)</f>
        <v>Lắp xà cột Pi loại ≤140kg/xà</v>
      </c>
      <c r="G1501" s="88" t="str">
        <f>VLOOKUP($B1501,[1]DG!A:D,[1]DG!$D$2,)</f>
        <v>bộ</v>
      </c>
      <c r="H1501" s="145">
        <f>H1450</f>
        <v>0</v>
      </c>
      <c r="I1501" s="91">
        <f t="shared" si="65"/>
        <v>0</v>
      </c>
      <c r="J1501" s="360"/>
      <c r="K1501" s="92"/>
      <c r="L1501" s="117"/>
      <c r="M1501" s="56">
        <v>320</v>
      </c>
    </row>
    <row r="1502" spans="1:13" s="51" customFormat="1" ht="25.2" hidden="1" customHeight="1">
      <c r="A1502" s="68">
        <f t="shared" si="63"/>
        <v>0</v>
      </c>
      <c r="B1502" s="69"/>
      <c r="C1502" s="69"/>
      <c r="D1502" s="220">
        <f>IF(H1502&gt;0,D1495+1,D1495)</f>
        <v>0</v>
      </c>
      <c r="E1502" s="238"/>
      <c r="F1502" s="329" t="s">
        <v>373</v>
      </c>
      <c r="G1502" s="220" t="s">
        <v>67</v>
      </c>
      <c r="H1502" s="240">
        <f>H1450*2</f>
        <v>0</v>
      </c>
      <c r="I1502" s="91">
        <f t="shared" si="65"/>
        <v>0</v>
      </c>
      <c r="J1502" s="95"/>
      <c r="K1502" s="95"/>
      <c r="L1502" s="117"/>
      <c r="M1502" s="56">
        <v>320</v>
      </c>
    </row>
    <row r="1503" spans="1:13" s="51" customFormat="1" ht="25.2" hidden="1" customHeight="1">
      <c r="A1503" s="68">
        <f>IF(A1502&gt;0,1,0)</f>
        <v>0</v>
      </c>
      <c r="B1503" s="69"/>
      <c r="C1503" s="69"/>
      <c r="D1503" s="111"/>
      <c r="E1503" s="242"/>
      <c r="F1503" s="243" t="s">
        <v>68</v>
      </c>
      <c r="G1503" s="87"/>
      <c r="H1503" s="145"/>
      <c r="I1503" s="91">
        <f t="shared" si="65"/>
        <v>0</v>
      </c>
      <c r="J1503" s="95"/>
      <c r="K1503" s="95"/>
      <c r="L1503" s="117"/>
      <c r="M1503" s="56">
        <v>320</v>
      </c>
    </row>
    <row r="1504" spans="1:13" s="51" customFormat="1" ht="25.2" hidden="1" customHeight="1">
      <c r="A1504" s="68">
        <f t="shared" ref="A1504:A1566" si="66">IF(I1504&gt;0,1,0)</f>
        <v>0</v>
      </c>
      <c r="B1504" s="69" t="s">
        <v>367</v>
      </c>
      <c r="C1504" s="69"/>
      <c r="D1504" s="111"/>
      <c r="E1504" s="88">
        <f>VLOOKUP($B1504,[1]DG!A:D,[1]DG!$B$2,)</f>
        <v>0</v>
      </c>
      <c r="F1504" s="89" t="str">
        <f>VLOOKUP($B1504,[1]DG!A:D,[1]DG!$C$2,)</f>
        <v>Sắt góc L75 x75 x8</v>
      </c>
      <c r="G1504" s="88" t="str">
        <f>VLOOKUP($B1504,[1]DG!A:D,[1]DG!$D$2,)</f>
        <v>kg</v>
      </c>
      <c r="H1504" s="145">
        <v>2</v>
      </c>
      <c r="I1504" s="91">
        <f t="shared" si="65"/>
        <v>0</v>
      </c>
      <c r="J1504" s="92"/>
      <c r="K1504" s="92"/>
      <c r="L1504" s="117"/>
      <c r="M1504" s="56">
        <v>320</v>
      </c>
    </row>
    <row r="1505" spans="1:13" s="51" customFormat="1" ht="25.2" hidden="1" customHeight="1">
      <c r="A1505" s="68">
        <f t="shared" si="66"/>
        <v>0</v>
      </c>
      <c r="B1505" s="69" t="s">
        <v>265</v>
      </c>
      <c r="C1505" s="69"/>
      <c r="D1505" s="111"/>
      <c r="E1505" s="88">
        <f>VLOOKUP($B1505,[1]DG!A:D,[1]DG!$B$2,)</f>
        <v>0</v>
      </c>
      <c r="F1505" s="89" t="str">
        <f>VLOOKUP($B1505,[1]DG!A:D,[1]DG!$C$2,)</f>
        <v>Boulon 16x400+ 2 long đền vuông D18-50x50x3/Zn</v>
      </c>
      <c r="G1505" s="88" t="str">
        <f>VLOOKUP($B1505,[1]DG!A:D,[1]DG!$D$2,)</f>
        <v>bộ</v>
      </c>
      <c r="H1505" s="145">
        <f>H1502*2</f>
        <v>0</v>
      </c>
      <c r="I1505" s="91">
        <f t="shared" si="65"/>
        <v>0</v>
      </c>
      <c r="J1505" s="92"/>
      <c r="K1505" s="92"/>
      <c r="L1505" s="117"/>
      <c r="M1505" s="56">
        <v>320</v>
      </c>
    </row>
    <row r="1506" spans="1:13" s="51" customFormat="1" ht="25.2" hidden="1" customHeight="1">
      <c r="A1506" s="68">
        <f t="shared" si="66"/>
        <v>0</v>
      </c>
      <c r="B1506" s="69" t="s">
        <v>131</v>
      </c>
      <c r="C1506" s="69"/>
      <c r="D1506" s="111"/>
      <c r="E1506" s="88">
        <f>VLOOKUP($B1506,[1]DG!A:D,[1]DG!$B$2,)</f>
        <v>0</v>
      </c>
      <c r="F1506" s="89" t="str">
        <f>VLOOKUP($B1506,[1]DG!A:D,[1]DG!$C$2,)</f>
        <v>Boulon 12x40+ 2 long đền vuông D14-50x50x3/Zn</v>
      </c>
      <c r="G1506" s="88" t="str">
        <f>VLOOKUP($B1506,[1]DG!A:D,[1]DG!$D$2,)</f>
        <v>bộ</v>
      </c>
      <c r="H1506" s="145">
        <f>H1502*2</f>
        <v>0</v>
      </c>
      <c r="I1506" s="91">
        <f t="shared" si="65"/>
        <v>0</v>
      </c>
      <c r="J1506" s="92"/>
      <c r="K1506" s="92"/>
      <c r="L1506" s="117"/>
      <c r="M1506" s="56">
        <v>320</v>
      </c>
    </row>
    <row r="1507" spans="1:13" s="51" customFormat="1" ht="25.2" hidden="1" customHeight="1">
      <c r="A1507" s="68">
        <f t="shared" si="66"/>
        <v>0</v>
      </c>
      <c r="B1507" s="69" t="s">
        <v>363</v>
      </c>
      <c r="C1507" s="69"/>
      <c r="D1507" s="111"/>
      <c r="E1507" s="88" t="str">
        <f>VLOOKUP($B1507,[1]DG!A:D,[1]DG!$B$2,)</f>
        <v>05.6044</v>
      </c>
      <c r="F1507" s="89" t="str">
        <f>VLOOKUP($B1507,[1]DG!A:D,[1]DG!$C$2,)</f>
        <v>Lắp xà cột Pi loại ≤140kg/xà</v>
      </c>
      <c r="G1507" s="88" t="str">
        <f>VLOOKUP($B1507,[1]DG!A:D,[1]DG!$D$2,)</f>
        <v>bộ</v>
      </c>
      <c r="H1507" s="145">
        <f>H1502/2</f>
        <v>0</v>
      </c>
      <c r="I1507" s="91">
        <f t="shared" si="65"/>
        <v>0</v>
      </c>
      <c r="J1507" s="360"/>
      <c r="K1507" s="92"/>
      <c r="L1507" s="117"/>
      <c r="M1507" s="56">
        <v>320</v>
      </c>
    </row>
    <row r="1508" spans="1:13" s="51" customFormat="1" ht="25.2" hidden="1" customHeight="1">
      <c r="A1508" s="68">
        <f t="shared" si="66"/>
        <v>0</v>
      </c>
      <c r="B1508" s="69" t="s">
        <v>374</v>
      </c>
      <c r="C1508" s="69"/>
      <c r="D1508" s="111"/>
      <c r="E1508" s="88" t="str">
        <f>VLOOKUP($B1508,[1]DG!A:D,[1]DG!$B$2,)</f>
        <v>02.1115</v>
      </c>
      <c r="F1508" s="89" t="str">
        <f>VLOOKUP($B1508,[1]DG!A:D,[1]DG!$C$2,)</f>
        <v>Bốc dỡ xà, thép thanh</v>
      </c>
      <c r="G1508" s="88" t="str">
        <f>VLOOKUP($B1508,[1]DG!A:D,[1]DG!$D$2,)</f>
        <v>tấn</v>
      </c>
      <c r="H1508" s="145">
        <f>0.05*0</f>
        <v>0</v>
      </c>
      <c r="I1508" s="91">
        <f t="shared" si="65"/>
        <v>0</v>
      </c>
      <c r="J1508" s="92"/>
      <c r="K1508" s="92"/>
      <c r="L1508" s="117"/>
      <c r="M1508" s="56">
        <v>320</v>
      </c>
    </row>
    <row r="1509" spans="1:13" s="51" customFormat="1" ht="25.2" hidden="1" customHeight="1">
      <c r="A1509" s="68">
        <f t="shared" si="66"/>
        <v>0</v>
      </c>
      <c r="B1509" s="69" t="s">
        <v>65</v>
      </c>
      <c r="C1509" s="69"/>
      <c r="D1509" s="111"/>
      <c r="E1509" s="88">
        <f>VLOOKUP($B1509,[1]DG!A:D,[1]DG!$B$2,)</f>
        <v>0</v>
      </c>
      <c r="F1509" s="89" t="str">
        <f>VLOOKUP($B1509,[1]DG!A:D,[1]DG!$C$2,)</f>
        <v>Boulon 16x300+ 2 long đền vuông D18-50x50x3/Zn</v>
      </c>
      <c r="G1509" s="88" t="s">
        <v>375</v>
      </c>
      <c r="H1509" s="145">
        <f>H1502*2*0</f>
        <v>0</v>
      </c>
      <c r="I1509" s="91">
        <f t="shared" si="65"/>
        <v>0</v>
      </c>
      <c r="J1509" s="92"/>
      <c r="K1509" s="92"/>
      <c r="L1509" s="117"/>
      <c r="M1509" s="56">
        <v>320</v>
      </c>
    </row>
    <row r="1510" spans="1:13" s="51" customFormat="1" ht="25.2" hidden="1" customHeight="1">
      <c r="A1510" s="68">
        <f t="shared" si="66"/>
        <v>0</v>
      </c>
      <c r="B1510" s="69" t="s">
        <v>237</v>
      </c>
      <c r="C1510" s="69"/>
      <c r="D1510" s="111"/>
      <c r="E1510" s="88">
        <f>VLOOKUP($B1510,[1]DG!A:D,[1]DG!$B$2,)</f>
        <v>0</v>
      </c>
      <c r="F1510" s="89" t="str">
        <f>VLOOKUP($B1510,[1]DG!A:D,[1]DG!$C$2,)</f>
        <v>Boulon 16x250+ 2 long đền vuông D18-50x50x3/Zn</v>
      </c>
      <c r="G1510" s="88" t="s">
        <v>375</v>
      </c>
      <c r="H1510" s="145">
        <f>2*H1502*2*0</f>
        <v>0</v>
      </c>
      <c r="I1510" s="91">
        <f t="shared" si="65"/>
        <v>0</v>
      </c>
      <c r="J1510" s="92"/>
      <c r="K1510" s="92"/>
      <c r="L1510" s="117"/>
      <c r="M1510" s="56">
        <v>320</v>
      </c>
    </row>
    <row r="1511" spans="1:13" s="51" customFormat="1" ht="25.2" hidden="1" customHeight="1" collapsed="1">
      <c r="A1511" s="68">
        <f t="shared" si="66"/>
        <v>0</v>
      </c>
      <c r="B1511" s="69"/>
      <c r="C1511" s="69"/>
      <c r="D1511" s="220">
        <f>IF(H1511&gt;0,D1502+1,D1502)</f>
        <v>0</v>
      </c>
      <c r="E1511" s="238"/>
      <c r="F1511" s="329" t="s">
        <v>497</v>
      </c>
      <c r="G1511" s="220" t="s">
        <v>67</v>
      </c>
      <c r="H1511" s="240">
        <f>H1450*0</f>
        <v>0</v>
      </c>
      <c r="I1511" s="91">
        <f t="shared" si="65"/>
        <v>0</v>
      </c>
      <c r="J1511" s="146"/>
      <c r="K1511" s="146"/>
      <c r="L1511" s="96"/>
      <c r="M1511" s="56">
        <v>320</v>
      </c>
    </row>
    <row r="1512" spans="1:13" s="51" customFormat="1" ht="25.2" hidden="1" customHeight="1">
      <c r="A1512" s="68">
        <f>IF(A1511&gt;0,1,0)</f>
        <v>0</v>
      </c>
      <c r="B1512" s="69"/>
      <c r="C1512" s="69"/>
      <c r="D1512" s="111"/>
      <c r="E1512" s="242"/>
      <c r="F1512" s="243" t="s">
        <v>68</v>
      </c>
      <c r="G1512" s="87"/>
      <c r="H1512" s="145"/>
      <c r="I1512" s="91">
        <f t="shared" si="65"/>
        <v>0</v>
      </c>
      <c r="J1512" s="146"/>
      <c r="K1512" s="146"/>
      <c r="L1512" s="96"/>
      <c r="M1512" s="56">
        <v>320</v>
      </c>
    </row>
    <row r="1513" spans="1:13" s="51" customFormat="1" ht="25.2" hidden="1" customHeight="1">
      <c r="A1513" s="68">
        <f t="shared" si="66"/>
        <v>0</v>
      </c>
      <c r="B1513" s="69" t="s">
        <v>367</v>
      </c>
      <c r="C1513" s="69"/>
      <c r="D1513" s="111"/>
      <c r="E1513" s="88">
        <f>VLOOKUP($B1513,[1]DG!A:D,[1]DG!$B$2,)</f>
        <v>0</v>
      </c>
      <c r="F1513" s="89" t="str">
        <f>VLOOKUP($B1513,[1]DG!A:D,[1]DG!$C$2,)</f>
        <v>Sắt góc L75 x75 x8</v>
      </c>
      <c r="G1513" s="88" t="s">
        <v>377</v>
      </c>
      <c r="H1513" s="145">
        <f>H1511*9.02*(2.4+4*0.07)*2</f>
        <v>0</v>
      </c>
      <c r="I1513" s="91">
        <f t="shared" si="65"/>
        <v>0</v>
      </c>
      <c r="J1513" s="146"/>
      <c r="K1513" s="146"/>
      <c r="L1513" s="96"/>
      <c r="M1513" s="56">
        <v>320</v>
      </c>
    </row>
    <row r="1514" spans="1:13" s="51" customFormat="1" ht="25.2" hidden="1" customHeight="1">
      <c r="A1514" s="68">
        <f t="shared" si="66"/>
        <v>0</v>
      </c>
      <c r="B1514" s="69" t="s">
        <v>378</v>
      </c>
      <c r="C1514" s="69"/>
      <c r="D1514" s="111"/>
      <c r="E1514" s="88">
        <f>VLOOKUP($B1514,[1]DG!A:D,[1]DG!$B$2,)</f>
        <v>0</v>
      </c>
      <c r="F1514" s="89" t="str">
        <f>VLOOKUP($B1514,[1]DG!A:D,[1]DG!$C$2,)&amp;" (Thanh choáng 810)"</f>
        <v>Sắt góc L50 x50 x5 (Thanh choáng 810)</v>
      </c>
      <c r="G1514" s="88" t="s">
        <v>377</v>
      </c>
      <c r="H1514" s="145">
        <f>H1511*3.77*0.81*4</f>
        <v>0</v>
      </c>
      <c r="I1514" s="91">
        <f t="shared" si="65"/>
        <v>0</v>
      </c>
      <c r="J1514" s="146"/>
      <c r="K1514" s="146"/>
      <c r="L1514" s="96"/>
      <c r="M1514" s="56">
        <v>320</v>
      </c>
    </row>
    <row r="1515" spans="1:13" s="51" customFormat="1" ht="25.2" hidden="1" customHeight="1">
      <c r="A1515" s="68">
        <f t="shared" si="66"/>
        <v>0</v>
      </c>
      <c r="B1515" s="69" t="s">
        <v>65</v>
      </c>
      <c r="C1515" s="69"/>
      <c r="D1515" s="111"/>
      <c r="E1515" s="88">
        <f>VLOOKUP($B1515,[1]DG!A:D,[1]DG!$B$2,)</f>
        <v>0</v>
      </c>
      <c r="F1515" s="89" t="str">
        <f>VLOOKUP($B1515,[1]DG!A:D,[1]DG!$C$2,)</f>
        <v>Boulon 16x300+ 2 long đền vuông D18-50x50x3/Zn</v>
      </c>
      <c r="G1515" s="88" t="s">
        <v>375</v>
      </c>
      <c r="H1515" s="145">
        <f>H1511*2</f>
        <v>0</v>
      </c>
      <c r="I1515" s="91">
        <f t="shared" si="65"/>
        <v>0</v>
      </c>
      <c r="J1515" s="146"/>
      <c r="K1515" s="146"/>
      <c r="L1515" s="96"/>
      <c r="M1515" s="56">
        <v>320</v>
      </c>
    </row>
    <row r="1516" spans="1:13" s="51" customFormat="1" ht="25.2" hidden="1" customHeight="1">
      <c r="A1516" s="68">
        <f t="shared" si="66"/>
        <v>0</v>
      </c>
      <c r="B1516" s="69" t="s">
        <v>231</v>
      </c>
      <c r="C1516" s="69"/>
      <c r="D1516" s="111"/>
      <c r="E1516" s="88">
        <f>VLOOKUP($B1516,[1]DG!A:D,[1]DG!$B$2,)</f>
        <v>0</v>
      </c>
      <c r="F1516" s="89" t="str">
        <f>VLOOKUP($B1516,[1]DG!A:D,[1]DG!$C$2,)</f>
        <v>Boulon 16x50+ 2 long đền vuông D18-50x50x3/Zn</v>
      </c>
      <c r="G1516" s="88" t="s">
        <v>375</v>
      </c>
      <c r="H1516" s="145">
        <f>H1511*4</f>
        <v>0</v>
      </c>
      <c r="I1516" s="91">
        <f t="shared" si="65"/>
        <v>0</v>
      </c>
      <c r="J1516" s="146"/>
      <c r="K1516" s="146"/>
      <c r="L1516" s="96"/>
      <c r="M1516" s="56">
        <v>320</v>
      </c>
    </row>
    <row r="1517" spans="1:13" s="51" customFormat="1" ht="25.2" hidden="1" customHeight="1">
      <c r="A1517" s="68">
        <f t="shared" si="66"/>
        <v>0</v>
      </c>
      <c r="B1517" s="69" t="s">
        <v>368</v>
      </c>
      <c r="C1517" s="69"/>
      <c r="D1517" s="111"/>
      <c r="E1517" s="88">
        <f>VLOOKUP($B1517,[1]DG!A:D,[1]DG!$B$2,)</f>
        <v>0</v>
      </c>
      <c r="F1517" s="89" t="str">
        <f>VLOOKUP($B1517,[1]DG!A:D,[1]DG!$C$2,)</f>
        <v>Boulon 16x300VRS+ 4 long đền vuông D18-50x50x3/Zn</v>
      </c>
      <c r="G1517" s="88" t="s">
        <v>375</v>
      </c>
      <c r="H1517" s="145">
        <f>H1511*4</f>
        <v>0</v>
      </c>
      <c r="I1517" s="91">
        <f t="shared" si="65"/>
        <v>0</v>
      </c>
      <c r="J1517" s="146"/>
      <c r="K1517" s="146"/>
      <c r="L1517" s="96"/>
      <c r="M1517" s="56">
        <v>320</v>
      </c>
    </row>
    <row r="1518" spans="1:13" s="51" customFormat="1" ht="25.2" hidden="1" customHeight="1">
      <c r="A1518" s="68">
        <f t="shared" si="66"/>
        <v>0</v>
      </c>
      <c r="B1518" s="69" t="s">
        <v>379</v>
      </c>
      <c r="C1518" s="69"/>
      <c r="D1518" s="111"/>
      <c r="E1518" s="88" t="str">
        <f>VLOOKUP($B1518,[1]DG!A:D,[1]DG!$B$2,)</f>
        <v>05.6203</v>
      </c>
      <c r="F1518" s="89" t="str">
        <f>VLOOKUP($B1518,[1]DG!A:D,[1]DG!$C$2,)</f>
        <v>Lắp xà néo ≤ 100kg</v>
      </c>
      <c r="G1518" s="88" t="s">
        <v>375</v>
      </c>
      <c r="H1518" s="145">
        <f>H1511</f>
        <v>0</v>
      </c>
      <c r="I1518" s="91">
        <f t="shared" si="65"/>
        <v>0</v>
      </c>
      <c r="J1518" s="146"/>
      <c r="K1518" s="146"/>
      <c r="L1518" s="96"/>
      <c r="M1518" s="56">
        <v>320</v>
      </c>
    </row>
    <row r="1519" spans="1:13" s="51" customFormat="1" ht="25.2" hidden="1" customHeight="1">
      <c r="A1519" s="68">
        <f t="shared" si="66"/>
        <v>0</v>
      </c>
      <c r="B1519" s="69"/>
      <c r="C1519" s="69"/>
      <c r="D1519" s="220">
        <f>IF(H1519&gt;0,D1511+1,D1511)</f>
        <v>0</v>
      </c>
      <c r="E1519" s="238"/>
      <c r="F1519" s="329" t="s">
        <v>498</v>
      </c>
      <c r="G1519" s="220" t="s">
        <v>67</v>
      </c>
      <c r="H1519" s="240">
        <f>H1450*0</f>
        <v>0</v>
      </c>
      <c r="I1519" s="91">
        <f t="shared" si="65"/>
        <v>0</v>
      </c>
      <c r="J1519" s="146"/>
      <c r="K1519" s="146"/>
      <c r="L1519" s="96"/>
      <c r="M1519" s="56">
        <v>320</v>
      </c>
    </row>
    <row r="1520" spans="1:13" s="51" customFormat="1" ht="25.2" hidden="1" customHeight="1">
      <c r="A1520" s="68">
        <f>IF(A1519&gt;0,1,0)</f>
        <v>0</v>
      </c>
      <c r="B1520" s="69"/>
      <c r="C1520" s="69"/>
      <c r="D1520" s="111"/>
      <c r="E1520" s="242"/>
      <c r="F1520" s="243" t="s">
        <v>68</v>
      </c>
      <c r="G1520" s="87"/>
      <c r="H1520" s="145"/>
      <c r="I1520" s="91">
        <f t="shared" si="65"/>
        <v>0</v>
      </c>
      <c r="J1520" s="146"/>
      <c r="K1520" s="146"/>
      <c r="L1520" s="96"/>
      <c r="M1520" s="56">
        <v>320</v>
      </c>
    </row>
    <row r="1521" spans="1:13" s="51" customFormat="1" ht="25.2" hidden="1" customHeight="1">
      <c r="A1521" s="68">
        <f t="shared" si="66"/>
        <v>0</v>
      </c>
      <c r="B1521" s="69" t="s">
        <v>367</v>
      </c>
      <c r="C1521" s="69"/>
      <c r="D1521" s="111"/>
      <c r="E1521" s="88">
        <f>VLOOKUP($B1521,[1]DG!A:D,[1]DG!$B$2,)</f>
        <v>0</v>
      </c>
      <c r="F1521" s="89" t="str">
        <f>VLOOKUP($B1521,[1]DG!A:D,[1]DG!$C$2,)</f>
        <v>Sắt góc L75 x75 x8</v>
      </c>
      <c r="G1521" s="88" t="s">
        <v>377</v>
      </c>
      <c r="H1521" s="145">
        <f>H1519*9.42*(2.2+4*0.07)</f>
        <v>0</v>
      </c>
      <c r="I1521" s="91">
        <f t="shared" si="65"/>
        <v>0</v>
      </c>
      <c r="J1521" s="146"/>
      <c r="K1521" s="146"/>
      <c r="L1521" s="96"/>
      <c r="M1521" s="56">
        <v>320</v>
      </c>
    </row>
    <row r="1522" spans="1:13" s="51" customFormat="1" ht="25.2" hidden="1" customHeight="1">
      <c r="A1522" s="68">
        <f t="shared" si="66"/>
        <v>0</v>
      </c>
      <c r="B1522" s="69" t="s">
        <v>378</v>
      </c>
      <c r="C1522" s="69"/>
      <c r="D1522" s="111"/>
      <c r="E1522" s="88">
        <f>VLOOKUP($B1522,[1]DG!A:D,[1]DG!$B$2,)</f>
        <v>0</v>
      </c>
      <c r="F1522" s="89" t="str">
        <f>VLOOKUP($B1522,[1]DG!A:D,[1]DG!$C$2,)&amp;" (Thanh choáng 810)"</f>
        <v>Sắt góc L50 x50 x5 (Thanh choáng 810)</v>
      </c>
      <c r="G1522" s="88" t="s">
        <v>377</v>
      </c>
      <c r="H1522" s="145">
        <f>H1519*3.77*0.81*2</f>
        <v>0</v>
      </c>
      <c r="I1522" s="91">
        <f t="shared" si="65"/>
        <v>0</v>
      </c>
      <c r="J1522" s="146"/>
      <c r="K1522" s="146"/>
      <c r="L1522" s="96"/>
      <c r="M1522" s="56">
        <v>320</v>
      </c>
    </row>
    <row r="1523" spans="1:13" s="51" customFormat="1" ht="25.2" hidden="1" customHeight="1">
      <c r="A1523" s="68">
        <f t="shared" si="66"/>
        <v>0</v>
      </c>
      <c r="B1523" s="69" t="s">
        <v>123</v>
      </c>
      <c r="C1523" s="69"/>
      <c r="D1523" s="111"/>
      <c r="E1523" s="88">
        <f>VLOOKUP($B1523,[1]DG!A:D,[1]DG!$B$2,)</f>
        <v>0</v>
      </c>
      <c r="F1523" s="89" t="str">
        <f>VLOOKUP($B1523,[1]DG!A:D,[1]DG!$C$2,)</f>
        <v>Boulon 16x350+ 2 long đền vuông D18-50x50x3/Zn</v>
      </c>
      <c r="G1523" s="88" t="s">
        <v>375</v>
      </c>
      <c r="H1523" s="145">
        <f>H1519*2</f>
        <v>0</v>
      </c>
      <c r="I1523" s="91">
        <f t="shared" si="65"/>
        <v>0</v>
      </c>
      <c r="J1523" s="146"/>
      <c r="K1523" s="146"/>
      <c r="L1523" s="96"/>
      <c r="M1523" s="56">
        <v>320</v>
      </c>
    </row>
    <row r="1524" spans="1:13" s="51" customFormat="1" ht="25.2" hidden="1" customHeight="1">
      <c r="A1524" s="68">
        <f t="shared" si="66"/>
        <v>0</v>
      </c>
      <c r="B1524" s="69" t="s">
        <v>231</v>
      </c>
      <c r="C1524" s="69"/>
      <c r="D1524" s="111"/>
      <c r="E1524" s="88">
        <f>VLOOKUP($B1524,[1]DG!A:D,[1]DG!$B$2,)</f>
        <v>0</v>
      </c>
      <c r="F1524" s="89" t="str">
        <f>VLOOKUP($B1524,[1]DG!A:D,[1]DG!$C$2,)</f>
        <v>Boulon 16x50+ 2 long đền vuông D18-50x50x3/Zn</v>
      </c>
      <c r="G1524" s="88" t="s">
        <v>375</v>
      </c>
      <c r="H1524" s="145">
        <f>H1519*2</f>
        <v>0</v>
      </c>
      <c r="I1524" s="91">
        <f t="shared" si="65"/>
        <v>0</v>
      </c>
      <c r="J1524" s="146"/>
      <c r="K1524" s="146"/>
      <c r="L1524" s="96"/>
      <c r="M1524" s="56">
        <v>320</v>
      </c>
    </row>
    <row r="1525" spans="1:13" s="51" customFormat="1" ht="25.2" hidden="1" customHeight="1">
      <c r="A1525" s="68">
        <f t="shared" si="66"/>
        <v>0</v>
      </c>
      <c r="B1525" s="69" t="s">
        <v>381</v>
      </c>
      <c r="C1525" s="69"/>
      <c r="D1525" s="111"/>
      <c r="E1525" s="88">
        <f>VLOOKUP($B1525,[1]DG!A:D,[1]DG!$B$2,)</f>
        <v>0</v>
      </c>
      <c r="F1525" s="89" t="str">
        <f>VLOOKUP($B1525,[1]DG!A:D,[1]DG!$C$2,)</f>
        <v>Bass LI bắt FCO</v>
      </c>
      <c r="G1525" s="88" t="s">
        <v>375</v>
      </c>
      <c r="H1525" s="145">
        <f>IF(H1519&gt;0,3,)*0</f>
        <v>0</v>
      </c>
      <c r="I1525" s="91">
        <f t="shared" ref="I1525:I1588" si="67">IF(M1525=$M$23,H1525+J1525-K1525,0)</f>
        <v>0</v>
      </c>
      <c r="J1525" s="146"/>
      <c r="K1525" s="146"/>
      <c r="L1525" s="96"/>
      <c r="M1525" s="56">
        <v>320</v>
      </c>
    </row>
    <row r="1526" spans="1:13" s="51" customFormat="1" ht="25.2" hidden="1" customHeight="1">
      <c r="A1526" s="68">
        <f t="shared" si="66"/>
        <v>0</v>
      </c>
      <c r="B1526" s="69" t="s">
        <v>382</v>
      </c>
      <c r="C1526" s="69"/>
      <c r="D1526" s="111"/>
      <c r="E1526" s="88" t="str">
        <f>VLOOKUP($B1526,[1]DG!A:D,[1]DG!$B$2,)</f>
        <v>06.3231</v>
      </c>
      <c r="F1526" s="89" t="str">
        <f>VLOOKUP($B1526,[1]DG!A:D,[1]DG!$C$2,)</f>
        <v xml:space="preserve">Cổ dê chống lắc 8x80x800 </v>
      </c>
      <c r="G1526" s="88" t="s">
        <v>375</v>
      </c>
      <c r="H1526" s="145">
        <f>H1519*0</f>
        <v>0</v>
      </c>
      <c r="I1526" s="91">
        <f t="shared" si="67"/>
        <v>0</v>
      </c>
      <c r="J1526" s="146"/>
      <c r="K1526" s="146"/>
      <c r="L1526" s="96"/>
      <c r="M1526" s="56">
        <v>320</v>
      </c>
    </row>
    <row r="1527" spans="1:13" s="51" customFormat="1" ht="25.2" hidden="1" customHeight="1">
      <c r="A1527" s="68">
        <f t="shared" si="66"/>
        <v>0</v>
      </c>
      <c r="B1527" s="69" t="s">
        <v>383</v>
      </c>
      <c r="C1527" s="69"/>
      <c r="D1527" s="111"/>
      <c r="E1527" s="88" t="str">
        <f>VLOOKUP($B1527,[1]DG!A:D,[1]DG!$B$2,)</f>
        <v>05.6102</v>
      </c>
      <c r="F1527" s="89" t="str">
        <f>VLOOKUP($B1527,[1]DG!A:D,[1]DG!$C$2,)</f>
        <v>Lắp xà đỡ ≤ 50kg</v>
      </c>
      <c r="G1527" s="88" t="s">
        <v>375</v>
      </c>
      <c r="H1527" s="145">
        <f>H1519</f>
        <v>0</v>
      </c>
      <c r="I1527" s="91">
        <f t="shared" si="67"/>
        <v>0</v>
      </c>
      <c r="J1527" s="146"/>
      <c r="K1527" s="146"/>
      <c r="L1527" s="96"/>
      <c r="M1527" s="56">
        <v>320</v>
      </c>
    </row>
    <row r="1528" spans="1:13" s="51" customFormat="1" ht="25.2" hidden="1" customHeight="1">
      <c r="A1528" s="68">
        <f t="shared" si="66"/>
        <v>0</v>
      </c>
      <c r="B1528" s="69"/>
      <c r="C1528" s="69"/>
      <c r="D1528" s="220">
        <f>IF(H1528&gt;0,D1519+1,D1519)</f>
        <v>0</v>
      </c>
      <c r="E1528" s="238"/>
      <c r="F1528" s="329" t="s">
        <v>384</v>
      </c>
      <c r="G1528" s="220" t="s">
        <v>67</v>
      </c>
      <c r="H1528" s="240">
        <f>H1450</f>
        <v>0</v>
      </c>
      <c r="I1528" s="91">
        <f t="shared" si="67"/>
        <v>0</v>
      </c>
      <c r="J1528" s="146"/>
      <c r="K1528" s="146"/>
      <c r="L1528" s="96"/>
      <c r="M1528" s="56">
        <v>320</v>
      </c>
    </row>
    <row r="1529" spans="1:13" s="51" customFormat="1" ht="25.2" hidden="1" customHeight="1">
      <c r="A1529" s="68">
        <f>IF(A1528&gt;0,1,0)</f>
        <v>0</v>
      </c>
      <c r="B1529" s="330"/>
      <c r="C1529" s="330"/>
      <c r="D1529" s="111"/>
      <c r="E1529" s="242"/>
      <c r="F1529" s="243" t="s">
        <v>68</v>
      </c>
      <c r="G1529" s="87"/>
      <c r="H1529" s="145"/>
      <c r="I1529" s="91">
        <f t="shared" si="67"/>
        <v>0</v>
      </c>
      <c r="J1529" s="146"/>
      <c r="K1529" s="146"/>
      <c r="L1529" s="96"/>
      <c r="M1529" s="56">
        <v>320</v>
      </c>
    </row>
    <row r="1530" spans="1:13" s="51" customFormat="1" ht="25.2" hidden="1" customHeight="1">
      <c r="A1530" s="68">
        <f t="shared" si="66"/>
        <v>0</v>
      </c>
      <c r="B1530" s="69" t="s">
        <v>81</v>
      </c>
      <c r="C1530" s="69"/>
      <c r="D1530" s="111"/>
      <c r="E1530" s="88">
        <f>VLOOKUP($B1530,[1]DG!A:D,[1]DG!$B$2,)</f>
        <v>0</v>
      </c>
      <c r="F1530" s="89" t="str">
        <f>VLOOKUP($B1530,[1]DG!A:D,[1]DG!$C$2,)</f>
        <v>Cáp đồng trần M25mm2</v>
      </c>
      <c r="G1530" s="88" t="str">
        <f>VLOOKUP($B1530,[1]DG!A:D,[1]DG!$D$2,)</f>
        <v>kg</v>
      </c>
      <c r="H1530" s="361">
        <f>54*0.224*H1528</f>
        <v>0</v>
      </c>
      <c r="I1530" s="91">
        <f t="shared" si="67"/>
        <v>0</v>
      </c>
      <c r="J1530" s="146"/>
      <c r="K1530" s="146"/>
      <c r="L1530" s="96"/>
      <c r="M1530" s="56">
        <v>320</v>
      </c>
    </row>
    <row r="1531" spans="1:13" s="51" customFormat="1" ht="25.2" hidden="1" customHeight="1">
      <c r="A1531" s="68">
        <f t="shared" si="66"/>
        <v>0</v>
      </c>
      <c r="B1531" s="69" t="s">
        <v>81</v>
      </c>
      <c r="C1531" s="69"/>
      <c r="D1531" s="111"/>
      <c r="E1531" s="88">
        <f>VLOOKUP($B1531,[1]DG!A:D,[1]DG!$B$2,)</f>
        <v>0</v>
      </c>
      <c r="F1531" s="89" t="str">
        <f>VLOOKUP($B1531,[1]DG!A:D,[1]DG!$C$2,)</f>
        <v>Cáp đồng trần M25mm2</v>
      </c>
      <c r="G1531" s="88" t="str">
        <f>VLOOKUP($B1531,[1]DG!A:D,[1]DG!$D$2,)</f>
        <v>kg</v>
      </c>
      <c r="H1531" s="145">
        <f>17*0.224*H1528*0</f>
        <v>0</v>
      </c>
      <c r="I1531" s="91">
        <f t="shared" si="67"/>
        <v>0</v>
      </c>
      <c r="J1531" s="146"/>
      <c r="K1531" s="146"/>
      <c r="L1531" s="96"/>
      <c r="M1531" s="56">
        <v>320</v>
      </c>
    </row>
    <row r="1532" spans="1:13" s="51" customFormat="1" ht="25.2" hidden="1" customHeight="1">
      <c r="A1532" s="68">
        <f t="shared" si="66"/>
        <v>0</v>
      </c>
      <c r="B1532" s="86" t="s">
        <v>82</v>
      </c>
      <c r="C1532" s="86"/>
      <c r="D1532" s="111"/>
      <c r="E1532" s="88">
        <f>VLOOKUP($B1532,[1]DG!A:D,[1]DG!$B$2,)</f>
        <v>0</v>
      </c>
      <c r="F1532" s="89" t="str">
        <f>VLOOKUP($B1532,[1]DG!A:D,[1]DG!$C$2,)</f>
        <v>Cọc tiếp đất Þ 16- 2,4m + kẹp cọc mạ đồng</v>
      </c>
      <c r="G1532" s="88" t="str">
        <f>VLOOKUP($B1532,[1]DG!A:D,[1]DG!$D$2,)</f>
        <v>bộ</v>
      </c>
      <c r="H1532" s="145">
        <f>I2</f>
        <v>10</v>
      </c>
      <c r="I1532" s="91">
        <f t="shared" si="67"/>
        <v>0</v>
      </c>
      <c r="J1532" s="146"/>
      <c r="K1532" s="146"/>
      <c r="L1532" s="96"/>
      <c r="M1532" s="56">
        <v>320</v>
      </c>
    </row>
    <row r="1533" spans="1:13" s="51" customFormat="1" ht="25.2" hidden="1" customHeight="1">
      <c r="A1533" s="68">
        <f t="shared" si="66"/>
        <v>0</v>
      </c>
      <c r="B1533" s="86" t="s">
        <v>83</v>
      </c>
      <c r="C1533" s="86"/>
      <c r="D1533" s="111"/>
      <c r="E1533" s="88" t="str">
        <f>VLOOKUP($B1533,[1]DG!A:D,[1]DG!$B$2,)</f>
        <v>07.2403</v>
      </c>
      <c r="F1533" s="89" t="str">
        <f>VLOOKUP($B1533,[1]DG!A:D,[1]DG!$C$2,)&amp;": 02 trụ"</f>
        <v>Ống PVC D21x1,6mm : 02 trụ</v>
      </c>
      <c r="G1533" s="88" t="str">
        <f>VLOOKUP($B1533,[1]DG!A:D,[1]DG!$D$2,)</f>
        <v>m</v>
      </c>
      <c r="H1533" s="145">
        <v>8</v>
      </c>
      <c r="I1533" s="91">
        <f t="shared" si="67"/>
        <v>0</v>
      </c>
      <c r="J1533" s="146"/>
      <c r="K1533" s="146"/>
      <c r="L1533" s="117"/>
      <c r="M1533" s="56">
        <v>320</v>
      </c>
    </row>
    <row r="1534" spans="1:13" s="51" customFormat="1" ht="25.2" hidden="1" customHeight="1">
      <c r="A1534" s="68">
        <f t="shared" si="66"/>
        <v>0</v>
      </c>
      <c r="B1534" s="69" t="s">
        <v>184</v>
      </c>
      <c r="C1534" s="69"/>
      <c r="D1534" s="111"/>
      <c r="E1534" s="88">
        <f>VLOOKUP($B1534,[1]DG!A:D,[1]DG!$B$2,)</f>
        <v>0</v>
      </c>
      <c r="F1534" s="89" t="str">
        <f>VLOOKUP($B1534,[1]DG!A:D,[1]DG!$C$2,)&amp; " bắt dây trung tính "</f>
        <v xml:space="preserve">Kẹp ép WR cỡ dây 50mm2 bắt dây trung tính </v>
      </c>
      <c r="G1534" s="88" t="str">
        <f>VLOOKUP($B1534,[1]DG!A:D,[1]DG!$D$2,)</f>
        <v>cái</v>
      </c>
      <c r="H1534" s="145">
        <f>2*H1528</f>
        <v>0</v>
      </c>
      <c r="I1534" s="91">
        <f t="shared" si="67"/>
        <v>0</v>
      </c>
      <c r="J1534" s="146"/>
      <c r="K1534" s="146"/>
      <c r="L1534" s="96"/>
      <c r="M1534" s="56">
        <v>320</v>
      </c>
    </row>
    <row r="1535" spans="1:13" s="51" customFormat="1" ht="25.2" hidden="1" customHeight="1">
      <c r="A1535" s="68">
        <f t="shared" si="66"/>
        <v>0</v>
      </c>
      <c r="B1535" s="69" t="s">
        <v>386</v>
      </c>
      <c r="C1535" s="69"/>
      <c r="D1535" s="331"/>
      <c r="E1535" s="88">
        <f>VLOOKUP($B1535,[1]DG!A:D,[1]DG!$B$2,)</f>
        <v>0</v>
      </c>
      <c r="F1535" s="89" t="str">
        <f>VLOOKUP($B1535,[1]DG!A:D,[1]DG!$C$2,)&amp;": bắt lưới tiếp địa"</f>
        <v>Kẹp ép cỡ dây 25mm2: bắt lưới tiếp địa</v>
      </c>
      <c r="G1535" s="88" t="str">
        <f>VLOOKUP($B1535,[1]DG!A:D,[1]DG!$D$2,)</f>
        <v>cái</v>
      </c>
      <c r="H1535" s="145">
        <f>H1528*12</f>
        <v>0</v>
      </c>
      <c r="I1535" s="91">
        <f t="shared" si="67"/>
        <v>0</v>
      </c>
      <c r="J1535" s="146"/>
      <c r="K1535" s="146"/>
      <c r="L1535" s="96"/>
      <c r="M1535" s="56">
        <v>320</v>
      </c>
    </row>
    <row r="1536" spans="1:13" s="51" customFormat="1" ht="25.2" hidden="1" customHeight="1">
      <c r="A1536" s="68">
        <f t="shared" si="66"/>
        <v>0</v>
      </c>
      <c r="B1536" s="86" t="s">
        <v>131</v>
      </c>
      <c r="C1536" s="86"/>
      <c r="D1536" s="111"/>
      <c r="E1536" s="88">
        <f>VLOOKUP($B1536,[1]DG!A:D,[1]DG!$B$2,)</f>
        <v>0</v>
      </c>
      <c r="F1536" s="89" t="str">
        <f>VLOOKUP($B1536,[1]DG!A:D,[1]DG!$C$2,)</f>
        <v>Boulon 12x40+ 2 long đền vuông D14-50x50x3/Zn</v>
      </c>
      <c r="G1536" s="88" t="str">
        <f>VLOOKUP($B1536,[1]DG!A:D,[1]DG!$D$2,)</f>
        <v>bộ</v>
      </c>
      <c r="H1536" s="145"/>
      <c r="I1536" s="91">
        <f t="shared" si="67"/>
        <v>0</v>
      </c>
      <c r="J1536" s="146"/>
      <c r="K1536" s="146"/>
      <c r="L1536" s="96"/>
      <c r="M1536" s="56">
        <v>320</v>
      </c>
    </row>
    <row r="1537" spans="1:13" s="51" customFormat="1" ht="25.2" hidden="1" customHeight="1">
      <c r="A1537" s="68">
        <f t="shared" si="66"/>
        <v>0</v>
      </c>
      <c r="B1537" s="86" t="s">
        <v>198</v>
      </c>
      <c r="C1537" s="86"/>
      <c r="D1537" s="111"/>
      <c r="E1537" s="88" t="str">
        <f>VLOOKUP($B1537,[1]DG!A:D,[1]DG!$B$2,)</f>
        <v>03.4001</v>
      </c>
      <c r="F1537" s="89" t="str">
        <f>VLOOKUP($B1537,[1]DG!A:D,[1]DG!$C$2,)</f>
        <v>Đầu cosse ép Cu 25mm2</v>
      </c>
      <c r="G1537" s="88" t="str">
        <f>VLOOKUP($B1537,[1]DG!A:D,[1]DG!$D$2,)</f>
        <v>cái</v>
      </c>
      <c r="H1537" s="145"/>
      <c r="I1537" s="91">
        <f t="shared" si="67"/>
        <v>0</v>
      </c>
      <c r="J1537" s="146"/>
      <c r="K1537" s="146"/>
      <c r="L1537" s="96"/>
      <c r="M1537" s="56">
        <v>320</v>
      </c>
    </row>
    <row r="1538" spans="1:13" s="51" customFormat="1" ht="25.2" hidden="1" customHeight="1">
      <c r="A1538" s="68">
        <f t="shared" si="66"/>
        <v>0</v>
      </c>
      <c r="B1538" s="86" t="s">
        <v>86</v>
      </c>
      <c r="C1538" s="86"/>
      <c r="D1538" s="111"/>
      <c r="E1538" s="88" t="str">
        <f>VLOOKUP($B1538,[1]DG!A:D,[1]DG!$B$2,)</f>
        <v>06.3231</v>
      </c>
      <c r="F1538" s="89" t="str">
        <f>VLOOKUP($B1538,[1]DG!A:D,[1]DG!$C$2,)&amp;": 02 bộ CD-250"</f>
        <v>Cổ dê kẹp ống PVC  21: 02 bộ CD-250</v>
      </c>
      <c r="G1538" s="88" t="str">
        <f>VLOOKUP($B1538,[1]DG!A:D,[1]DG!$D$2,)</f>
        <v>bộ</v>
      </c>
      <c r="H1538" s="145"/>
      <c r="I1538" s="91">
        <f t="shared" si="67"/>
        <v>0</v>
      </c>
      <c r="J1538" s="146"/>
      <c r="K1538" s="146"/>
      <c r="L1538" s="117"/>
      <c r="M1538" s="56">
        <v>320</v>
      </c>
    </row>
    <row r="1539" spans="1:13" s="51" customFormat="1" ht="25.2" hidden="1" customHeight="1">
      <c r="A1539" s="68">
        <f t="shared" si="66"/>
        <v>0</v>
      </c>
      <c r="B1539" s="86" t="s">
        <v>86</v>
      </c>
      <c r="C1539" s="86"/>
      <c r="D1539" s="111"/>
      <c r="E1539" s="88" t="str">
        <f>VLOOKUP($B1539,[1]DG!A:D,[1]DG!$B$2,)</f>
        <v>06.3231</v>
      </c>
      <c r="F1539" s="89" t="str">
        <f>VLOOKUP($B1539,[1]DG!A:D,[1]DG!$C$2,)&amp;": 02 bộ CD-280"</f>
        <v>Cổ dê kẹp ống PVC  21: 02 bộ CD-280</v>
      </c>
      <c r="G1539" s="88" t="str">
        <f>VLOOKUP($B1539,[1]DG!A:D,[1]DG!$D$2,)</f>
        <v>bộ</v>
      </c>
      <c r="H1539" s="145">
        <v>1</v>
      </c>
      <c r="I1539" s="91">
        <f t="shared" si="67"/>
        <v>0</v>
      </c>
      <c r="J1539" s="146"/>
      <c r="K1539" s="146"/>
      <c r="L1539" s="117"/>
      <c r="M1539" s="56">
        <v>320</v>
      </c>
    </row>
    <row r="1540" spans="1:13" s="51" customFormat="1" ht="25.2" hidden="1" customHeight="1">
      <c r="A1540" s="68">
        <f t="shared" si="66"/>
        <v>0</v>
      </c>
      <c r="B1540" s="86" t="s">
        <v>86</v>
      </c>
      <c r="C1540" s="86"/>
      <c r="D1540" s="111"/>
      <c r="E1540" s="88" t="str">
        <f>VLOOKUP($B1540,[1]DG!A:D,[1]DG!$B$2,)</f>
        <v>06.3231</v>
      </c>
      <c r="F1540" s="89" t="str">
        <f>VLOOKUP($B1540,[1]DG!A:D,[1]DG!$C$2,)&amp;": 02 bộ CD-320"</f>
        <v>Cổ dê kẹp ống PVC  21: 02 bộ CD-320</v>
      </c>
      <c r="G1540" s="88" t="str">
        <f>VLOOKUP($B1540,[1]DG!A:D,[1]DG!$D$2,)</f>
        <v>bộ</v>
      </c>
      <c r="H1540" s="145">
        <v>1</v>
      </c>
      <c r="I1540" s="91">
        <f t="shared" si="67"/>
        <v>0</v>
      </c>
      <c r="J1540" s="146"/>
      <c r="K1540" s="146"/>
      <c r="L1540" s="117"/>
      <c r="M1540" s="56">
        <v>320</v>
      </c>
    </row>
    <row r="1541" spans="1:13" s="51" customFormat="1" ht="25.2" hidden="1" customHeight="1">
      <c r="A1541" s="68">
        <f t="shared" si="66"/>
        <v>0</v>
      </c>
      <c r="B1541" s="86" t="s">
        <v>87</v>
      </c>
      <c r="C1541" s="86"/>
      <c r="D1541" s="111"/>
      <c r="E1541" s="88" t="str">
        <f>VLOOKUP($B1541,[1]DG!A:D,[1]DG!$B$2,)</f>
        <v>06.2110</v>
      </c>
      <c r="F1541" s="89" t="str">
        <f>VLOOKUP($B1541,[1]DG!A:D,[1]DG!$C$2,)&amp;": 06 bộ"</f>
        <v>Lắp cổ dề: 06 bộ</v>
      </c>
      <c r="G1541" s="88" t="str">
        <f>VLOOKUP($B1541,[1]DG!A:D,[1]DG!$D$2,)</f>
        <v>bộ</v>
      </c>
      <c r="H1541" s="145">
        <f>H1528*2</f>
        <v>0</v>
      </c>
      <c r="I1541" s="91">
        <f t="shared" si="67"/>
        <v>0</v>
      </c>
      <c r="J1541" s="146"/>
      <c r="K1541" s="146"/>
      <c r="L1541" s="117"/>
      <c r="M1541" s="56">
        <v>320</v>
      </c>
    </row>
    <row r="1542" spans="1:13" s="51" customFormat="1" ht="25.2" hidden="1" customHeight="1">
      <c r="A1542" s="68">
        <f t="shared" si="66"/>
        <v>0</v>
      </c>
      <c r="B1542" s="86" t="s">
        <v>131</v>
      </c>
      <c r="C1542" s="86"/>
      <c r="D1542" s="111"/>
      <c r="E1542" s="88">
        <f>VLOOKUP($B1542,[1]DG!A:D,[1]DG!$B$2,)</f>
        <v>0</v>
      </c>
      <c r="F1542" s="89" t="str">
        <f>VLOOKUP($B1542,[1]DG!A:D,[1]DG!$C$2,)</f>
        <v>Boulon 12x40+ 2 long đền vuông D14-50x50x3/Zn</v>
      </c>
      <c r="G1542" s="88" t="str">
        <f>VLOOKUP($B1542,[1]DG!A:D,[1]DG!$D$2,)</f>
        <v>bộ</v>
      </c>
      <c r="H1542" s="145"/>
      <c r="I1542" s="91">
        <f t="shared" si="67"/>
        <v>0</v>
      </c>
      <c r="J1542" s="146"/>
      <c r="K1542" s="146"/>
      <c r="L1542" s="117"/>
      <c r="M1542" s="56">
        <v>320</v>
      </c>
    </row>
    <row r="1543" spans="1:13" s="51" customFormat="1" ht="25.2" hidden="1" customHeight="1">
      <c r="A1543" s="68">
        <f t="shared" si="66"/>
        <v>0</v>
      </c>
      <c r="B1543" s="86" t="s">
        <v>485</v>
      </c>
      <c r="C1543" s="86"/>
      <c r="D1543" s="111"/>
      <c r="E1543" s="88">
        <f>VLOOKUP($B1543,[1]DG!A:D,[1]DG!$B$2,)</f>
        <v>0</v>
      </c>
      <c r="F1543" s="89" t="str">
        <f>VLOOKUP($B1543,[1]DG!A:D,[1]DG!$C$2,)</f>
        <v>Boulon 12x60+ 2 long đền vuông D14-50x50x3/Zn</v>
      </c>
      <c r="G1543" s="88" t="str">
        <f>VLOOKUP($B1543,[1]DG!A:D,[1]DG!$D$2,)</f>
        <v>bộ</v>
      </c>
      <c r="H1543" s="145"/>
      <c r="I1543" s="91">
        <f t="shared" si="67"/>
        <v>0</v>
      </c>
      <c r="J1543" s="146"/>
      <c r="K1543" s="146"/>
      <c r="L1543" s="117"/>
      <c r="M1543" s="56">
        <v>320</v>
      </c>
    </row>
    <row r="1544" spans="1:13" s="51" customFormat="1" ht="25.2" hidden="1" customHeight="1">
      <c r="A1544" s="68">
        <f t="shared" si="66"/>
        <v>0</v>
      </c>
      <c r="B1544" s="86" t="s">
        <v>290</v>
      </c>
      <c r="C1544" s="86"/>
      <c r="D1544" s="111"/>
      <c r="E1544" s="88">
        <f>VLOOKUP($B1544,[1]DG!A:D,[1]DG!$B$2,)</f>
        <v>0</v>
      </c>
      <c r="F1544" s="89" t="str">
        <f>VLOOKUP($B1544,[1]DG!A:D,[1]DG!$C$2,)</f>
        <v>Giếng tiếp địa khoan đất</v>
      </c>
      <c r="G1544" s="88" t="str">
        <f>VLOOKUP($B1544,[1]DG!A:D,[1]DG!$D$2,)</f>
        <v>Cái</v>
      </c>
      <c r="H1544" s="145">
        <f>M3*H1528</f>
        <v>0</v>
      </c>
      <c r="I1544" s="91">
        <f t="shared" si="67"/>
        <v>0</v>
      </c>
      <c r="J1544" s="146"/>
      <c r="K1544" s="146"/>
      <c r="L1544" s="96"/>
      <c r="M1544" s="56">
        <v>320</v>
      </c>
    </row>
    <row r="1545" spans="1:13" s="51" customFormat="1" ht="25.2" hidden="1" customHeight="1">
      <c r="A1545" s="68">
        <f t="shared" si="66"/>
        <v>0</v>
      </c>
      <c r="B1545" s="86" t="str">
        <f>"DTD"&amp;chitiet!G5</f>
        <v>DTD3</v>
      </c>
      <c r="C1545" s="86"/>
      <c r="D1545" s="87"/>
      <c r="E1545" s="88" t="str">
        <f>VLOOKUP($B1545,[1]DG!A:D,[1]DG!$B$2,)</f>
        <v>03.3123</v>
      </c>
      <c r="F1545" s="89" t="str">
        <f>VLOOKUP($B1545,[1]DG!A:D,[1]DG!$C$2,)</f>
        <v>Đào rãnh tiếp địa đất cấp 3</v>
      </c>
      <c r="G1545" s="88" t="str">
        <f>VLOOKUP($B1545,[1]DG!A:D,[1]DG!$D$2,)</f>
        <v>m3</v>
      </c>
      <c r="H1545" s="94">
        <f>0.3*0.2*36*H1528</f>
        <v>0</v>
      </c>
      <c r="I1545" s="91">
        <f t="shared" si="67"/>
        <v>0</v>
      </c>
      <c r="J1545" s="146"/>
      <c r="K1545" s="146"/>
      <c r="L1545" s="96"/>
      <c r="M1545" s="56">
        <v>320</v>
      </c>
    </row>
    <row r="1546" spans="1:13" s="51" customFormat="1" ht="25.2" hidden="1" customHeight="1">
      <c r="A1546" s="68">
        <f t="shared" si="66"/>
        <v>0</v>
      </c>
      <c r="B1546" s="86" t="str">
        <f>"DATD"&amp;chitiet!G5</f>
        <v>DATD3</v>
      </c>
      <c r="C1546" s="86"/>
      <c r="D1546" s="87"/>
      <c r="E1546" s="88" t="str">
        <f>VLOOKUP($B1546,[1]DG!A:D,[1]DG!$B$2,)</f>
        <v>03.4123</v>
      </c>
      <c r="F1546" s="89" t="str">
        <f>VLOOKUP($B1546,[1]DG!A:D,[1]DG!$C$2,)</f>
        <v>Đắp đất rãnh tiếp độ chặt k=0,85</v>
      </c>
      <c r="G1546" s="88" t="str">
        <f>VLOOKUP($B1546,[1]DG!A:D,[1]DG!$D$2,)</f>
        <v>m3</v>
      </c>
      <c r="H1546" s="94">
        <f>H1545</f>
        <v>0</v>
      </c>
      <c r="I1546" s="91">
        <f t="shared" si="67"/>
        <v>0</v>
      </c>
      <c r="J1546" s="146"/>
      <c r="K1546" s="146"/>
      <c r="L1546" s="96"/>
      <c r="M1546" s="56">
        <v>320</v>
      </c>
    </row>
    <row r="1547" spans="1:13" s="51" customFormat="1" ht="25.2" hidden="1" customHeight="1">
      <c r="A1547" s="68">
        <f t="shared" si="66"/>
        <v>0</v>
      </c>
      <c r="B1547" s="86" t="s">
        <v>89</v>
      </c>
      <c r="C1547" s="86"/>
      <c r="D1547" s="87"/>
      <c r="E1547" s="88" t="str">
        <f>VLOOKUP($B1547,[1]DG!A:D,[1]DG!$B$2,)</f>
        <v>04.7001</v>
      </c>
      <c r="F1547" s="89" t="str">
        <f>VLOOKUP($B1547,[1]DG!A:D,[1]DG!$C$2,)</f>
        <v>Đóng cọc tiếp địa trong TBA</v>
      </c>
      <c r="G1547" s="88" t="str">
        <f>VLOOKUP($B1547,[1]DG!A:D,[1]DG!$D$2,)</f>
        <v>cọc</v>
      </c>
      <c r="H1547" s="94">
        <f>H1532</f>
        <v>10</v>
      </c>
      <c r="I1547" s="91">
        <f t="shared" si="67"/>
        <v>0</v>
      </c>
      <c r="J1547" s="146"/>
      <c r="K1547" s="146"/>
      <c r="L1547" s="96"/>
      <c r="M1547" s="56">
        <v>320</v>
      </c>
    </row>
    <row r="1548" spans="1:13" s="51" customFormat="1" ht="25.2" hidden="1" customHeight="1">
      <c r="A1548" s="68">
        <f t="shared" si="66"/>
        <v>0</v>
      </c>
      <c r="B1548" s="86" t="s">
        <v>387</v>
      </c>
      <c r="C1548" s="86"/>
      <c r="D1548" s="111"/>
      <c r="E1548" s="88" t="str">
        <f>VLOOKUP($B1548,[1]DG!A:D,[1]DG!$B$2,)</f>
        <v>04.7002</v>
      </c>
      <c r="F1548" s="89" t="str">
        <f>VLOOKUP($B1548,[1]DG!A:D,[1]DG!$C$2,)</f>
        <v>Kéo dây tiếp địa trong TBA</v>
      </c>
      <c r="G1548" s="88" t="str">
        <f>VLOOKUP($B1548,[1]DG!A:D,[1]DG!$D$2,)</f>
        <v>mét</v>
      </c>
      <c r="H1548" s="145">
        <v>45</v>
      </c>
      <c r="I1548" s="91">
        <f t="shared" si="67"/>
        <v>0</v>
      </c>
      <c r="J1548" s="146"/>
      <c r="K1548" s="146"/>
      <c r="L1548" s="96"/>
      <c r="M1548" s="56">
        <v>320</v>
      </c>
    </row>
    <row r="1549" spans="1:13" s="51" customFormat="1" ht="25.2" hidden="1" customHeight="1">
      <c r="A1549" s="68">
        <f t="shared" si="66"/>
        <v>0</v>
      </c>
      <c r="B1549" s="69"/>
      <c r="C1549" s="69"/>
      <c r="D1549" s="220">
        <f>IF(H1549&gt;0,D1528+1,D1528)</f>
        <v>1</v>
      </c>
      <c r="E1549" s="238"/>
      <c r="F1549" s="239" t="s">
        <v>499</v>
      </c>
      <c r="G1549" s="220" t="s">
        <v>67</v>
      </c>
      <c r="H1549" s="240">
        <v>1</v>
      </c>
      <c r="I1549" s="91">
        <f t="shared" si="67"/>
        <v>0</v>
      </c>
      <c r="J1549" s="146"/>
      <c r="K1549" s="146"/>
      <c r="L1549" s="117"/>
      <c r="M1549" s="56">
        <v>320</v>
      </c>
    </row>
    <row r="1550" spans="1:13" s="51" customFormat="1" ht="25.2" hidden="1" customHeight="1">
      <c r="A1550" s="68">
        <f>IF(A1549&gt;0,1,0)</f>
        <v>0</v>
      </c>
      <c r="B1550" s="69"/>
      <c r="C1550" s="69"/>
      <c r="D1550" s="111"/>
      <c r="E1550" s="242"/>
      <c r="F1550" s="243" t="s">
        <v>68</v>
      </c>
      <c r="G1550" s="87"/>
      <c r="H1550" s="145"/>
      <c r="I1550" s="91">
        <f t="shared" si="67"/>
        <v>0</v>
      </c>
      <c r="J1550" s="146"/>
      <c r="K1550" s="146"/>
      <c r="L1550" s="117"/>
      <c r="M1550" s="56">
        <v>320</v>
      </c>
    </row>
    <row r="1551" spans="1:13" s="51" customFormat="1" ht="25.2" hidden="1" customHeight="1">
      <c r="A1551" s="68">
        <f t="shared" si="66"/>
        <v>0</v>
      </c>
      <c r="B1551" s="69" t="s">
        <v>293</v>
      </c>
      <c r="C1551" s="69"/>
      <c r="D1551" s="87"/>
      <c r="E1551" s="88">
        <f>VLOOKUP($B1551,[1]DG!A:D,[1]DG!$B$2,)</f>
        <v>0</v>
      </c>
      <c r="F1551" s="89" t="str">
        <f>VLOOKUP($B1551,[1]DG!A:D,[1]DG!$C$2,)</f>
        <v>Ximăng (PC40)</v>
      </c>
      <c r="G1551" s="88" t="str">
        <f>VLOOKUP($B1551,[1]DG!A:D,[1]DG!$D$2,)</f>
        <v>kg</v>
      </c>
      <c r="H1551" s="145">
        <v>370</v>
      </c>
      <c r="I1551" s="91">
        <f t="shared" si="67"/>
        <v>0</v>
      </c>
      <c r="J1551" s="146"/>
      <c r="K1551" s="146"/>
      <c r="L1551" s="117"/>
      <c r="M1551" s="56">
        <v>320</v>
      </c>
    </row>
    <row r="1552" spans="1:13" s="51" customFormat="1" ht="25.2" hidden="1" customHeight="1">
      <c r="A1552" s="68">
        <f t="shared" si="66"/>
        <v>0</v>
      </c>
      <c r="B1552" s="69" t="s">
        <v>469</v>
      </c>
      <c r="C1552" s="69"/>
      <c r="D1552" s="111"/>
      <c r="E1552" s="88">
        <f>VLOOKUP($B1552,[1]DG!A:D,[1]DG!$B$2,)</f>
        <v>0</v>
      </c>
      <c r="F1552" s="89" t="str">
        <f>VLOOKUP($B1552,[1]DG!A:D,[1]DG!$C$2,)</f>
        <v>Cát vàng</v>
      </c>
      <c r="G1552" s="88" t="str">
        <f>VLOOKUP($B1552,[1]DG!A:D,[1]DG!$D$2,)</f>
        <v>m3</v>
      </c>
      <c r="H1552" s="145">
        <v>0.46</v>
      </c>
      <c r="I1552" s="91">
        <f t="shared" si="67"/>
        <v>0</v>
      </c>
      <c r="J1552" s="146"/>
      <c r="K1552" s="146"/>
      <c r="L1552" s="117"/>
      <c r="M1552" s="56">
        <v>320</v>
      </c>
    </row>
    <row r="1553" spans="1:16" s="51" customFormat="1" ht="25.2" hidden="1" customHeight="1">
      <c r="A1553" s="68">
        <f t="shared" si="66"/>
        <v>0</v>
      </c>
      <c r="B1553" s="69" t="s">
        <v>295</v>
      </c>
      <c r="C1553" s="69"/>
      <c r="D1553" s="111"/>
      <c r="E1553" s="88">
        <f>VLOOKUP($B1553,[1]DG!A:D,[1]DG!$B$2,)</f>
        <v>0</v>
      </c>
      <c r="F1553" s="89" t="str">
        <f>VLOOKUP($B1553,[1]DG!A:D,[1]DG!$C$2,)</f>
        <v>Đá 1x2</v>
      </c>
      <c r="G1553" s="88" t="str">
        <f>VLOOKUP($B1553,[1]DG!A:D,[1]DG!$D$2,)</f>
        <v>m3</v>
      </c>
      <c r="H1553" s="145">
        <v>0.89</v>
      </c>
      <c r="I1553" s="91">
        <f t="shared" si="67"/>
        <v>0</v>
      </c>
      <c r="J1553" s="146"/>
      <c r="K1553" s="146"/>
      <c r="L1553" s="117"/>
      <c r="M1553" s="56">
        <v>320</v>
      </c>
    </row>
    <row r="1554" spans="1:16" s="51" customFormat="1" ht="25.2" hidden="1" customHeight="1">
      <c r="A1554" s="68">
        <f t="shared" si="66"/>
        <v>0</v>
      </c>
      <c r="B1554" s="69" t="s">
        <v>296</v>
      </c>
      <c r="C1554" s="69"/>
      <c r="D1554" s="87"/>
      <c r="E1554" s="88" t="str">
        <f>VLOOKUP($B1554,[1]DG!A:D,[1]DG!$B$2,)</f>
        <v>04.1203c</v>
      </c>
      <c r="F1554" s="89" t="str">
        <f>VLOOKUP($B1554,[1]DG!A:D,[1]DG!$C$2,)</f>
        <v>Đổ bê tông móng trụ &lt;=250cm-M200 đá 1x2</v>
      </c>
      <c r="G1554" s="88" t="str">
        <f>VLOOKUP($B1554,[1]DG!A:D,[1]DG!$D$2,)</f>
        <v>m3</v>
      </c>
      <c r="H1554" s="145">
        <v>1.17</v>
      </c>
      <c r="I1554" s="91">
        <f t="shared" si="67"/>
        <v>0</v>
      </c>
      <c r="J1554" s="146"/>
      <c r="K1554" s="146"/>
      <c r="L1554" s="117"/>
      <c r="M1554" s="56">
        <v>320</v>
      </c>
      <c r="N1554" s="245">
        <f>1.025*0.45</f>
        <v>0.46124999999999999</v>
      </c>
      <c r="O1554" s="245">
        <f>1.025*0.866</f>
        <v>0.88764999999999994</v>
      </c>
      <c r="P1554" s="246"/>
    </row>
    <row r="1555" spans="1:16" s="51" customFormat="1" ht="25.2" hidden="1" customHeight="1">
      <c r="A1555" s="68">
        <f t="shared" si="66"/>
        <v>0</v>
      </c>
      <c r="B1555" s="69"/>
      <c r="C1555" s="69"/>
      <c r="D1555" s="220">
        <f>IF(H1555&gt;0,D1549+1,D1549)</f>
        <v>1</v>
      </c>
      <c r="E1555" s="238"/>
      <c r="F1555" s="239" t="s">
        <v>390</v>
      </c>
      <c r="G1555" s="220" t="s">
        <v>67</v>
      </c>
      <c r="H1555" s="240"/>
      <c r="I1555" s="91">
        <f t="shared" si="67"/>
        <v>0</v>
      </c>
      <c r="J1555" s="146"/>
      <c r="K1555" s="146"/>
      <c r="L1555" s="117"/>
      <c r="M1555" s="56">
        <v>320</v>
      </c>
    </row>
    <row r="1556" spans="1:16" s="51" customFormat="1" ht="25.2" hidden="1" customHeight="1">
      <c r="A1556" s="68">
        <f>IF(A1555&gt;0,1,0)</f>
        <v>0</v>
      </c>
      <c r="B1556" s="69"/>
      <c r="C1556" s="69"/>
      <c r="D1556" s="111"/>
      <c r="E1556" s="242"/>
      <c r="F1556" s="243" t="s">
        <v>68</v>
      </c>
      <c r="G1556" s="87"/>
      <c r="H1556" s="145"/>
      <c r="I1556" s="91">
        <f t="shared" si="67"/>
        <v>0</v>
      </c>
      <c r="J1556" s="146"/>
      <c r="K1556" s="146"/>
      <c r="L1556" s="117"/>
      <c r="M1556" s="56">
        <v>320</v>
      </c>
    </row>
    <row r="1557" spans="1:16" s="51" customFormat="1" ht="25.2" hidden="1" customHeight="1">
      <c r="A1557" s="68">
        <f t="shared" si="66"/>
        <v>0</v>
      </c>
      <c r="B1557" s="69" t="s">
        <v>293</v>
      </c>
      <c r="C1557" s="69"/>
      <c r="D1557" s="87"/>
      <c r="E1557" s="88">
        <f>VLOOKUP($B1557,[1]DG!A:D,[1]DG!$B$2,)</f>
        <v>0</v>
      </c>
      <c r="F1557" s="89" t="str">
        <f>VLOOKUP($B1557,[1]DG!A:D,[1]DG!$C$2,)</f>
        <v>Ximăng (PC40)</v>
      </c>
      <c r="G1557" s="88" t="str">
        <f>VLOOKUP($B1557,[1]DG!A:D,[1]DG!$D$2,)</f>
        <v>kg</v>
      </c>
      <c r="H1557" s="145">
        <f>H1560*M1560</f>
        <v>0</v>
      </c>
      <c r="I1557" s="91">
        <f t="shared" si="67"/>
        <v>0</v>
      </c>
      <c r="J1557" s="146"/>
      <c r="K1557" s="146"/>
      <c r="L1557" s="117"/>
      <c r="M1557" s="56">
        <v>320</v>
      </c>
    </row>
    <row r="1558" spans="1:16" s="51" customFormat="1" ht="25.2" hidden="1" customHeight="1">
      <c r="A1558" s="68">
        <f t="shared" si="66"/>
        <v>0</v>
      </c>
      <c r="B1558" s="69" t="s">
        <v>469</v>
      </c>
      <c r="C1558" s="69"/>
      <c r="D1558" s="111"/>
      <c r="E1558" s="88">
        <f>VLOOKUP($B1558,[1]DG!A:D,[1]DG!$B$2,)</f>
        <v>0</v>
      </c>
      <c r="F1558" s="89" t="str">
        <f>VLOOKUP($B1558,[1]DG!A:D,[1]DG!$C$2,)</f>
        <v>Cát vàng</v>
      </c>
      <c r="G1558" s="88" t="str">
        <f>VLOOKUP($B1558,[1]DG!A:D,[1]DG!$D$2,)</f>
        <v>m3</v>
      </c>
      <c r="H1558" s="244">
        <f>H1560*N1560</f>
        <v>0</v>
      </c>
      <c r="I1558" s="91">
        <f t="shared" si="67"/>
        <v>0</v>
      </c>
      <c r="J1558" s="146"/>
      <c r="K1558" s="146"/>
      <c r="L1558" s="117"/>
      <c r="M1558" s="56">
        <v>320</v>
      </c>
    </row>
    <row r="1559" spans="1:16" s="51" customFormat="1" ht="25.2" hidden="1" customHeight="1">
      <c r="A1559" s="68">
        <f t="shared" si="66"/>
        <v>0</v>
      </c>
      <c r="B1559" s="69" t="s">
        <v>295</v>
      </c>
      <c r="C1559" s="69"/>
      <c r="D1559" s="111"/>
      <c r="E1559" s="88">
        <f>VLOOKUP($B1559,[1]DG!A:D,[1]DG!$B$2,)</f>
        <v>0</v>
      </c>
      <c r="F1559" s="89" t="str">
        <f>VLOOKUP($B1559,[1]DG!A:D,[1]DG!$C$2,)</f>
        <v>Đá 1x2</v>
      </c>
      <c r="G1559" s="88" t="str">
        <f>VLOOKUP($B1559,[1]DG!A:D,[1]DG!$D$2,)</f>
        <v>m3</v>
      </c>
      <c r="H1559" s="244">
        <f>H1560*O1560</f>
        <v>0</v>
      </c>
      <c r="I1559" s="91">
        <f t="shared" si="67"/>
        <v>0</v>
      </c>
      <c r="J1559" s="146"/>
      <c r="K1559" s="146"/>
      <c r="L1559" s="117"/>
      <c r="M1559" s="56">
        <v>320</v>
      </c>
    </row>
    <row r="1560" spans="1:16" s="51" customFormat="1" ht="25.2" hidden="1" customHeight="1">
      <c r="A1560" s="68">
        <f t="shared" si="66"/>
        <v>0</v>
      </c>
      <c r="B1560" s="69" t="s">
        <v>296</v>
      </c>
      <c r="C1560" s="69"/>
      <c r="D1560" s="87"/>
      <c r="E1560" s="88" t="str">
        <f>VLOOKUP($B1560,[1]DG!A:D,[1]DG!$B$2,)</f>
        <v>04.1203c</v>
      </c>
      <c r="F1560" s="89" t="str">
        <f>VLOOKUP($B1560,[1]DG!A:D,[1]DG!$C$2,)</f>
        <v>Đổ bê tông móng trụ &lt;=250cm-M200 đá 1x2</v>
      </c>
      <c r="G1560" s="88" t="str">
        <f>VLOOKUP($B1560,[1]DG!A:D,[1]DG!$D$2,)</f>
        <v>m3</v>
      </c>
      <c r="H1560" s="145">
        <f>H1555*0.2*0.2*(0.2+0.2+0.8+0.8+2*4)</f>
        <v>0</v>
      </c>
      <c r="I1560" s="91">
        <f t="shared" si="67"/>
        <v>0</v>
      </c>
      <c r="J1560" s="146"/>
      <c r="K1560" s="146"/>
      <c r="L1560" s="117"/>
      <c r="M1560" s="56">
        <v>320</v>
      </c>
      <c r="N1560" s="245">
        <f>1.025*0.45</f>
        <v>0.46124999999999999</v>
      </c>
      <c r="O1560" s="245">
        <f>1.025*0.866</f>
        <v>0.88764999999999994</v>
      </c>
      <c r="P1560" s="246"/>
    </row>
    <row r="1561" spans="1:16" s="51" customFormat="1" ht="25.2" hidden="1" customHeight="1">
      <c r="A1561" s="68">
        <f t="shared" si="66"/>
        <v>0</v>
      </c>
      <c r="B1561" s="69"/>
      <c r="C1561" s="69"/>
      <c r="D1561" s="220">
        <f>IF(H1561&gt;0,D1555+1,D1555)</f>
        <v>2</v>
      </c>
      <c r="E1561" s="238"/>
      <c r="F1561" s="239" t="s">
        <v>470</v>
      </c>
      <c r="G1561" s="220" t="s">
        <v>67</v>
      </c>
      <c r="H1561" s="240">
        <v>1</v>
      </c>
      <c r="I1561" s="91">
        <f t="shared" si="67"/>
        <v>0</v>
      </c>
      <c r="J1561" s="146"/>
      <c r="K1561" s="146"/>
      <c r="L1561" s="96"/>
      <c r="M1561" s="56">
        <v>320</v>
      </c>
    </row>
    <row r="1562" spans="1:16" s="51" customFormat="1" ht="25.2" hidden="1" customHeight="1">
      <c r="A1562" s="68">
        <f>IF(A1561&gt;0,1,0)</f>
        <v>0</v>
      </c>
      <c r="B1562" s="69"/>
      <c r="C1562" s="69"/>
      <c r="D1562" s="111"/>
      <c r="E1562" s="242"/>
      <c r="F1562" s="243" t="s">
        <v>68</v>
      </c>
      <c r="G1562" s="87"/>
      <c r="H1562" s="145"/>
      <c r="I1562" s="91">
        <f t="shared" si="67"/>
        <v>0</v>
      </c>
      <c r="J1562" s="146"/>
      <c r="K1562" s="146"/>
      <c r="L1562" s="96"/>
      <c r="M1562" s="56">
        <v>320</v>
      </c>
    </row>
    <row r="1563" spans="1:16" s="51" customFormat="1" ht="25.2" hidden="1" customHeight="1">
      <c r="A1563" s="68">
        <f t="shared" ref="A1563:A1628" si="68">IF(I1563&gt;0,1,0)</f>
        <v>0</v>
      </c>
      <c r="B1563" s="234" t="s">
        <v>247</v>
      </c>
      <c r="C1563" s="234"/>
      <c r="D1563" s="87"/>
      <c r="E1563" s="88" t="str">
        <f>VLOOKUP($B1563,[1]DG!A:D,[1]DG!$B$2,)</f>
        <v>05.1102</v>
      </c>
      <c r="F1563" s="89" t="str">
        <f>VLOOKUP($B1563,[1]DG!A:D,[1]DG!$C$2,)&amp;" + thanh baét MCCB + bulong"</f>
        <v>Vỏ tủ + khóa tủ + thanh baét MCCB + bulong</v>
      </c>
      <c r="G1563" s="88" t="str">
        <f>VLOOKUP($B1563,[1]DG!A:D,[1]DG!$D$2,)</f>
        <v>cái</v>
      </c>
      <c r="H1563" s="145">
        <f>H1561</f>
        <v>1</v>
      </c>
      <c r="I1563" s="91">
        <f t="shared" si="67"/>
        <v>0</v>
      </c>
      <c r="J1563" s="146"/>
      <c r="K1563" s="146"/>
      <c r="L1563" s="96"/>
      <c r="M1563" s="56">
        <v>320</v>
      </c>
    </row>
    <row r="1564" spans="1:16" s="51" customFormat="1" ht="25.2" hidden="1" customHeight="1">
      <c r="A1564" s="68">
        <f t="shared" si="68"/>
        <v>0</v>
      </c>
      <c r="B1564" s="334" t="s">
        <v>500</v>
      </c>
      <c r="C1564" s="334"/>
      <c r="D1564" s="87"/>
      <c r="E1564" s="88" t="str">
        <f>VLOOKUP($B1564,[1]DG!A:D,[1]DG!$B$2,)</f>
        <v>05.1102</v>
      </c>
      <c r="F1564" s="89" t="str">
        <f>VLOOKUP($B1564,[1]DG!A:D,[1]DG!$C$2,)</f>
        <v>Khung đỡ tủ MCCB và tủ bù</v>
      </c>
      <c r="G1564" s="88" t="str">
        <f>VLOOKUP($B1564,[1]DG!A:D,[1]DG!$D$2,)</f>
        <v>trọn bộ</v>
      </c>
      <c r="H1564" s="145"/>
      <c r="I1564" s="91">
        <f t="shared" si="67"/>
        <v>0</v>
      </c>
      <c r="J1564" s="146"/>
      <c r="K1564" s="146"/>
      <c r="L1564" s="96"/>
      <c r="M1564" s="56">
        <v>320</v>
      </c>
    </row>
    <row r="1565" spans="1:16" s="51" customFormat="1" ht="25.2" hidden="1" customHeight="1">
      <c r="A1565" s="68">
        <f t="shared" si="68"/>
        <v>0</v>
      </c>
      <c r="B1565" s="69" t="s">
        <v>394</v>
      </c>
      <c r="C1565" s="69"/>
      <c r="D1565" s="111"/>
      <c r="E1565" s="88">
        <f>VLOOKUP($B1565,[1]DG!A:D,[1]DG!$B$2,)</f>
        <v>0</v>
      </c>
      <c r="F1565" s="89" t="str">
        <f>VLOOKUP($B1565,[1]DG!A:D,[1]DG!$C$2,)</f>
        <v>Giá nới + Thanh cái tủ CB</v>
      </c>
      <c r="G1565" s="88" t="str">
        <f>VLOOKUP($B1565,[1]DG!A:D,[1]DG!$D$2,)</f>
        <v>bộ</v>
      </c>
      <c r="H1565" s="244">
        <f>H1561*0</f>
        <v>0</v>
      </c>
      <c r="I1565" s="91">
        <f t="shared" si="67"/>
        <v>0</v>
      </c>
      <c r="J1565" s="146"/>
      <c r="K1565" s="146"/>
      <c r="L1565" s="96"/>
      <c r="M1565" s="56">
        <v>320</v>
      </c>
    </row>
    <row r="1566" spans="1:16" s="51" customFormat="1" ht="25.2" hidden="1" customHeight="1">
      <c r="A1566" s="68">
        <f t="shared" si="68"/>
        <v>0</v>
      </c>
      <c r="B1566" s="69" t="s">
        <v>96</v>
      </c>
      <c r="C1566" s="69"/>
      <c r="D1566" s="111"/>
      <c r="E1566" s="88">
        <f>VLOOKUP($B1566,[1]DG!A:D,[1]DG!$B$2,)</f>
        <v>0</v>
      </c>
      <c r="F1566" s="89" t="str">
        <f>VLOOKUP($B1566,[1]DG!A:D,[1]DG!$C$2,)</f>
        <v xml:space="preserve">Bakelit 550x450 dầy 10mm </v>
      </c>
      <c r="G1566" s="88" t="str">
        <f>VLOOKUP($B1566,[1]DG!A:D,[1]DG!$D$2,)</f>
        <v>cái</v>
      </c>
      <c r="H1566" s="145">
        <v>3</v>
      </c>
      <c r="I1566" s="91">
        <f t="shared" si="67"/>
        <v>0</v>
      </c>
      <c r="J1566" s="146"/>
      <c r="K1566" s="146"/>
      <c r="L1566" s="96"/>
      <c r="M1566" s="56">
        <v>320</v>
      </c>
    </row>
    <row r="1567" spans="1:16" s="51" customFormat="1" ht="25.2" hidden="1" customHeight="1">
      <c r="A1567" s="68">
        <f t="shared" si="68"/>
        <v>0</v>
      </c>
      <c r="B1567" s="69" t="s">
        <v>117</v>
      </c>
      <c r="C1567" s="69"/>
      <c r="D1567" s="87"/>
      <c r="E1567" s="88" t="str">
        <f>VLOOKUP($B1567,[1]DG!A:D,[1]DG!$B$2,)</f>
        <v>06.3191</v>
      </c>
      <c r="F1567" s="89" t="str">
        <f>VLOOKUP($B1567,[1]DG!A:D,[1]DG!$C$2,)</f>
        <v>Bảng tên trạm, bảng báo nguy hiểm + đinh vít</v>
      </c>
      <c r="G1567" s="88" t="str">
        <f>VLOOKUP($B1567,[1]DG!A:D,[1]DG!$D$2,)</f>
        <v>bộ</v>
      </c>
      <c r="H1567" s="145">
        <v>1</v>
      </c>
      <c r="I1567" s="91">
        <f t="shared" si="67"/>
        <v>0</v>
      </c>
      <c r="J1567" s="146"/>
      <c r="K1567" s="146"/>
      <c r="L1567" s="96"/>
      <c r="M1567" s="56">
        <v>320</v>
      </c>
    </row>
    <row r="1568" spans="1:16" s="51" customFormat="1" ht="25.2" hidden="1" customHeight="1">
      <c r="A1568" s="68">
        <f t="shared" si="68"/>
        <v>0</v>
      </c>
      <c r="B1568" s="69"/>
      <c r="C1568" s="69"/>
      <c r="D1568" s="220">
        <f>IF(H1568&gt;0,D1561+1,D1561)</f>
        <v>2</v>
      </c>
      <c r="E1568" s="238"/>
      <c r="F1568" s="239" t="s">
        <v>395</v>
      </c>
      <c r="G1568" s="220" t="s">
        <v>396</v>
      </c>
      <c r="H1568" s="240">
        <f>H1450*0</f>
        <v>0</v>
      </c>
      <c r="I1568" s="91">
        <f t="shared" si="67"/>
        <v>0</v>
      </c>
      <c r="J1568" s="146"/>
      <c r="K1568" s="146"/>
      <c r="L1568" s="117"/>
      <c r="M1568" s="56">
        <v>320</v>
      </c>
    </row>
    <row r="1569" spans="1:14" s="51" customFormat="1" ht="25.2" hidden="1" customHeight="1">
      <c r="A1569" s="68">
        <f>IF(A1568&gt;0,1,0)</f>
        <v>0</v>
      </c>
      <c r="B1569" s="69"/>
      <c r="C1569" s="69"/>
      <c r="D1569" s="111"/>
      <c r="E1569" s="242"/>
      <c r="F1569" s="243" t="s">
        <v>68</v>
      </c>
      <c r="G1569" s="87"/>
      <c r="H1569" s="145"/>
      <c r="I1569" s="91">
        <f t="shared" si="67"/>
        <v>0</v>
      </c>
      <c r="J1569" s="146"/>
      <c r="K1569" s="146"/>
      <c r="L1569" s="117"/>
      <c r="M1569" s="56">
        <v>320</v>
      </c>
    </row>
    <row r="1570" spans="1:14" s="51" customFormat="1" ht="25.2" hidden="1" customHeight="1">
      <c r="A1570" s="68">
        <f t="shared" si="68"/>
        <v>0</v>
      </c>
      <c r="B1570" s="98" t="s">
        <v>294</v>
      </c>
      <c r="C1570" s="98"/>
      <c r="D1570" s="87"/>
      <c r="E1570" s="88">
        <f>VLOOKUP($B1570,[1]DG!A:D,[1]DG!$B$2,)</f>
        <v>0</v>
      </c>
      <c r="F1570" s="92" t="str">
        <f>VLOOKUP($B1570,[1]DG!A:D,[1]DG!$C$2,)&amp;": 0,315m3/m"</f>
        <v>Cát vàng: 0,315m3/m</v>
      </c>
      <c r="G1570" s="88" t="str">
        <f>VLOOKUP($B1570,[1]DG!A:D,[1]DG!$D$2,)</f>
        <v>m3</v>
      </c>
      <c r="H1570" s="145">
        <f>H1568*0.315</f>
        <v>0</v>
      </c>
      <c r="I1570" s="91">
        <f t="shared" si="67"/>
        <v>0</v>
      </c>
      <c r="J1570" s="146"/>
      <c r="K1570" s="146"/>
      <c r="L1570" s="117"/>
      <c r="M1570" s="56">
        <v>320</v>
      </c>
    </row>
    <row r="1571" spans="1:14" s="51" customFormat="1" ht="25.2" hidden="1" customHeight="1">
      <c r="A1571" s="68">
        <f t="shared" si="68"/>
        <v>0</v>
      </c>
      <c r="B1571" s="98" t="s">
        <v>397</v>
      </c>
      <c r="C1571" s="98"/>
      <c r="D1571" s="87"/>
      <c r="E1571" s="88">
        <f>VLOOKUP($B1571,[1]DG!A:D,[1]DG!$B$2,)</f>
        <v>0</v>
      </c>
      <c r="F1571" s="92" t="str">
        <f>VLOOKUP($B1571,[1]DG!A:D,[1]DG!$C$2,)&amp;": 0,092m3/m"</f>
        <v>Đá 2x4: 0,092m3/m</v>
      </c>
      <c r="G1571" s="88" t="str">
        <f>VLOOKUP($B1571,[1]DG!A:D,[1]DG!$D$2,)</f>
        <v>m3</v>
      </c>
      <c r="H1571" s="145">
        <f>0.092*H1568</f>
        <v>0</v>
      </c>
      <c r="I1571" s="91">
        <f t="shared" si="67"/>
        <v>0</v>
      </c>
      <c r="J1571" s="146"/>
      <c r="K1571" s="146"/>
      <c r="L1571" s="117"/>
      <c r="M1571" s="56">
        <v>320</v>
      </c>
    </row>
    <row r="1572" spans="1:14" s="51" customFormat="1" ht="25.2" hidden="1" customHeight="1">
      <c r="A1572" s="68">
        <f t="shared" si="68"/>
        <v>0</v>
      </c>
      <c r="B1572" s="98" t="s">
        <v>398</v>
      </c>
      <c r="C1572" s="98"/>
      <c r="D1572" s="87"/>
      <c r="E1572" s="88">
        <f>VLOOKUP($B1572,[1]DG!A:D,[1]DG!$B$2,)</f>
        <v>0</v>
      </c>
      <c r="F1572" s="92" t="str">
        <f>VLOOKUP($B1572,[1]DG!A:D,[1]DG!$C$2,)&amp;": 3,3vieân/m"</f>
        <v>Gạch tàu: 3,3vieân/m</v>
      </c>
      <c r="G1572" s="88" t="str">
        <f>VLOOKUP($B1572,[1]DG!A:D,[1]DG!$D$2,)</f>
        <v>viên</v>
      </c>
      <c r="H1572" s="145">
        <f>3.3*H1568</f>
        <v>0</v>
      </c>
      <c r="I1572" s="91">
        <f t="shared" si="67"/>
        <v>0</v>
      </c>
      <c r="J1572" s="146"/>
      <c r="K1572" s="146"/>
      <c r="L1572" s="117"/>
      <c r="M1572" s="56">
        <v>320</v>
      </c>
    </row>
    <row r="1573" spans="1:14" s="51" customFormat="1" ht="25.2" hidden="1" customHeight="1">
      <c r="A1573" s="68">
        <f t="shared" si="68"/>
        <v>0</v>
      </c>
      <c r="B1573" s="98" t="s">
        <v>399</v>
      </c>
      <c r="C1573" s="98"/>
      <c r="D1573" s="87"/>
      <c r="E1573" s="88">
        <f>VLOOKUP($B1573,[1]DG!A:D,[1]DG!$B$2,)</f>
        <v>0</v>
      </c>
      <c r="F1573" s="92" t="str">
        <f>VLOOKUP($B1573,[1]DG!A:D,[1]DG!$C$2,)&amp;": 0,4m2/m"</f>
        <v>Tấm nilông màu cảnh báo: 0,4m2/m</v>
      </c>
      <c r="G1573" s="88" t="str">
        <f>VLOOKUP($B1573,[1]DG!A:D,[1]DG!$D$2,)</f>
        <v>m2</v>
      </c>
      <c r="H1573" s="145">
        <f>0.4*H1568</f>
        <v>0</v>
      </c>
      <c r="I1573" s="91">
        <f t="shared" si="67"/>
        <v>0</v>
      </c>
      <c r="J1573" s="146"/>
      <c r="K1573" s="146"/>
      <c r="L1573" s="117"/>
      <c r="M1573" s="56">
        <v>320</v>
      </c>
    </row>
    <row r="1574" spans="1:14" s="51" customFormat="1" ht="25.2" hidden="1" customHeight="1">
      <c r="A1574" s="68">
        <f t="shared" si="68"/>
        <v>0</v>
      </c>
      <c r="B1574" s="98" t="s">
        <v>400</v>
      </c>
      <c r="C1574" s="98"/>
      <c r="D1574" s="111"/>
      <c r="E1574" s="88">
        <f>VLOOKUP($B1574,[1]DG!A:D,[1]DG!$B$2,)</f>
        <v>0</v>
      </c>
      <c r="F1574" s="92" t="str">
        <f>VLOOKUP($B1574,[1]DG!A:D,[1]DG!$C$2,)</f>
        <v>Ống PVC D140x6,7mm</v>
      </c>
      <c r="G1574" s="88" t="str">
        <f>VLOOKUP($B1574,[1]DG!A:D,[1]DG!$D$2,)</f>
        <v>m</v>
      </c>
      <c r="H1574" s="145">
        <f>1*H1568</f>
        <v>0</v>
      </c>
      <c r="I1574" s="91">
        <f t="shared" si="67"/>
        <v>0</v>
      </c>
      <c r="J1574" s="146"/>
      <c r="K1574" s="146"/>
      <c r="L1574" s="117"/>
      <c r="M1574" s="56">
        <v>320</v>
      </c>
    </row>
    <row r="1575" spans="1:14" s="51" customFormat="1" ht="25.2" hidden="1" customHeight="1">
      <c r="A1575" s="68">
        <f t="shared" si="68"/>
        <v>0</v>
      </c>
      <c r="B1575" s="98" t="s">
        <v>401</v>
      </c>
      <c r="C1575" s="98"/>
      <c r="D1575" s="87"/>
      <c r="E1575" s="88" t="str">
        <f>VLOOKUP($B1575,[1]DG!A:D,[1]DG!$B$2,)</f>
        <v>03.7000</v>
      </c>
      <c r="F1575" s="92" t="str">
        <f>VLOOKUP($B1575,[1]DG!A:D,[1]DG!$C$2,)&amp;" + ñaép ñaù"</f>
        <v>Đắp cát  + ñaép ñaù</v>
      </c>
      <c r="G1575" s="88" t="str">
        <f>VLOOKUP($B1575,[1]DG!A:D,[1]DG!$D$2,)</f>
        <v>m3</v>
      </c>
      <c r="H1575" s="145">
        <f>H1570+H1571</f>
        <v>0</v>
      </c>
      <c r="I1575" s="91">
        <f t="shared" si="67"/>
        <v>0</v>
      </c>
      <c r="J1575" s="146"/>
      <c r="K1575" s="146"/>
      <c r="L1575" s="117"/>
      <c r="M1575" s="56">
        <v>320</v>
      </c>
    </row>
    <row r="1576" spans="1:14" s="51" customFormat="1" ht="25.2" hidden="1" customHeight="1">
      <c r="A1576" s="68">
        <f t="shared" si="68"/>
        <v>0</v>
      </c>
      <c r="B1576" s="98" t="s">
        <v>402</v>
      </c>
      <c r="C1576" s="98"/>
      <c r="D1576" s="87"/>
      <c r="E1576" s="88" t="str">
        <f>VLOOKUP($B1576,[1]DG!A:D,[1]DG!$B$2,)</f>
        <v>03.3103</v>
      </c>
      <c r="F1576" s="92" t="str">
        <f>VLOOKUP($B1576,[1]DG!A:D,[1]DG!$C$2,)&amp;" : 0,48m3/m"</f>
        <v>Đào mương cáp ngầm đất cấp 3 : 0,48m3/m</v>
      </c>
      <c r="G1576" s="88" t="str">
        <f>VLOOKUP($B1576,[1]DG!A:D,[1]DG!$D$2,)</f>
        <v>m3</v>
      </c>
      <c r="H1576" s="145">
        <f>H1568*0.48</f>
        <v>0</v>
      </c>
      <c r="I1576" s="91">
        <f t="shared" si="67"/>
        <v>0</v>
      </c>
      <c r="J1576" s="146"/>
      <c r="K1576" s="146"/>
      <c r="L1576" s="117"/>
      <c r="M1576" s="56">
        <v>320</v>
      </c>
    </row>
    <row r="1577" spans="1:14" s="51" customFormat="1" ht="25.2" hidden="1" customHeight="1">
      <c r="A1577" s="68">
        <f t="shared" si="68"/>
        <v>0</v>
      </c>
      <c r="B1577" s="98" t="s">
        <v>403</v>
      </c>
      <c r="C1577" s="98"/>
      <c r="D1577" s="87"/>
      <c r="E1577" s="88" t="str">
        <f>VLOOKUP($B1577,[1]DG!A:D,[1]DG!$B$2,)</f>
        <v>03.3203</v>
      </c>
      <c r="F1577" s="92" t="str">
        <f>VLOOKUP($B1577,[1]DG!A:D,[1]DG!$C$2,)&amp;" : 0,073m3/m"</f>
        <v>Đắp đất mương cáp ngầm, đất cấp 3 : 0,073m3/m</v>
      </c>
      <c r="G1577" s="88" t="str">
        <f>VLOOKUP($B1577,[1]DG!A:D,[1]DG!$D$2,)</f>
        <v>m3</v>
      </c>
      <c r="H1577" s="145">
        <f>H1568*0.073</f>
        <v>0</v>
      </c>
      <c r="I1577" s="91">
        <f t="shared" si="67"/>
        <v>0</v>
      </c>
      <c r="J1577" s="146"/>
      <c r="K1577" s="146"/>
      <c r="L1577" s="117"/>
      <c r="M1577" s="56">
        <v>320</v>
      </c>
      <c r="N1577" s="335">
        <v>0.47499999999999998</v>
      </c>
    </row>
    <row r="1578" spans="1:14" s="51" customFormat="1" ht="25.2" hidden="1" customHeight="1">
      <c r="A1578" s="68">
        <f t="shared" si="68"/>
        <v>0</v>
      </c>
      <c r="B1578" s="69"/>
      <c r="C1578" s="69"/>
      <c r="D1578" s="220">
        <f>IF(H1578&gt;0,D1568+1,D1568)</f>
        <v>2</v>
      </c>
      <c r="E1578" s="238"/>
      <c r="F1578" s="239" t="s">
        <v>404</v>
      </c>
      <c r="G1578" s="220" t="s">
        <v>67</v>
      </c>
      <c r="H1578" s="240">
        <f>H1587</f>
        <v>0</v>
      </c>
      <c r="I1578" s="91">
        <f t="shared" si="67"/>
        <v>0</v>
      </c>
      <c r="J1578" s="146"/>
      <c r="K1578" s="146"/>
      <c r="L1578" s="117"/>
      <c r="M1578" s="56">
        <v>320</v>
      </c>
      <c r="N1578" s="335">
        <v>0.88100000000000001</v>
      </c>
    </row>
    <row r="1579" spans="1:14" s="51" customFormat="1" ht="25.2" hidden="1" customHeight="1">
      <c r="A1579" s="68">
        <f>IF(A1578&gt;0,1,0)</f>
        <v>0</v>
      </c>
      <c r="B1579" s="69"/>
      <c r="C1579" s="69"/>
      <c r="D1579" s="111"/>
      <c r="E1579" s="242"/>
      <c r="F1579" s="243" t="s">
        <v>68</v>
      </c>
      <c r="G1579" s="87"/>
      <c r="H1579" s="145"/>
      <c r="I1579" s="91">
        <f t="shared" si="67"/>
        <v>0</v>
      </c>
      <c r="J1579" s="146"/>
      <c r="K1579" s="146"/>
      <c r="L1579" s="117"/>
      <c r="M1579" s="56">
        <v>320</v>
      </c>
    </row>
    <row r="1580" spans="1:14" s="51" customFormat="1" ht="25.2" hidden="1" customHeight="1">
      <c r="A1580" s="68">
        <f t="shared" si="68"/>
        <v>0</v>
      </c>
      <c r="B1580" s="69" t="s">
        <v>405</v>
      </c>
      <c r="C1580" s="69"/>
      <c r="D1580" s="87"/>
      <c r="E1580" s="88" t="str">
        <f>VLOOKUP($B1580,[1]DG!A:D,[1]DG!$B$2,)</f>
        <v>07.2204</v>
      </c>
      <c r="F1580" s="89" t="str">
        <f>VLOOKUP($B1580,[1]DG!A:D,[1]DG!$C$2,)</f>
        <v>ÔÁng sắt tráng kẽm D140</v>
      </c>
      <c r="G1580" s="88" t="str">
        <f>VLOOKUP($B1580,[1]DG!A:D,[1]DG!$D$2,)</f>
        <v>mét</v>
      </c>
      <c r="H1580" s="145">
        <f>H1578*5*0</f>
        <v>0</v>
      </c>
      <c r="I1580" s="91">
        <f t="shared" si="67"/>
        <v>0</v>
      </c>
      <c r="J1580" s="146"/>
      <c r="K1580" s="146"/>
      <c r="L1580" s="117"/>
      <c r="M1580" s="56">
        <v>320</v>
      </c>
    </row>
    <row r="1581" spans="1:14" s="51" customFormat="1" ht="25.2" hidden="1" customHeight="1">
      <c r="A1581" s="68">
        <f t="shared" si="68"/>
        <v>0</v>
      </c>
      <c r="B1581" s="98" t="s">
        <v>406</v>
      </c>
      <c r="C1581" s="98"/>
      <c r="D1581" s="111"/>
      <c r="E1581" s="88">
        <f>VLOOKUP($B1581,[1]DG!A:D,[1]DG!$B$2,)</f>
        <v>0</v>
      </c>
      <c r="F1581" s="89" t="str">
        <f>VLOOKUP($B1581,[1]DG!A:D,[1]DG!$C$2,)</f>
        <v>Co sừng 90 độ PVC 140</v>
      </c>
      <c r="G1581" s="88" t="str">
        <f>VLOOKUP($B1581,[1]DG!A:D,[1]DG!$D$2,)</f>
        <v>cái</v>
      </c>
      <c r="H1581" s="145">
        <f>H1578*0</f>
        <v>0</v>
      </c>
      <c r="I1581" s="91">
        <f t="shared" si="67"/>
        <v>0</v>
      </c>
      <c r="J1581" s="146"/>
      <c r="K1581" s="146"/>
      <c r="L1581" s="117"/>
      <c r="M1581" s="56">
        <v>320</v>
      </c>
    </row>
    <row r="1582" spans="1:14" s="51" customFormat="1" ht="25.2" hidden="1" customHeight="1">
      <c r="A1582" s="68">
        <f t="shared" si="68"/>
        <v>0</v>
      </c>
      <c r="B1582" s="69" t="s">
        <v>407</v>
      </c>
      <c r="C1582" s="69"/>
      <c r="D1582" s="87"/>
      <c r="E1582" s="88" t="str">
        <f>VLOOKUP($B1582,[1]DG!A:D,[1]DG!$B$2,)</f>
        <v>06.3231</v>
      </c>
      <c r="F1582" s="89" t="str">
        <f>VLOOKUP($B1582,[1]DG!A:D,[1]DG!$C$2,)</f>
        <v>Cổ dê giữ ống STK D140 vào tường+Boulon+long đền+tắc ke sắt</v>
      </c>
      <c r="G1582" s="88" t="str">
        <f>VLOOKUP($B1582,[1]DG!A:D,[1]DG!$D$2,)</f>
        <v>bộ</v>
      </c>
      <c r="H1582" s="145">
        <f>H1578*2*0</f>
        <v>0</v>
      </c>
      <c r="I1582" s="91">
        <f t="shared" si="67"/>
        <v>0</v>
      </c>
      <c r="J1582" s="146"/>
      <c r="K1582" s="146"/>
      <c r="L1582" s="117"/>
      <c r="M1582" s="56">
        <v>320</v>
      </c>
    </row>
    <row r="1583" spans="1:14" s="51" customFormat="1" ht="25.2" hidden="1" customHeight="1">
      <c r="A1583" s="68">
        <f t="shared" si="68"/>
        <v>0</v>
      </c>
      <c r="B1583" s="86" t="s">
        <v>408</v>
      </c>
      <c r="C1583" s="86"/>
      <c r="D1583" s="87"/>
      <c r="E1583" s="88">
        <f>VLOOKUP($B1583,[1]DG!A:D,[1]DG!$B$2,)</f>
        <v>0</v>
      </c>
      <c r="F1583" s="89" t="str">
        <f>VLOOKUP($B1583,[1]DG!A:D,[1]DG!$C$2,)</f>
        <v>Giá đỡ cáp ngầm (V63x6)</v>
      </c>
      <c r="G1583" s="88" t="str">
        <f>VLOOKUP($B1583,[1]DG!A:D,[1]DG!$D$2,)</f>
        <v>bộ</v>
      </c>
      <c r="H1583" s="145">
        <f>H1578*0</f>
        <v>0</v>
      </c>
      <c r="I1583" s="91">
        <f t="shared" si="67"/>
        <v>0</v>
      </c>
      <c r="J1583" s="146"/>
      <c r="K1583" s="146"/>
      <c r="L1583" s="117"/>
      <c r="M1583" s="56">
        <v>320</v>
      </c>
    </row>
    <row r="1584" spans="1:14" s="51" customFormat="1" ht="25.2" hidden="1" customHeight="1">
      <c r="A1584" s="68">
        <f t="shared" si="68"/>
        <v>0</v>
      </c>
      <c r="B1584" s="86" t="s">
        <v>409</v>
      </c>
      <c r="C1584" s="86"/>
      <c r="D1584" s="87"/>
      <c r="E1584" s="88">
        <f>VLOOKUP($B1584,[1]DG!A:D,[1]DG!$B$2,)</f>
        <v>0</v>
      </c>
      <c r="F1584" s="89" t="str">
        <f>VLOOKUP($B1584,[1]DG!A:D,[1]DG!$C$2,)</f>
        <v>Giá đỡ cáp trung hạ thế</v>
      </c>
      <c r="G1584" s="88" t="str">
        <f>VLOOKUP($B1584,[1]DG!A:D,[1]DG!$D$2,)</f>
        <v>bộ</v>
      </c>
      <c r="H1584" s="145">
        <f>H1578</f>
        <v>0</v>
      </c>
      <c r="I1584" s="91">
        <f t="shared" si="67"/>
        <v>0</v>
      </c>
      <c r="J1584" s="146"/>
      <c r="K1584" s="146"/>
      <c r="L1584" s="117"/>
      <c r="M1584" s="56">
        <v>320</v>
      </c>
    </row>
    <row r="1585" spans="1:13" s="51" customFormat="1" ht="25.2" hidden="1" customHeight="1">
      <c r="A1585" s="68">
        <f t="shared" si="68"/>
        <v>0</v>
      </c>
      <c r="B1585" s="69" t="s">
        <v>410</v>
      </c>
      <c r="C1585" s="69"/>
      <c r="D1585" s="111"/>
      <c r="E1585" s="88" t="str">
        <f>VLOOKUP($B1585,[1]DG!A:D,[1]DG!$B$2,)</f>
        <v>05.6101</v>
      </c>
      <c r="F1585" s="89" t="str">
        <f>VLOOKUP($B1585,[1]DG!A:D,[1]DG!$C$2,)</f>
        <v>Lắp Giá đỡ cáp</v>
      </c>
      <c r="G1585" s="88" t="str">
        <f>VLOOKUP($B1585,[1]DG!A:D,[1]DG!$D$2,)</f>
        <v>bộ</v>
      </c>
      <c r="H1585" s="145">
        <f>H1583+H1584</f>
        <v>0</v>
      </c>
      <c r="I1585" s="91">
        <f t="shared" si="67"/>
        <v>0</v>
      </c>
      <c r="J1585" s="146"/>
      <c r="K1585" s="146"/>
      <c r="L1585" s="117"/>
      <c r="M1585" s="56">
        <v>320</v>
      </c>
    </row>
    <row r="1586" spans="1:13" s="51" customFormat="1" ht="25.2" hidden="1" customHeight="1">
      <c r="A1586" s="68">
        <f t="shared" si="68"/>
        <v>0</v>
      </c>
      <c r="B1586" s="69" t="s">
        <v>117</v>
      </c>
      <c r="C1586" s="69"/>
      <c r="D1586" s="87"/>
      <c r="E1586" s="88" t="str">
        <f>VLOOKUP($B1586,[1]DG!A:D,[1]DG!$B$2,)</f>
        <v>06.3191</v>
      </c>
      <c r="F1586" s="89" t="str">
        <f>VLOOKUP($B1586,[1]DG!A:D,[1]DG!$C$2,)</f>
        <v>Bảng tên trạm, bảng báo nguy hiểm + đinh vít</v>
      </c>
      <c r="G1586" s="88" t="str">
        <f>VLOOKUP($B1586,[1]DG!A:D,[1]DG!$D$2,)</f>
        <v>bộ</v>
      </c>
      <c r="H1586" s="145">
        <f>H1578*0</f>
        <v>0</v>
      </c>
      <c r="I1586" s="91">
        <f t="shared" si="67"/>
        <v>0</v>
      </c>
      <c r="J1586" s="146"/>
      <c r="K1586" s="146"/>
      <c r="L1586" s="117"/>
      <c r="M1586" s="56">
        <v>320</v>
      </c>
    </row>
    <row r="1587" spans="1:13" s="51" customFormat="1" ht="41.4" hidden="1" customHeight="1">
      <c r="A1587" s="68">
        <f t="shared" si="68"/>
        <v>0</v>
      </c>
      <c r="B1587" s="69"/>
      <c r="C1587" s="69"/>
      <c r="D1587" s="220">
        <f>IF(H1587&gt;0,D1578+1,D1578)</f>
        <v>2</v>
      </c>
      <c r="E1587" s="238"/>
      <c r="F1587" s="362" t="s">
        <v>501</v>
      </c>
      <c r="G1587" s="220" t="s">
        <v>67</v>
      </c>
      <c r="H1587" s="240">
        <f>H1450*0</f>
        <v>0</v>
      </c>
      <c r="I1587" s="91">
        <f t="shared" si="67"/>
        <v>0</v>
      </c>
      <c r="J1587" s="146"/>
      <c r="K1587" s="146"/>
      <c r="L1587" s="117"/>
      <c r="M1587" s="56">
        <v>320</v>
      </c>
    </row>
    <row r="1588" spans="1:13" s="51" customFormat="1" ht="25.2" hidden="1" customHeight="1">
      <c r="A1588" s="68">
        <f>IF(A1587&gt;0,1,0)</f>
        <v>0</v>
      </c>
      <c r="B1588" s="69"/>
      <c r="C1588" s="69"/>
      <c r="D1588" s="111"/>
      <c r="E1588" s="242"/>
      <c r="F1588" s="248" t="s">
        <v>68</v>
      </c>
      <c r="G1588" s="111"/>
      <c r="H1588" s="244"/>
      <c r="I1588" s="91">
        <f t="shared" si="67"/>
        <v>0</v>
      </c>
      <c r="J1588" s="146"/>
      <c r="K1588" s="146"/>
      <c r="L1588" s="117"/>
      <c r="M1588" s="56">
        <v>320</v>
      </c>
    </row>
    <row r="1589" spans="1:13" s="51" customFormat="1" ht="25.2" hidden="1" customHeight="1">
      <c r="A1589" s="68">
        <f t="shared" si="68"/>
        <v>0</v>
      </c>
      <c r="B1589" s="86" t="s">
        <v>412</v>
      </c>
      <c r="C1589" s="86"/>
      <c r="D1589" s="87"/>
      <c r="E1589" s="88">
        <f>VLOOKUP($B1589,[1]DG!A:D,[1]DG!$B$2,)</f>
        <v>0</v>
      </c>
      <c r="F1589" s="89" t="str">
        <f>VLOOKUP($B1589,[1]DG!A:D,[1]DG!$C$2,)&amp;": trong möông vaø leân MBA"</f>
        <v>Cáp 24kV C/XLPE/DSTA/PVC3x50: trong möông vaø leân MBA</v>
      </c>
      <c r="G1589" s="88" t="str">
        <f>VLOOKUP($B1589,[1]DG!A:D,[1]DG!$D$2,)</f>
        <v>mét</v>
      </c>
      <c r="H1589" s="145">
        <f>H1568+H1587*8</f>
        <v>0</v>
      </c>
      <c r="I1589" s="91">
        <f t="shared" ref="I1589:I1657" si="69">IF(M1589=$M$23,H1589+J1589-K1589,0)</f>
        <v>0</v>
      </c>
      <c r="J1589" s="146"/>
      <c r="K1589" s="146"/>
      <c r="L1589" s="117"/>
      <c r="M1589" s="56">
        <v>320</v>
      </c>
    </row>
    <row r="1590" spans="1:13" s="51" customFormat="1" ht="25.2" hidden="1" customHeight="1">
      <c r="A1590" s="68">
        <f t="shared" si="68"/>
        <v>0</v>
      </c>
      <c r="B1590" s="86" t="s">
        <v>413</v>
      </c>
      <c r="C1590" s="86"/>
      <c r="D1590" s="87"/>
      <c r="E1590" s="88">
        <f>VLOOKUP($B1590,[1]DG!A:D,[1]DG!$B$2,)</f>
        <v>0</v>
      </c>
      <c r="F1590" s="89" t="str">
        <f>VLOOKUP($B1590,[1]DG!A:D,[1]DG!$C$2,)&amp;": trung tính"</f>
        <v>Cáp 24KV C/XLPE/PVC 50mm2: trung tính</v>
      </c>
      <c r="G1590" s="88" t="str">
        <f>VLOOKUP($B1590,[1]DG!A:D,[1]DG!$D$2,)</f>
        <v>mét</v>
      </c>
      <c r="H1590" s="145">
        <f>H1589</f>
        <v>0</v>
      </c>
      <c r="I1590" s="91">
        <f t="shared" si="69"/>
        <v>0</v>
      </c>
      <c r="J1590" s="146"/>
      <c r="K1590" s="146"/>
      <c r="L1590" s="117"/>
      <c r="M1590" s="56">
        <v>320</v>
      </c>
    </row>
    <row r="1591" spans="1:13" s="51" customFormat="1" ht="25.2" hidden="1" customHeight="1">
      <c r="A1591" s="68">
        <f t="shared" si="68"/>
        <v>0</v>
      </c>
      <c r="B1591" s="86" t="s">
        <v>413</v>
      </c>
      <c r="C1591" s="86"/>
      <c r="D1591" s="87"/>
      <c r="E1591" s="88">
        <f>VLOOKUP($B1591,[1]DG!A:D,[1]DG!$B$2,)</f>
        <v>0</v>
      </c>
      <c r="F1591" s="89" t="str">
        <f>VLOOKUP($B1591,[1]DG!A:D,[1]DG!$C$2,)&amp;": 0,5m/pha töø FCO xuoáng MBA"</f>
        <v>Cáp 24KV C/XLPE/PVC 50mm2: 0,5m/pha töø FCO xuoáng MBA</v>
      </c>
      <c r="G1591" s="88" t="str">
        <f>VLOOKUP($B1591,[1]DG!A:D,[1]DG!$D$2,)</f>
        <v>mét</v>
      </c>
      <c r="H1591" s="145">
        <f>H1587*0.5*3*0</f>
        <v>0</v>
      </c>
      <c r="I1591" s="91">
        <f t="shared" si="69"/>
        <v>0</v>
      </c>
      <c r="J1591" s="146"/>
      <c r="K1591" s="146"/>
      <c r="L1591" s="117"/>
      <c r="M1591" s="56">
        <v>320</v>
      </c>
    </row>
    <row r="1592" spans="1:13" s="51" customFormat="1" ht="25.2" hidden="1" customHeight="1">
      <c r="A1592" s="68">
        <f t="shared" si="68"/>
        <v>0</v>
      </c>
      <c r="B1592" s="86" t="s">
        <v>414</v>
      </c>
      <c r="C1592" s="86"/>
      <c r="D1592" s="87"/>
      <c r="E1592" s="88">
        <f>VLOOKUP($B1592,[1]DG!A:D,[1]DG!$B$2,)</f>
        <v>0</v>
      </c>
      <c r="F1592" s="89" t="str">
        <f>VLOOKUP($B1592,[1]DG!A:D,[1]DG!$C$2,)</f>
        <v>Đầu cáp ngầm 24KV 3x50mm2 outdoor</v>
      </c>
      <c r="G1592" s="88" t="str">
        <f>VLOOKUP($B1592,[1]DG!A:D,[1]DG!$D$2,)</f>
        <v>cái</v>
      </c>
      <c r="H1592" s="145">
        <f>H1587</f>
        <v>0</v>
      </c>
      <c r="I1592" s="91">
        <f t="shared" si="69"/>
        <v>0</v>
      </c>
      <c r="J1592" s="146"/>
      <c r="K1592" s="146"/>
      <c r="L1592" s="117"/>
      <c r="M1592" s="56">
        <v>320</v>
      </c>
    </row>
    <row r="1593" spans="1:13" s="51" customFormat="1" ht="25.2" hidden="1" customHeight="1">
      <c r="A1593" s="68">
        <f t="shared" si="68"/>
        <v>0</v>
      </c>
      <c r="B1593" s="86" t="s">
        <v>412</v>
      </c>
      <c r="C1593" s="86"/>
      <c r="D1593" s="87"/>
      <c r="E1593" s="88">
        <f>VLOOKUP($B1593,[1]DG!A:D,[1]DG!$B$2,)</f>
        <v>0</v>
      </c>
      <c r="F1593" s="89" t="str">
        <f>VLOOKUP($B1593,[1]DG!A:D,[1]DG!$C$2,)&amp;": töø tuû LBS ñeán MBA"</f>
        <v>Cáp 24kV C/XLPE/DSTA/PVC3x50: töø tuû LBS ñeán MBA</v>
      </c>
      <c r="G1593" s="88" t="str">
        <f>VLOOKUP($B1593,[1]DG!A:D,[1]DG!$D$2,)</f>
        <v>mét</v>
      </c>
      <c r="H1593" s="145">
        <f>(1.2+2.4)*H1587*0</f>
        <v>0</v>
      </c>
      <c r="I1593" s="91">
        <f t="shared" si="69"/>
        <v>0</v>
      </c>
      <c r="J1593" s="146"/>
      <c r="K1593" s="146"/>
      <c r="L1593" s="117"/>
      <c r="M1593" s="56">
        <v>320</v>
      </c>
    </row>
    <row r="1594" spans="1:13" s="51" customFormat="1" ht="25.2" hidden="1" customHeight="1">
      <c r="A1594" s="68">
        <f t="shared" si="68"/>
        <v>0</v>
      </c>
      <c r="B1594" s="86" t="s">
        <v>413</v>
      </c>
      <c r="C1594" s="86"/>
      <c r="D1594" s="87"/>
      <c r="E1594" s="88">
        <f>VLOOKUP($B1594,[1]DG!A:D,[1]DG!$B$2,)</f>
        <v>0</v>
      </c>
      <c r="F1594" s="89" t="str">
        <f>VLOOKUP($B1594,[1]DG!A:D,[1]DG!$C$2,)&amp;": töø tuû LBS ñeán MBA"</f>
        <v>Cáp 24KV C/XLPE/PVC 50mm2: töø tuû LBS ñeán MBA</v>
      </c>
      <c r="G1594" s="88" t="str">
        <f>VLOOKUP($B1594,[1]DG!A:D,[1]DG!$D$2,)</f>
        <v>mét</v>
      </c>
      <c r="H1594" s="145">
        <f>H1587*1.2*0</f>
        <v>0</v>
      </c>
      <c r="I1594" s="91">
        <f t="shared" si="69"/>
        <v>0</v>
      </c>
      <c r="J1594" s="146"/>
      <c r="K1594" s="146"/>
      <c r="L1594" s="117"/>
      <c r="M1594" s="56">
        <v>320</v>
      </c>
    </row>
    <row r="1595" spans="1:13" s="51" customFormat="1" ht="25.2" hidden="1" customHeight="1">
      <c r="A1595" s="68">
        <f t="shared" si="68"/>
        <v>0</v>
      </c>
      <c r="B1595" s="86" t="s">
        <v>415</v>
      </c>
      <c r="C1595" s="86"/>
      <c r="D1595" s="87"/>
      <c r="E1595" s="88">
        <f>VLOOKUP($B1595,[1]DG!A:D,[1]DG!$B$2,)</f>
        <v>0</v>
      </c>
      <c r="F1595" s="89" t="str">
        <f>VLOOKUP($B1595,[1]DG!A:D,[1]DG!$C$2,)</f>
        <v>Đầu cáp ngầm 24KV 3x50mm2 indoor</v>
      </c>
      <c r="G1595" s="88" t="str">
        <f>VLOOKUP($B1595,[1]DG!A:D,[1]DG!$D$2,)</f>
        <v>cái</v>
      </c>
      <c r="H1595" s="145">
        <f>H1587</f>
        <v>0</v>
      </c>
      <c r="I1595" s="91">
        <f t="shared" si="69"/>
        <v>0</v>
      </c>
      <c r="J1595" s="146"/>
      <c r="K1595" s="146"/>
      <c r="L1595" s="117"/>
      <c r="M1595" s="56">
        <v>320</v>
      </c>
    </row>
    <row r="1596" spans="1:13" s="51" customFormat="1" ht="25.2" hidden="1" customHeight="1">
      <c r="A1596" s="68">
        <f t="shared" si="68"/>
        <v>0</v>
      </c>
      <c r="B1596" s="86" t="s">
        <v>416</v>
      </c>
      <c r="C1596" s="86"/>
      <c r="D1596" s="87"/>
      <c r="E1596" s="88" t="str">
        <f>VLOOKUP($B1596,[1]DG!A:D,[1]DG!$B$2,)</f>
        <v>07.4312</v>
      </c>
      <c r="F1596" s="89" t="str">
        <f>VLOOKUP($B1596,[1]DG!A:D,[1]DG!$C$2,)</f>
        <v>Lắp đầu cáp trung thế 3x50mm2, 70mm2</v>
      </c>
      <c r="G1596" s="88" t="str">
        <f>VLOOKUP($B1596,[1]DG!A:D,[1]DG!$D$2,)</f>
        <v>cái</v>
      </c>
      <c r="H1596" s="145">
        <f>H1592+H1595</f>
        <v>0</v>
      </c>
      <c r="I1596" s="91">
        <f t="shared" si="69"/>
        <v>0</v>
      </c>
      <c r="J1596" s="146"/>
      <c r="K1596" s="146"/>
      <c r="L1596" s="117"/>
      <c r="M1596" s="56">
        <v>320</v>
      </c>
    </row>
    <row r="1597" spans="1:13" s="51" customFormat="1" ht="25.2" hidden="1" customHeight="1">
      <c r="A1597" s="68">
        <f t="shared" si="68"/>
        <v>0</v>
      </c>
      <c r="B1597" s="86" t="s">
        <v>417</v>
      </c>
      <c r="C1597" s="86"/>
      <c r="D1597" s="87"/>
      <c r="E1597" s="88" t="str">
        <f>VLOOKUP($B1597,[1]DG!A:D,[1]DG!$B$2,)</f>
        <v>03.1405</v>
      </c>
      <c r="F1597" s="89" t="str">
        <f>VLOOKUP($B1597,[1]DG!A:D,[1]DG!$C$2,)</f>
        <v>Lắp cáp trong ống bảo vệ trong TBA loại &lt;=6kg</v>
      </c>
      <c r="G1597" s="88" t="str">
        <f>VLOOKUP($B1597,[1]DG!A:D,[1]DG!$D$2,)</f>
        <v>mét</v>
      </c>
      <c r="H1597" s="145">
        <f>H1589+H1593</f>
        <v>0</v>
      </c>
      <c r="I1597" s="91">
        <f t="shared" si="69"/>
        <v>0</v>
      </c>
      <c r="J1597" s="146"/>
      <c r="K1597" s="146"/>
      <c r="L1597" s="117"/>
      <c r="M1597" s="56">
        <v>320</v>
      </c>
    </row>
    <row r="1598" spans="1:13" s="51" customFormat="1" ht="25.2" hidden="1" customHeight="1">
      <c r="A1598" s="68">
        <f t="shared" si="68"/>
        <v>0</v>
      </c>
      <c r="B1598" s="86" t="s">
        <v>418</v>
      </c>
      <c r="C1598" s="86"/>
      <c r="D1598" s="87"/>
      <c r="E1598" s="88" t="str">
        <f>VLOOKUP($B1598,[1]DG!A:D,[1]DG!$B$2,)</f>
        <v>03.1402</v>
      </c>
      <c r="F1598" s="89" t="str">
        <f>VLOOKUP($B1598,[1]DG!A:D,[1]DG!$C$2,)</f>
        <v>Lắp cáp trong ống bảo vệ trong TBA loại &lt;=2kg</v>
      </c>
      <c r="G1598" s="88" t="str">
        <f>VLOOKUP($B1598,[1]DG!A:D,[1]DG!$D$2,)</f>
        <v>mét</v>
      </c>
      <c r="H1598" s="145">
        <f>H1590+H1594</f>
        <v>0</v>
      </c>
      <c r="I1598" s="91">
        <f t="shared" si="69"/>
        <v>0</v>
      </c>
      <c r="J1598" s="146"/>
      <c r="K1598" s="146"/>
      <c r="L1598" s="117"/>
      <c r="M1598" s="56">
        <v>320</v>
      </c>
    </row>
    <row r="1599" spans="1:13" s="51" customFormat="1" ht="25.2" hidden="1" customHeight="1">
      <c r="A1599" s="68">
        <f t="shared" si="68"/>
        <v>0</v>
      </c>
      <c r="B1599" s="86" t="s">
        <v>101</v>
      </c>
      <c r="C1599" s="86"/>
      <c r="D1599" s="87"/>
      <c r="E1599" s="88" t="str">
        <f>VLOOKUP($B1599,[1]DG!A:D,[1]DG!$B$2,)</f>
        <v>04.4201</v>
      </c>
      <c r="F1599" s="89" t="str">
        <f>VLOOKUP($B1599,[1]DG!A:D,[1]DG!$C$2,)</f>
        <v>Lắp cáp đồng xuống thiết bị D ≤ 95mm2</v>
      </c>
      <c r="G1599" s="88" t="str">
        <f>VLOOKUP($B1599,[1]DG!A:D,[1]DG!$D$2,)</f>
        <v>m</v>
      </c>
      <c r="H1599" s="145">
        <f>H1591</f>
        <v>0</v>
      </c>
      <c r="I1599" s="91">
        <f t="shared" si="69"/>
        <v>0</v>
      </c>
      <c r="J1599" s="146"/>
      <c r="K1599" s="146"/>
      <c r="L1599" s="117"/>
      <c r="M1599" s="56">
        <v>320</v>
      </c>
    </row>
    <row r="1600" spans="1:13" s="51" customFormat="1" ht="25.2" hidden="1" customHeight="1">
      <c r="A1600" s="68">
        <f t="shared" si="68"/>
        <v>0</v>
      </c>
      <c r="B1600" s="86" t="s">
        <v>419</v>
      </c>
      <c r="C1600" s="86"/>
      <c r="D1600" s="87"/>
      <c r="E1600" s="88">
        <f>VLOOKUP($B1600,[1]DG!A:D,[1]DG!$B$2,)</f>
        <v>0</v>
      </c>
      <c r="F1600" s="89" t="str">
        <f>VLOOKUP($B1600,[1]DG!A:D,[1]DG!$C$2,)</f>
        <v>Dây rút cáp</v>
      </c>
      <c r="G1600" s="88" t="str">
        <f>VLOOKUP($B1600,[1]DG!A:D,[1]DG!$D$2,)</f>
        <v>bọc</v>
      </c>
      <c r="H1600" s="145">
        <f>H1587*2</f>
        <v>0</v>
      </c>
      <c r="I1600" s="91">
        <f t="shared" si="69"/>
        <v>0</v>
      </c>
      <c r="J1600" s="146"/>
      <c r="K1600" s="146"/>
      <c r="L1600" s="117"/>
      <c r="M1600" s="56">
        <v>320</v>
      </c>
    </row>
    <row r="1601" spans="1:13" s="51" customFormat="1" ht="25.2" hidden="1" customHeight="1">
      <c r="A1601" s="68">
        <f t="shared" si="68"/>
        <v>0</v>
      </c>
      <c r="B1601" s="69"/>
      <c r="C1601" s="69"/>
      <c r="D1601" s="220">
        <f>IF(H1601&gt;0,D1587+1,D1587)</f>
        <v>2</v>
      </c>
      <c r="E1601" s="238"/>
      <c r="F1601" s="247" t="s">
        <v>502</v>
      </c>
      <c r="G1601" s="220" t="s">
        <v>67</v>
      </c>
      <c r="H1601" s="240">
        <f>H1450</f>
        <v>0</v>
      </c>
      <c r="I1601" s="91">
        <f t="shared" si="69"/>
        <v>0</v>
      </c>
      <c r="J1601" s="146"/>
      <c r="K1601" s="146"/>
      <c r="L1601" s="96"/>
      <c r="M1601" s="56">
        <v>320</v>
      </c>
    </row>
    <row r="1602" spans="1:13" s="51" customFormat="1" ht="25.2" hidden="1" customHeight="1">
      <c r="A1602" s="68">
        <f>IF(A1601&gt;0,1,0)</f>
        <v>0</v>
      </c>
      <c r="B1602" s="69"/>
      <c r="C1602" s="69"/>
      <c r="D1602" s="111"/>
      <c r="E1602" s="242"/>
      <c r="F1602" s="248" t="s">
        <v>68</v>
      </c>
      <c r="G1602" s="111"/>
      <c r="H1602" s="244"/>
      <c r="I1602" s="91">
        <f t="shared" si="69"/>
        <v>0</v>
      </c>
      <c r="J1602" s="146"/>
      <c r="K1602" s="146"/>
      <c r="L1602" s="96"/>
      <c r="M1602" s="56">
        <v>320</v>
      </c>
    </row>
    <row r="1603" spans="1:13" s="51" customFormat="1" ht="25.2" hidden="1" customHeight="1">
      <c r="A1603" s="68">
        <f t="shared" si="68"/>
        <v>0</v>
      </c>
      <c r="B1603" s="86" t="s">
        <v>98</v>
      </c>
      <c r="C1603" s="86"/>
      <c r="D1603" s="87"/>
      <c r="E1603" s="88">
        <f>VLOOKUP($B1603,[1]DG!A:D,[1]DG!$B$2,)</f>
        <v>0</v>
      </c>
      <c r="F1603" s="89" t="str">
        <f>VLOOKUP($B1603,[1]DG!A:D,[1]DG!$C$2,)&amp;": 9m/1pha"</f>
        <v>Cáp 24KV CX-25mm2: 9m/1pha</v>
      </c>
      <c r="G1603" s="88" t="str">
        <f>VLOOKUP($B1603,[1]DG!A:D,[1]DG!$D$2,)</f>
        <v>mét</v>
      </c>
      <c r="H1603" s="145">
        <f>H1601*(9)*3</f>
        <v>0</v>
      </c>
      <c r="I1603" s="91">
        <f t="shared" si="69"/>
        <v>0</v>
      </c>
      <c r="J1603" s="146"/>
      <c r="K1603" s="146"/>
      <c r="L1603" s="96"/>
      <c r="M1603" s="56">
        <v>320</v>
      </c>
    </row>
    <row r="1604" spans="1:13" s="51" customFormat="1" ht="25.2" hidden="1" customHeight="1">
      <c r="A1604" s="68">
        <f t="shared" si="68"/>
        <v>0</v>
      </c>
      <c r="B1604" s="86" t="s">
        <v>98</v>
      </c>
      <c r="C1604" s="86"/>
      <c r="D1604" s="87"/>
      <c r="E1604" s="88">
        <f>VLOOKUP($B1604,[1]DG!A:D,[1]DG!$B$2,)</f>
        <v>0</v>
      </c>
      <c r="F1604" s="89" t="str">
        <f>VLOOKUP($B1604,[1]DG!A:D,[1]DG!$C$2,)&amp;": 1m/1pha ñaáu noái  LA"</f>
        <v>Cáp 24KV CX-25mm2: 1m/1pha ñaáu noái  LA</v>
      </c>
      <c r="G1604" s="88" t="str">
        <f>VLOOKUP($B1604,[1]DG!A:D,[1]DG!$D$2,)</f>
        <v>mét</v>
      </c>
      <c r="H1604" s="145">
        <f>H1601*3*1*0</f>
        <v>0</v>
      </c>
      <c r="I1604" s="91">
        <f t="shared" si="69"/>
        <v>0</v>
      </c>
      <c r="J1604" s="146"/>
      <c r="K1604" s="146"/>
      <c r="L1604" s="96"/>
      <c r="M1604" s="56">
        <v>320</v>
      </c>
    </row>
    <row r="1605" spans="1:13" s="51" customFormat="1" ht="25.2" hidden="1" customHeight="1">
      <c r="A1605" s="68">
        <f t="shared" si="68"/>
        <v>0</v>
      </c>
      <c r="B1605" s="86" t="s">
        <v>503</v>
      </c>
      <c r="C1605" s="86"/>
      <c r="D1605" s="87"/>
      <c r="E1605" s="88" t="str">
        <f>VLOOKUP($B1605,[1]DG!A:D,[1]DG!$B$2,)</f>
        <v>03.4001</v>
      </c>
      <c r="F1605" s="89" t="str">
        <f>VLOOKUP($B1605,[1]DG!A:D,[1]DG!$C$2,)&amp;": 1m/1pha ñaáu noái  LA"</f>
        <v>Đầu cosse ép Cu-Al 25mm2: 1m/1pha ñaáu noái  LA</v>
      </c>
      <c r="G1605" s="88" t="str">
        <f>VLOOKUP($B1605,[1]DG!A:D,[1]DG!$D$2,)</f>
        <v>cái</v>
      </c>
      <c r="H1605" s="145">
        <v>6</v>
      </c>
      <c r="I1605" s="91">
        <f t="shared" si="69"/>
        <v>0</v>
      </c>
      <c r="J1605" s="146"/>
      <c r="K1605" s="146"/>
      <c r="L1605" s="96"/>
      <c r="M1605" s="56">
        <v>320</v>
      </c>
    </row>
    <row r="1606" spans="1:13" s="51" customFormat="1" ht="25.2" hidden="1" customHeight="1">
      <c r="A1606" s="68">
        <f t="shared" si="68"/>
        <v>0</v>
      </c>
      <c r="B1606" s="86" t="s">
        <v>185</v>
      </c>
      <c r="C1606" s="86"/>
      <c r="D1606" s="87"/>
      <c r="E1606" s="88">
        <f>VLOOKUP($B1606,[1]DG!A:D,[1]DG!$B$2,)</f>
        <v>0</v>
      </c>
      <c r="F1606" s="89" t="str">
        <f>VLOOKUP($B1606,[1]DG!A:D,[1]DG!$C$2,)</f>
        <v>Kẹp ép cỡ dây 25mm2</v>
      </c>
      <c r="G1606" s="88" t="str">
        <f>VLOOKUP($B1606,[1]DG!A:D,[1]DG!$D$2,)</f>
        <v>cái</v>
      </c>
      <c r="H1606" s="145">
        <f>H1601*3*2*0</f>
        <v>0</v>
      </c>
      <c r="I1606" s="91">
        <f t="shared" si="69"/>
        <v>0</v>
      </c>
      <c r="J1606" s="146"/>
      <c r="K1606" s="146"/>
      <c r="L1606" s="117"/>
      <c r="M1606" s="56">
        <v>320</v>
      </c>
    </row>
    <row r="1607" spans="1:13" s="51" customFormat="1" ht="25.2" hidden="1" customHeight="1">
      <c r="A1607" s="68">
        <f t="shared" si="68"/>
        <v>0</v>
      </c>
      <c r="B1607" s="86" t="s">
        <v>473</v>
      </c>
      <c r="C1607" s="86"/>
      <c r="D1607" s="87"/>
      <c r="E1607" s="88">
        <f>VLOOKUP($B1607,[1]DG!A:D,[1]DG!$B$2,)</f>
        <v>0</v>
      </c>
      <c r="F1607" s="89" t="str">
        <f>VLOOKUP($B1607,[1]DG!A:D,[1]DG!$C$2,)</f>
        <v>Bass LL bắt FCO, LA</v>
      </c>
      <c r="G1607" s="88" t="str">
        <f>VLOOKUP($B1607,[1]DG!A:D,[1]DG!$D$2,)</f>
        <v>bộ</v>
      </c>
      <c r="H1607" s="145">
        <f>H1601*3*2*0</f>
        <v>0</v>
      </c>
      <c r="I1607" s="91">
        <f t="shared" si="69"/>
        <v>0</v>
      </c>
      <c r="J1607" s="146"/>
      <c r="K1607" s="146"/>
      <c r="L1607" s="117"/>
      <c r="M1607" s="56">
        <v>320</v>
      </c>
    </row>
    <row r="1608" spans="1:13" s="51" customFormat="1" ht="25.2" hidden="1" customHeight="1">
      <c r="A1608" s="68">
        <f t="shared" si="68"/>
        <v>0</v>
      </c>
      <c r="B1608" s="86" t="s">
        <v>207</v>
      </c>
      <c r="C1608" s="86"/>
      <c r="D1608" s="87"/>
      <c r="E1608" s="88" t="str">
        <f>VLOOKUP($B1608,[1]DG!A:D,[1]DG!$B$2,)</f>
        <v>04.3007</v>
      </c>
      <c r="F1608" s="89" t="str">
        <f>VLOOKUP($B1608,[1]DG!A:D,[1]DG!$C$2,)</f>
        <v>Kẹp quai 2/0 + chụp cách điện</v>
      </c>
      <c r="G1608" s="88" t="str">
        <f>VLOOKUP($B1608,[1]DG!A:D,[1]DG!$D$2,)</f>
        <v>bộ</v>
      </c>
      <c r="H1608" s="145">
        <f>H1601*3</f>
        <v>0</v>
      </c>
      <c r="I1608" s="91">
        <f t="shared" si="69"/>
        <v>0</v>
      </c>
      <c r="J1608" s="146"/>
      <c r="K1608" s="146"/>
      <c r="L1608" s="96"/>
      <c r="M1608" s="56">
        <v>320</v>
      </c>
    </row>
    <row r="1609" spans="1:13" s="51" customFormat="1" ht="25.2" hidden="1" customHeight="1">
      <c r="A1609" s="68">
        <f t="shared" si="68"/>
        <v>0</v>
      </c>
      <c r="B1609" s="86" t="s">
        <v>100</v>
      </c>
      <c r="C1609" s="86"/>
      <c r="D1609" s="87"/>
      <c r="E1609" s="88" t="str">
        <f>VLOOKUP($B1609,[1]DG!A:D,[1]DG!$B$2,)</f>
        <v>04.3007</v>
      </c>
      <c r="F1609" s="89" t="str">
        <f>VLOOKUP($B1609,[1]DG!A:D,[1]DG!$C$2,)</f>
        <v>Kẹp hotline 2/0</v>
      </c>
      <c r="G1609" s="88" t="str">
        <f>VLOOKUP($B1609,[1]DG!A:D,[1]DG!$D$2,)</f>
        <v>cái</v>
      </c>
      <c r="H1609" s="145">
        <f>H1608</f>
        <v>0</v>
      </c>
      <c r="I1609" s="91">
        <f t="shared" si="69"/>
        <v>0</v>
      </c>
      <c r="J1609" s="146"/>
      <c r="K1609" s="146"/>
      <c r="L1609" s="96"/>
      <c r="M1609" s="56">
        <v>320</v>
      </c>
    </row>
    <row r="1610" spans="1:13" s="51" customFormat="1" ht="25.2" hidden="1" customHeight="1">
      <c r="A1610" s="68">
        <f t="shared" si="68"/>
        <v>0</v>
      </c>
      <c r="B1610" s="86" t="s">
        <v>138</v>
      </c>
      <c r="C1610" s="86"/>
      <c r="D1610" s="96"/>
      <c r="E1610" s="88">
        <f>VLOOKUP($B1610,[1]DG!A:D,[1]DG!$B$2,)</f>
        <v>0</v>
      </c>
      <c r="F1610" s="89" t="str">
        <f>VLOOKUP($B1610,[1]DG!A:D,[1]DG!$C$2,)</f>
        <v xml:space="preserve">Sứ đứng 24KV </v>
      </c>
      <c r="G1610" s="88" t="str">
        <f>VLOOKUP($B1610,[1]DG!A:D,[1]DG!$D$2,)</f>
        <v>cái</v>
      </c>
      <c r="H1610" s="145">
        <v>3</v>
      </c>
      <c r="I1610" s="91">
        <f t="shared" si="69"/>
        <v>0</v>
      </c>
      <c r="J1610" s="146"/>
      <c r="K1610" s="146"/>
      <c r="L1610" s="96"/>
      <c r="M1610" s="56">
        <v>320</v>
      </c>
    </row>
    <row r="1611" spans="1:13" s="51" customFormat="1" ht="25.2" hidden="1" customHeight="1">
      <c r="A1611" s="68">
        <f t="shared" si="68"/>
        <v>0</v>
      </c>
      <c r="B1611" s="86" t="s">
        <v>139</v>
      </c>
      <c r="C1611" s="86"/>
      <c r="D1611" s="87"/>
      <c r="E1611" s="88">
        <f>VLOOKUP($B1611,[1]DG!A:D,[1]DG!$B$2,)</f>
        <v>0</v>
      </c>
      <c r="F1611" s="89" t="str">
        <f>VLOOKUP($B1611,[1]DG!A:D,[1]DG!$C$2,)</f>
        <v>Chân sứ đứng D20</v>
      </c>
      <c r="G1611" s="88" t="str">
        <f>VLOOKUP($B1611,[1]DG!A:D,[1]DG!$D$2,)</f>
        <v>cái</v>
      </c>
      <c r="H1611" s="145">
        <f>H1609</f>
        <v>0</v>
      </c>
      <c r="I1611" s="91">
        <f t="shared" si="69"/>
        <v>0</v>
      </c>
      <c r="J1611" s="146"/>
      <c r="K1611" s="146"/>
      <c r="L1611" s="96"/>
      <c r="M1611" s="56">
        <v>320</v>
      </c>
    </row>
    <row r="1612" spans="1:13" s="51" customFormat="1" ht="25.2" hidden="1" customHeight="1">
      <c r="A1612" s="68">
        <f t="shared" si="68"/>
        <v>0</v>
      </c>
      <c r="B1612" s="86" t="s">
        <v>504</v>
      </c>
      <c r="C1612" s="86"/>
      <c r="D1612" s="87"/>
      <c r="E1612" s="88">
        <f>VLOOKUP($B1612,[1]DG!A:D,[1]DG!$B$2,)</f>
        <v>0</v>
      </c>
      <c r="F1612" s="89" t="str">
        <f>VLOOKUP($B1612,[1]DG!A:D,[1]DG!$C$2,)</f>
        <v>Dây buộc đầu sứ TTF cỡ dây 50mm2</v>
      </c>
      <c r="G1612" s="88" t="str">
        <f>VLOOKUP($B1612,[1]DG!A:D,[1]DG!$D$2,)</f>
        <v>cái</v>
      </c>
      <c r="H1612" s="145">
        <f>H1610</f>
        <v>3</v>
      </c>
      <c r="I1612" s="91">
        <f t="shared" si="69"/>
        <v>0</v>
      </c>
      <c r="J1612" s="146"/>
      <c r="K1612" s="146"/>
      <c r="L1612" s="96"/>
      <c r="M1612" s="56">
        <v>320</v>
      </c>
    </row>
    <row r="1613" spans="1:13" s="51" customFormat="1" ht="25.2" hidden="1" customHeight="1">
      <c r="A1613" s="68">
        <f t="shared" si="68"/>
        <v>0</v>
      </c>
      <c r="B1613" s="363" t="s">
        <v>135</v>
      </c>
      <c r="C1613" s="363"/>
      <c r="D1613" s="87"/>
      <c r="E1613" s="88">
        <f>VLOOKUP($B1613,[1]DG!A:D,[1]DG!$B$2,)</f>
        <v>0</v>
      </c>
      <c r="F1613" s="89" t="str">
        <f>VLOOKUP($B1613,[1]DG!A:D,[1]DG!$C$2,)</f>
        <v>Chụp đầu cực FCO (bộ 2 cái)</v>
      </c>
      <c r="G1613" s="88" t="str">
        <f>VLOOKUP($B1613,[1]DG!A:D,[1]DG!$D$2,)</f>
        <v>bộ</v>
      </c>
      <c r="H1613" s="340">
        <v>3</v>
      </c>
      <c r="I1613" s="91">
        <f t="shared" si="69"/>
        <v>0</v>
      </c>
      <c r="J1613" s="146"/>
      <c r="K1613" s="146"/>
      <c r="L1613" s="96"/>
      <c r="M1613" s="56">
        <v>320</v>
      </c>
    </row>
    <row r="1614" spans="1:13" s="51" customFormat="1" ht="25.2" hidden="1" customHeight="1">
      <c r="A1614" s="68">
        <f t="shared" si="68"/>
        <v>0</v>
      </c>
      <c r="B1614" s="363" t="s">
        <v>136</v>
      </c>
      <c r="C1614" s="363"/>
      <c r="D1614" s="87"/>
      <c r="E1614" s="88">
        <f>VLOOKUP($B1614,[1]DG!A:D,[1]DG!$B$2,)</f>
        <v>0</v>
      </c>
      <c r="F1614" s="89" t="str">
        <f>VLOOKUP($B1614,[1]DG!A:D,[1]DG!$C$2,)</f>
        <v>Chụp đầu cực LA</v>
      </c>
      <c r="G1614" s="88" t="str">
        <f>VLOOKUP($B1614,[1]DG!A:D,[1]DG!$D$2,)</f>
        <v>cái</v>
      </c>
      <c r="H1614" s="340">
        <f>H1601*3</f>
        <v>0</v>
      </c>
      <c r="I1614" s="91">
        <f t="shared" si="69"/>
        <v>0</v>
      </c>
      <c r="J1614" s="146"/>
      <c r="K1614" s="146"/>
      <c r="L1614" s="96"/>
      <c r="M1614" s="56">
        <v>320</v>
      </c>
    </row>
    <row r="1615" spans="1:13" s="51" customFormat="1" ht="25.2" hidden="1" customHeight="1">
      <c r="A1615" s="68">
        <f t="shared" si="68"/>
        <v>0</v>
      </c>
      <c r="B1615" s="363" t="s">
        <v>137</v>
      </c>
      <c r="C1615" s="363"/>
      <c r="D1615" s="87"/>
      <c r="E1615" s="88">
        <f>VLOOKUP($B1615,[1]DG!A:D,[1]DG!$B$2,)</f>
        <v>0</v>
      </c>
      <c r="F1615" s="89" t="str">
        <f>VLOOKUP($B1615,[1]DG!A:D,[1]DG!$C$2,)</f>
        <v>Chụp đầu MBA</v>
      </c>
      <c r="G1615" s="88" t="str">
        <f>VLOOKUP($B1615,[1]DG!A:D,[1]DG!$D$2,)</f>
        <v>cái</v>
      </c>
      <c r="H1615" s="340">
        <f>H1614</f>
        <v>0</v>
      </c>
      <c r="I1615" s="91">
        <f t="shared" si="69"/>
        <v>0</v>
      </c>
      <c r="J1615" s="146"/>
      <c r="K1615" s="146"/>
      <c r="L1615" s="96"/>
      <c r="M1615" s="56">
        <v>320</v>
      </c>
    </row>
    <row r="1616" spans="1:13" s="51" customFormat="1" ht="25.2" hidden="1" customHeight="1">
      <c r="A1616" s="68">
        <f t="shared" si="68"/>
        <v>0</v>
      </c>
      <c r="B1616" s="86" t="s">
        <v>423</v>
      </c>
      <c r="C1616" s="86"/>
      <c r="D1616" s="87"/>
      <c r="E1616" s="88" t="str">
        <f>VLOOKUP($B1616,[1]DG!A:D,[1]DG!$B$2,)</f>
        <v>06.1115</v>
      </c>
      <c r="F1616" s="89" t="str">
        <f>VLOOKUP($B1616,[1]DG!A:D,[1]DG!$C$2,)</f>
        <v>Lắp sứ đứng 24KV</v>
      </c>
      <c r="G1616" s="88" t="str">
        <f>VLOOKUP($B1616,[1]DG!A:D,[1]DG!$D$2,)</f>
        <v>bộ</v>
      </c>
      <c r="H1616" s="145">
        <f>H1610</f>
        <v>3</v>
      </c>
      <c r="I1616" s="91">
        <f t="shared" si="69"/>
        <v>0</v>
      </c>
      <c r="J1616" s="146"/>
      <c r="K1616" s="146"/>
      <c r="L1616" s="96"/>
      <c r="M1616" s="56">
        <v>320</v>
      </c>
    </row>
    <row r="1617" spans="1:13" s="51" customFormat="1" ht="25.2" hidden="1" customHeight="1">
      <c r="A1617" s="68">
        <f t="shared" si="68"/>
        <v>0</v>
      </c>
      <c r="B1617" s="86" t="s">
        <v>424</v>
      </c>
      <c r="C1617" s="86"/>
      <c r="D1617" s="87"/>
      <c r="E1617" s="88" t="str">
        <f>VLOOKUP($B1617,[1]DG!A:D,[1]DG!$B$2,)</f>
        <v>06.1115</v>
      </c>
      <c r="F1617" s="89" t="str">
        <f>VLOOKUP($B1617,[1]DG!A:D,[1]DG!$C$2,)</f>
        <v>Tháo sứ đứng 24KV</v>
      </c>
      <c r="G1617" s="88" t="str">
        <f>VLOOKUP($B1617,[1]DG!A:D,[1]DG!$D$2,)</f>
        <v>bộ</v>
      </c>
      <c r="H1617" s="145"/>
      <c r="I1617" s="91">
        <f t="shared" si="69"/>
        <v>0</v>
      </c>
      <c r="J1617" s="146"/>
      <c r="K1617" s="146"/>
      <c r="L1617" s="96"/>
      <c r="M1617" s="56">
        <v>320</v>
      </c>
    </row>
    <row r="1618" spans="1:13" s="51" customFormat="1" ht="25.2" hidden="1" customHeight="1">
      <c r="A1618" s="68">
        <f t="shared" si="68"/>
        <v>0</v>
      </c>
      <c r="B1618" s="86" t="s">
        <v>425</v>
      </c>
      <c r="C1618" s="86"/>
      <c r="D1618" s="87"/>
      <c r="E1618" s="88" t="str">
        <f>VLOOKUP($B1618,[1]DG!A:D,[1]DG!$B$2,)</f>
        <v>06.2201</v>
      </c>
      <c r="F1618" s="89" t="str">
        <f>VLOOKUP($B1618,[1]DG!A:D,[1]DG!$C$2,)</f>
        <v>Lắp chuỗi sứ néo Polymer</v>
      </c>
      <c r="G1618" s="88" t="str">
        <f>VLOOKUP($B1618,[1]DG!A:D,[1]DG!$D$2,)</f>
        <v>chuỗi</v>
      </c>
      <c r="H1618" s="145">
        <f>H1613</f>
        <v>3</v>
      </c>
      <c r="I1618" s="91">
        <f t="shared" si="69"/>
        <v>0</v>
      </c>
      <c r="J1618" s="146"/>
      <c r="K1618" s="146"/>
      <c r="L1618" s="96"/>
      <c r="M1618" s="56">
        <v>320</v>
      </c>
    </row>
    <row r="1619" spans="1:13" s="51" customFormat="1" ht="25.2" hidden="1" customHeight="1">
      <c r="A1619" s="68">
        <f t="shared" si="68"/>
        <v>0</v>
      </c>
      <c r="B1619" s="86" t="s">
        <v>101</v>
      </c>
      <c r="C1619" s="86"/>
      <c r="D1619" s="87"/>
      <c r="E1619" s="88" t="str">
        <f>VLOOKUP($B1619,[1]DG!A:D,[1]DG!$B$2,)</f>
        <v>04.4201</v>
      </c>
      <c r="F1619" s="89" t="str">
        <f>VLOOKUP($B1619,[1]DG!A:D,[1]DG!$C$2,)</f>
        <v>Lắp cáp đồng xuống thiết bị D ≤ 95mm2</v>
      </c>
      <c r="G1619" s="88" t="str">
        <f>VLOOKUP($B1619,[1]DG!A:D,[1]DG!$D$2,)</f>
        <v>m</v>
      </c>
      <c r="H1619" s="145">
        <f>H1603+H1604</f>
        <v>0</v>
      </c>
      <c r="I1619" s="91">
        <f t="shared" si="69"/>
        <v>0</v>
      </c>
      <c r="J1619" s="146"/>
      <c r="K1619" s="146"/>
      <c r="L1619" s="96"/>
      <c r="M1619" s="56">
        <v>320</v>
      </c>
    </row>
    <row r="1620" spans="1:13" s="51" customFormat="1" ht="25.2" hidden="1" customHeight="1">
      <c r="A1620" s="68">
        <f t="shared" si="68"/>
        <v>0</v>
      </c>
      <c r="B1620" s="69"/>
      <c r="C1620" s="69"/>
      <c r="D1620" s="220">
        <f>IF(H1620&gt;0,D1601+1,D1601)</f>
        <v>2</v>
      </c>
      <c r="E1620" s="238"/>
      <c r="F1620" s="247" t="s">
        <v>297</v>
      </c>
      <c r="G1620" s="220" t="s">
        <v>67</v>
      </c>
      <c r="H1620" s="240"/>
      <c r="I1620" s="91">
        <f t="shared" si="69"/>
        <v>0</v>
      </c>
      <c r="J1620" s="146"/>
      <c r="K1620" s="146"/>
      <c r="L1620" s="117"/>
      <c r="M1620" s="56">
        <v>320</v>
      </c>
    </row>
    <row r="1621" spans="1:13" s="51" customFormat="1" ht="25.2" hidden="1" customHeight="1">
      <c r="A1621" s="68">
        <f>IF(A1620&gt;0,1,0)</f>
        <v>0</v>
      </c>
      <c r="B1621" s="69"/>
      <c r="C1621" s="69"/>
      <c r="D1621" s="111"/>
      <c r="E1621" s="242"/>
      <c r="F1621" s="248" t="s">
        <v>68</v>
      </c>
      <c r="G1621" s="111"/>
      <c r="H1621" s="244"/>
      <c r="I1621" s="91">
        <f t="shared" si="69"/>
        <v>0</v>
      </c>
      <c r="J1621" s="146"/>
      <c r="K1621" s="146"/>
      <c r="L1621" s="117"/>
      <c r="M1621" s="56">
        <v>320</v>
      </c>
    </row>
    <row r="1622" spans="1:13" s="51" customFormat="1" ht="25.2" hidden="1" customHeight="1">
      <c r="A1622" s="68">
        <f t="shared" si="68"/>
        <v>0</v>
      </c>
      <c r="B1622" s="69" t="s">
        <v>298</v>
      </c>
      <c r="C1622" s="69"/>
      <c r="D1622" s="87"/>
      <c r="E1622" s="88" t="str">
        <f>VLOOKUP($B1622,[1]DG!A:D,[1]DG!$B$2,)</f>
        <v>04.8003</v>
      </c>
      <c r="F1622" s="89" t="str">
        <f>VLOOKUP($B1622,[1]DG!A:D,[1]DG!$C$2,)</f>
        <v xml:space="preserve">Ống PVC D90x3,8mm </v>
      </c>
      <c r="G1622" s="88" t="str">
        <f>VLOOKUP($B1622,[1]DG!A:D,[1]DG!$D$2,)</f>
        <v>m</v>
      </c>
      <c r="H1622" s="145">
        <v>2</v>
      </c>
      <c r="I1622" s="91">
        <f t="shared" si="69"/>
        <v>0</v>
      </c>
      <c r="J1622" s="146"/>
      <c r="K1622" s="146"/>
      <c r="L1622" s="117"/>
      <c r="M1622" s="56">
        <v>320</v>
      </c>
    </row>
    <row r="1623" spans="1:13" s="51" customFormat="1" ht="25.2" hidden="1" customHeight="1">
      <c r="A1623" s="68">
        <f t="shared" si="68"/>
        <v>0</v>
      </c>
      <c r="B1623" s="69" t="s">
        <v>299</v>
      </c>
      <c r="C1623" s="69"/>
      <c r="D1623" s="87"/>
      <c r="E1623" s="88">
        <f>VLOOKUP($B1623,[1]DG!A:D,[1]DG!$B$2,)</f>
        <v>0</v>
      </c>
      <c r="F1623" s="89" t="str">
        <f>VLOOKUP($B1623,[1]DG!A:D,[1]DG!$C$2,)</f>
        <v>Co  90 độ PVC 90</v>
      </c>
      <c r="G1623" s="88" t="str">
        <f>VLOOKUP($B1623,[1]DG!A:D,[1]DG!$D$2,)</f>
        <v>cái</v>
      </c>
      <c r="H1623" s="145">
        <v>2</v>
      </c>
      <c r="I1623" s="91">
        <f t="shared" si="69"/>
        <v>0</v>
      </c>
      <c r="J1623" s="146"/>
      <c r="K1623" s="146"/>
      <c r="L1623" s="117"/>
      <c r="M1623" s="56">
        <v>320</v>
      </c>
    </row>
    <row r="1624" spans="1:13" s="51" customFormat="1" ht="25.2" hidden="1" customHeight="1">
      <c r="A1624" s="68">
        <f t="shared" si="68"/>
        <v>0</v>
      </c>
      <c r="B1624" s="69" t="s">
        <v>486</v>
      </c>
      <c r="C1624" s="69"/>
      <c r="D1624" s="87"/>
      <c r="E1624" s="88">
        <f>VLOOKUP($B1624,[1]DG!A:D,[1]DG!$B$2,)</f>
        <v>0</v>
      </c>
      <c r="F1624" s="89" t="str">
        <f>VLOOKUP($B1624,[1]DG!A:D,[1]DG!$C$2,)</f>
        <v>Khâu ven răng trong D90</v>
      </c>
      <c r="G1624" s="88" t="str">
        <f>VLOOKUP($B1624,[1]DG!A:D,[1]DG!$D$2,)</f>
        <v>cái</v>
      </c>
      <c r="H1624" s="145">
        <v>2</v>
      </c>
      <c r="I1624" s="91">
        <f t="shared" si="69"/>
        <v>0</v>
      </c>
      <c r="J1624" s="146"/>
      <c r="K1624" s="146"/>
      <c r="L1624" s="117"/>
      <c r="M1624" s="56">
        <v>320</v>
      </c>
    </row>
    <row r="1625" spans="1:13" s="51" customFormat="1" ht="25.2" hidden="1" customHeight="1">
      <c r="A1625" s="68">
        <f t="shared" si="68"/>
        <v>0</v>
      </c>
      <c r="B1625" s="69" t="s">
        <v>487</v>
      </c>
      <c r="C1625" s="69"/>
      <c r="D1625" s="87"/>
      <c r="E1625" s="88">
        <f>VLOOKUP($B1625,[1]DG!A:D,[1]DG!$B$2,)</f>
        <v>0</v>
      </c>
      <c r="F1625" s="89" t="str">
        <f>VLOOKUP($B1625,[1]DG!A:D,[1]DG!$C$2,)</f>
        <v>Khâu ven răng ngoài D90</v>
      </c>
      <c r="G1625" s="88" t="str">
        <f>VLOOKUP($B1625,[1]DG!A:D,[1]DG!$D$2,)</f>
        <v>cái</v>
      </c>
      <c r="H1625" s="145">
        <v>2</v>
      </c>
      <c r="I1625" s="91">
        <f t="shared" si="69"/>
        <v>0</v>
      </c>
      <c r="J1625" s="146"/>
      <c r="K1625" s="146"/>
      <c r="L1625" s="117"/>
      <c r="M1625" s="56">
        <v>320</v>
      </c>
    </row>
    <row r="1626" spans="1:13" s="51" customFormat="1" ht="25.2" hidden="1" customHeight="1">
      <c r="A1626" s="68">
        <f t="shared" si="68"/>
        <v>0</v>
      </c>
      <c r="B1626" s="86"/>
      <c r="C1626" s="86"/>
      <c r="D1626" s="220">
        <f>IF(H1626&gt;0,D1620+1,D1620)</f>
        <v>3</v>
      </c>
      <c r="E1626" s="238"/>
      <c r="F1626" s="247" t="s">
        <v>505</v>
      </c>
      <c r="G1626" s="220" t="s">
        <v>67</v>
      </c>
      <c r="H1626" s="337">
        <f>H1561</f>
        <v>1</v>
      </c>
      <c r="I1626" s="91">
        <f t="shared" si="69"/>
        <v>0</v>
      </c>
      <c r="J1626" s="146"/>
      <c r="K1626" s="146"/>
      <c r="L1626" s="96"/>
      <c r="M1626" s="56">
        <v>320</v>
      </c>
    </row>
    <row r="1627" spans="1:13" s="51" customFormat="1" ht="25.2" hidden="1" customHeight="1">
      <c r="A1627" s="68">
        <f>IF(A1626&gt;0,1,0)</f>
        <v>0</v>
      </c>
      <c r="B1627" s="86"/>
      <c r="C1627" s="86"/>
      <c r="D1627" s="111"/>
      <c r="E1627" s="242"/>
      <c r="F1627" s="248" t="s">
        <v>68</v>
      </c>
      <c r="G1627" s="111"/>
      <c r="H1627" s="145"/>
      <c r="I1627" s="91">
        <f t="shared" si="69"/>
        <v>0</v>
      </c>
      <c r="J1627" s="146"/>
      <c r="K1627" s="146"/>
      <c r="L1627" s="96"/>
      <c r="M1627" s="56">
        <v>320</v>
      </c>
    </row>
    <row r="1628" spans="1:13" s="51" customFormat="1" ht="25.2" hidden="1" customHeight="1">
      <c r="A1628" s="68">
        <f t="shared" si="68"/>
        <v>0</v>
      </c>
      <c r="B1628" s="334" t="s">
        <v>506</v>
      </c>
      <c r="C1628" s="334"/>
      <c r="D1628" s="87"/>
      <c r="E1628" s="88">
        <f>VLOOKUP($B1628,[1]DG!A:D,[1]DG!$B$2,)</f>
        <v>0</v>
      </c>
      <c r="F1628" s="89" t="str">
        <f>VLOOKUP($B1628,[1]DG!A:D,[1]DG!$C$2,)</f>
        <v>Cáp đồng bọc CV240</v>
      </c>
      <c r="G1628" s="88" t="str">
        <f>VLOOKUP($B1628,[1]DG!A:D,[1]DG!$D$2,)</f>
        <v>mét</v>
      </c>
      <c r="H1628" s="145">
        <f>8*3*H1626*L12</f>
        <v>0</v>
      </c>
      <c r="I1628" s="91">
        <f t="shared" si="69"/>
        <v>0</v>
      </c>
      <c r="J1628" s="146"/>
      <c r="K1628" s="146"/>
      <c r="L1628" s="96"/>
      <c r="M1628" s="56">
        <v>320</v>
      </c>
    </row>
    <row r="1629" spans="1:13" s="51" customFormat="1" ht="25.2" hidden="1" customHeight="1">
      <c r="A1629" s="68">
        <f t="shared" ref="A1629:A1693" si="70">IF(I1629&gt;0,1,0)</f>
        <v>0</v>
      </c>
      <c r="B1629" s="334" t="s">
        <v>488</v>
      </c>
      <c r="C1629" s="334"/>
      <c r="D1629" s="87"/>
      <c r="E1629" s="88">
        <f>VLOOKUP($B1629,[1]DG!A:D,[1]DG!$B$2,)</f>
        <v>0</v>
      </c>
      <c r="F1629" s="89" t="str">
        <f>VLOOKUP($B1629,[1]DG!A:D,[1]DG!$C$2,)</f>
        <v>Cáp đồng bọc CV185</v>
      </c>
      <c r="G1629" s="88" t="str">
        <f>VLOOKUP($B1629,[1]DG!A:D,[1]DG!$D$2,)</f>
        <v>mét</v>
      </c>
      <c r="H1629" s="145">
        <f>8*H1626</f>
        <v>8</v>
      </c>
      <c r="I1629" s="91">
        <f t="shared" si="69"/>
        <v>0</v>
      </c>
      <c r="J1629" s="146"/>
      <c r="K1629" s="146"/>
      <c r="L1629" s="96"/>
      <c r="M1629" s="56">
        <v>320</v>
      </c>
    </row>
    <row r="1630" spans="1:13" s="51" customFormat="1" ht="25.2" hidden="1" customHeight="1">
      <c r="A1630" s="68">
        <f t="shared" si="70"/>
        <v>0</v>
      </c>
      <c r="B1630" s="69" t="s">
        <v>507</v>
      </c>
      <c r="C1630" s="69"/>
      <c r="D1630" s="87"/>
      <c r="E1630" s="88" t="str">
        <f>VLOOKUP($B1630,[1]DG!A:D,[1]DG!$B$2,)</f>
        <v>03.4008</v>
      </c>
      <c r="F1630" s="89" t="str">
        <f>VLOOKUP($B1630,[1]DG!A:D,[1]DG!$C$2,)&amp;": "</f>
        <v xml:space="preserve">Đầu cosse ép Cu 240mm2: </v>
      </c>
      <c r="G1630" s="88" t="str">
        <f>VLOOKUP($B1630,[1]DG!A:D,[1]DG!$D$2,)</f>
        <v>cái</v>
      </c>
      <c r="H1630" s="145">
        <f>H1626*6</f>
        <v>6</v>
      </c>
      <c r="I1630" s="91">
        <f t="shared" si="69"/>
        <v>0</v>
      </c>
      <c r="J1630" s="146"/>
      <c r="K1630" s="146"/>
      <c r="L1630" s="96"/>
      <c r="M1630" s="56">
        <v>320</v>
      </c>
    </row>
    <row r="1631" spans="1:13" s="51" customFormat="1" ht="25.2" hidden="1" customHeight="1">
      <c r="A1631" s="68">
        <f t="shared" si="70"/>
        <v>0</v>
      </c>
      <c r="B1631" s="69" t="s">
        <v>213</v>
      </c>
      <c r="C1631" s="69"/>
      <c r="D1631" s="87"/>
      <c r="E1631" s="88" t="str">
        <f>VLOOKUP($B1631,[1]DG!A:D,[1]DG!$B$2,)</f>
        <v>03.4007</v>
      </c>
      <c r="F1631" s="89" t="str">
        <f>VLOOKUP($B1631,[1]DG!A:D,[1]DG!$C$2,)&amp;": "</f>
        <v xml:space="preserve">Đầu cosse ép Cu 185mm2: </v>
      </c>
      <c r="G1631" s="88" t="str">
        <f>VLOOKUP($B1631,[1]DG!A:D,[1]DG!$D$2,)</f>
        <v>cái</v>
      </c>
      <c r="H1631" s="145">
        <f>H1626*2</f>
        <v>2</v>
      </c>
      <c r="I1631" s="91">
        <f t="shared" si="69"/>
        <v>0</v>
      </c>
      <c r="J1631" s="146"/>
      <c r="K1631" s="146"/>
      <c r="L1631" s="96"/>
      <c r="M1631" s="56">
        <v>320</v>
      </c>
    </row>
    <row r="1632" spans="1:13" s="51" customFormat="1" ht="25.2" hidden="1" customHeight="1">
      <c r="A1632" s="68">
        <f t="shared" si="70"/>
        <v>0</v>
      </c>
      <c r="B1632" s="69" t="s">
        <v>226</v>
      </c>
      <c r="C1632" s="69"/>
      <c r="D1632" s="87"/>
      <c r="E1632" s="88">
        <f>VLOOKUP($B1632,[1]DG!A:D,[1]DG!$B$2,)</f>
        <v>0</v>
      </c>
      <c r="F1632" s="89" t="str">
        <f>VLOOKUP($B1632,[1]DG!A:D,[1]DG!$C$2,)&amp;": "</f>
        <v xml:space="preserve">Chụp đầu cosse  240mm2: </v>
      </c>
      <c r="G1632" s="88" t="str">
        <f>VLOOKUP($B1632,[1]DG!A:D,[1]DG!$D$2,)</f>
        <v>cái</v>
      </c>
      <c r="H1632" s="145">
        <f>H1630</f>
        <v>6</v>
      </c>
      <c r="I1632" s="91">
        <f t="shared" si="69"/>
        <v>0</v>
      </c>
      <c r="J1632" s="146"/>
      <c r="K1632" s="146"/>
      <c r="L1632" s="96"/>
      <c r="M1632" s="56">
        <v>320</v>
      </c>
    </row>
    <row r="1633" spans="1:13" s="51" customFormat="1" ht="25.2" hidden="1" customHeight="1">
      <c r="A1633" s="68">
        <f t="shared" si="70"/>
        <v>0</v>
      </c>
      <c r="B1633" s="69" t="s">
        <v>489</v>
      </c>
      <c r="C1633" s="69"/>
      <c r="D1633" s="87"/>
      <c r="E1633" s="88">
        <f>VLOOKUP($B1633,[1]DG!A:D,[1]DG!$B$2,)</f>
        <v>0</v>
      </c>
      <c r="F1633" s="89" t="str">
        <f>VLOOKUP($B1633,[1]DG!A:D,[1]DG!$C$2,)&amp;": "</f>
        <v xml:space="preserve">Chụp đầu cosse  185mm2: </v>
      </c>
      <c r="G1633" s="88" t="str">
        <f>VLOOKUP($B1633,[1]DG!A:D,[1]DG!$D$2,)</f>
        <v>cái</v>
      </c>
      <c r="H1633" s="145">
        <f>H1631</f>
        <v>2</v>
      </c>
      <c r="I1633" s="91">
        <f t="shared" si="69"/>
        <v>0</v>
      </c>
      <c r="J1633" s="146"/>
      <c r="K1633" s="146"/>
      <c r="L1633" s="96"/>
      <c r="M1633" s="56">
        <v>320</v>
      </c>
    </row>
    <row r="1634" spans="1:13" s="51" customFormat="1" ht="25.2" hidden="1" customHeight="1">
      <c r="A1634" s="68">
        <f t="shared" si="70"/>
        <v>0</v>
      </c>
      <c r="B1634" s="69" t="s">
        <v>144</v>
      </c>
      <c r="C1634" s="69"/>
      <c r="D1634" s="87"/>
      <c r="E1634" s="88">
        <f>VLOOKUP($B1634,[1]DG!A:D,[1]DG!$B$2,)</f>
        <v>0</v>
      </c>
      <c r="F1634" s="89" t="str">
        <f>VLOOKUP($B1634,[1]DG!A:D,[1]DG!$C$2,)</f>
        <v xml:space="preserve">Ống PVC D114x4,9mm </v>
      </c>
      <c r="G1634" s="88" t="str">
        <f>VLOOKUP($B1634,[1]DG!A:D,[1]DG!$D$2,)</f>
        <v>m</v>
      </c>
      <c r="H1634" s="145">
        <f>IF(H1626&gt;2,0,6*H1626*H1626)</f>
        <v>6</v>
      </c>
      <c r="I1634" s="91">
        <f t="shared" si="69"/>
        <v>0</v>
      </c>
      <c r="J1634" s="146"/>
      <c r="K1634" s="146"/>
      <c r="L1634" s="96"/>
      <c r="M1634" s="56">
        <v>320</v>
      </c>
    </row>
    <row r="1635" spans="1:13" s="51" customFormat="1" ht="25.2" hidden="1" customHeight="1">
      <c r="A1635" s="68">
        <f t="shared" si="70"/>
        <v>0</v>
      </c>
      <c r="B1635" s="86" t="s">
        <v>435</v>
      </c>
      <c r="C1635" s="86"/>
      <c r="D1635" s="87"/>
      <c r="E1635" s="88" t="str">
        <f>VLOOKUP($B1635,[1]DG!A:D,[1]DG!$B$2,)</f>
        <v>06.3231</v>
      </c>
      <c r="F1635" s="89" t="str">
        <f>VLOOKUP($B1635,[1]DG!A:D,[1]DG!$C$2,)&amp;": 01 bộ CD-250"</f>
        <v>Cổ dê kẹp ống PVC Ø 114: 01 bộ CD-250</v>
      </c>
      <c r="G1635" s="88" t="str">
        <f>VLOOKUP($B1635,[1]DG!A:D,[1]DG!$D$2,)</f>
        <v>bộ</v>
      </c>
      <c r="H1635" s="145">
        <v>1</v>
      </c>
      <c r="I1635" s="91">
        <f t="shared" si="69"/>
        <v>0</v>
      </c>
      <c r="J1635" s="146"/>
      <c r="K1635" s="146"/>
      <c r="L1635" s="96"/>
      <c r="M1635" s="56">
        <v>320</v>
      </c>
    </row>
    <row r="1636" spans="1:13" s="51" customFormat="1" ht="25.2" hidden="1" customHeight="1">
      <c r="A1636" s="68">
        <f t="shared" si="70"/>
        <v>0</v>
      </c>
      <c r="B1636" s="86" t="s">
        <v>435</v>
      </c>
      <c r="C1636" s="86"/>
      <c r="D1636" s="87"/>
      <c r="E1636" s="88" t="str">
        <f>VLOOKUP($B1636,[1]DG!A:D,[1]DG!$B$2,)</f>
        <v>06.3231</v>
      </c>
      <c r="F1636" s="89" t="str">
        <f>VLOOKUP($B1636,[1]DG!A:D,[1]DG!$C$2,)&amp;": 01 bộ CD-280"</f>
        <v>Cổ dê kẹp ống PVC Ø 114: 01 bộ CD-280</v>
      </c>
      <c r="G1636" s="88" t="str">
        <f>VLOOKUP($B1636,[1]DG!A:D,[1]DG!$D$2,)</f>
        <v>bộ</v>
      </c>
      <c r="H1636" s="145">
        <v>1</v>
      </c>
      <c r="I1636" s="91">
        <f t="shared" si="69"/>
        <v>0</v>
      </c>
      <c r="J1636" s="146"/>
      <c r="K1636" s="146"/>
      <c r="L1636" s="96"/>
      <c r="M1636" s="56">
        <v>320</v>
      </c>
    </row>
    <row r="1637" spans="1:13" s="51" customFormat="1" ht="25.2" hidden="1" customHeight="1">
      <c r="A1637" s="68">
        <f t="shared" si="70"/>
        <v>0</v>
      </c>
      <c r="B1637" s="86" t="s">
        <v>435</v>
      </c>
      <c r="C1637" s="86"/>
      <c r="D1637" s="87"/>
      <c r="E1637" s="88" t="str">
        <f>VLOOKUP($B1637,[1]DG!A:D,[1]DG!$B$2,)</f>
        <v>06.3231</v>
      </c>
      <c r="F1637" s="89" t="str">
        <f>VLOOKUP($B1637,[1]DG!A:D,[1]DG!$C$2,)&amp;": CD-320"</f>
        <v>Cổ dê kẹp ống PVC Ø 114: CD-320</v>
      </c>
      <c r="G1637" s="88" t="str">
        <f>VLOOKUP($B1637,[1]DG!A:D,[1]DG!$D$2,)</f>
        <v>bộ</v>
      </c>
      <c r="H1637" s="145">
        <f>H1626*0</f>
        <v>0</v>
      </c>
      <c r="I1637" s="91">
        <f t="shared" si="69"/>
        <v>0</v>
      </c>
      <c r="J1637" s="146"/>
      <c r="K1637" s="146"/>
      <c r="L1637" s="96"/>
      <c r="M1637" s="56">
        <v>320</v>
      </c>
    </row>
    <row r="1638" spans="1:13" s="51" customFormat="1" ht="25.2" hidden="1" customHeight="1">
      <c r="A1638" s="68">
        <f t="shared" si="70"/>
        <v>0</v>
      </c>
      <c r="B1638" s="86" t="s">
        <v>87</v>
      </c>
      <c r="C1638" s="86"/>
      <c r="D1638" s="87"/>
      <c r="E1638" s="88" t="str">
        <f>VLOOKUP($B1638,[1]DG!A:D,[1]DG!$B$2,)</f>
        <v>06.2110</v>
      </c>
      <c r="F1638" s="89" t="str">
        <f>VLOOKUP($B1638,[1]DG!A:D,[1]DG!$C$2,)</f>
        <v>Lắp cổ dề</v>
      </c>
      <c r="G1638" s="88" t="str">
        <f>VLOOKUP($B1638,[1]DG!A:D,[1]DG!$D$2,)</f>
        <v>bộ</v>
      </c>
      <c r="H1638" s="145">
        <v>2</v>
      </c>
      <c r="I1638" s="91">
        <f t="shared" si="69"/>
        <v>0</v>
      </c>
      <c r="J1638" s="146"/>
      <c r="K1638" s="146"/>
      <c r="L1638" s="96"/>
      <c r="M1638" s="56">
        <v>320</v>
      </c>
    </row>
    <row r="1639" spans="1:13" s="51" customFormat="1" ht="25.2" hidden="1" customHeight="1">
      <c r="A1639" s="68">
        <f t="shared" si="70"/>
        <v>0</v>
      </c>
      <c r="B1639" s="86" t="s">
        <v>131</v>
      </c>
      <c r="C1639" s="86"/>
      <c r="D1639" s="87"/>
      <c r="E1639" s="88">
        <f>VLOOKUP($B1639,[1]DG!A:D,[1]DG!$B$2,)</f>
        <v>0</v>
      </c>
      <c r="F1639" s="89" t="str">
        <f>VLOOKUP($B1639,[1]DG!A:D,[1]DG!$C$2,)</f>
        <v>Boulon 12x40+ 2 long đền vuông D14-50x50x3/Zn</v>
      </c>
      <c r="G1639" s="88" t="str">
        <f>VLOOKUP($B1639,[1]DG!A:D,[1]DG!$D$2,)</f>
        <v>bộ</v>
      </c>
      <c r="H1639" s="145"/>
      <c r="I1639" s="91">
        <f t="shared" si="69"/>
        <v>0</v>
      </c>
      <c r="J1639" s="146"/>
      <c r="K1639" s="146"/>
      <c r="L1639" s="96"/>
      <c r="M1639" s="56">
        <v>320</v>
      </c>
    </row>
    <row r="1640" spans="1:13" s="51" customFormat="1" ht="25.2" hidden="1" customHeight="1">
      <c r="A1640" s="68">
        <f t="shared" si="70"/>
        <v>0</v>
      </c>
      <c r="B1640" s="86" t="s">
        <v>485</v>
      </c>
      <c r="C1640" s="86"/>
      <c r="D1640" s="87"/>
      <c r="E1640" s="88">
        <f>VLOOKUP($B1640,[1]DG!A:D,[1]DG!$B$2,)</f>
        <v>0</v>
      </c>
      <c r="F1640" s="89" t="str">
        <f>VLOOKUP($B1640,[1]DG!A:D,[1]DG!$C$2,)</f>
        <v>Boulon 12x60+ 2 long đền vuông D14-50x50x3/Zn</v>
      </c>
      <c r="G1640" s="88" t="str">
        <f>VLOOKUP($B1640,[1]DG!A:D,[1]DG!$D$2,)</f>
        <v>bộ</v>
      </c>
      <c r="H1640" s="145"/>
      <c r="I1640" s="91">
        <f t="shared" si="69"/>
        <v>0</v>
      </c>
      <c r="J1640" s="146"/>
      <c r="K1640" s="146"/>
      <c r="L1640" s="96"/>
      <c r="M1640" s="56">
        <v>320</v>
      </c>
    </row>
    <row r="1641" spans="1:13" s="51" customFormat="1" ht="25.2" hidden="1" customHeight="1">
      <c r="A1641" s="68">
        <f t="shared" si="70"/>
        <v>0</v>
      </c>
      <c r="B1641" s="69" t="s">
        <v>508</v>
      </c>
      <c r="C1641" s="69"/>
      <c r="D1641" s="87"/>
      <c r="E1641" s="88">
        <f>VLOOKUP($B1641,[1]DG!A:D,[1]DG!$B$2,)</f>
        <v>0</v>
      </c>
      <c r="F1641" s="89" t="str">
        <f>VLOOKUP($B1641,[1]DG!A:D,[1]DG!$C$2,)</f>
        <v>Co sừng 90 độ PVC 114</v>
      </c>
      <c r="G1641" s="88" t="str">
        <f>VLOOKUP($B1641,[1]DG!A:D,[1]DG!$D$2,)</f>
        <v>cái</v>
      </c>
      <c r="H1641" s="145">
        <v>1</v>
      </c>
      <c r="I1641" s="91">
        <f t="shared" si="69"/>
        <v>0</v>
      </c>
      <c r="J1641" s="146"/>
      <c r="K1641" s="146"/>
      <c r="L1641" s="96"/>
      <c r="M1641" s="56">
        <v>320</v>
      </c>
    </row>
    <row r="1642" spans="1:13" s="51" customFormat="1" ht="25.2" hidden="1" customHeight="1">
      <c r="A1642" s="68">
        <f t="shared" si="70"/>
        <v>0</v>
      </c>
      <c r="B1642" s="69" t="s">
        <v>509</v>
      </c>
      <c r="C1642" s="69"/>
      <c r="D1642" s="87"/>
      <c r="E1642" s="88">
        <f>VLOOKUP($B1642,[1]DG!A:D,[1]DG!$B$2,)</f>
        <v>0</v>
      </c>
      <c r="F1642" s="89" t="str">
        <f>VLOOKUP($B1642,[1]DG!A:D,[1]DG!$C$2,)</f>
        <v>Co  90 độ PVC 114</v>
      </c>
      <c r="G1642" s="88" t="str">
        <f>VLOOKUP($B1642,[1]DG!A:D,[1]DG!$D$2,)</f>
        <v>cái</v>
      </c>
      <c r="H1642" s="145">
        <f>H1624*1</f>
        <v>2</v>
      </c>
      <c r="I1642" s="91">
        <f t="shared" si="69"/>
        <v>0</v>
      </c>
      <c r="J1642" s="146"/>
      <c r="K1642" s="146"/>
      <c r="L1642" s="96"/>
      <c r="M1642" s="56">
        <v>320</v>
      </c>
    </row>
    <row r="1643" spans="1:13" s="51" customFormat="1" ht="25.2" hidden="1" customHeight="1">
      <c r="A1643" s="68">
        <f t="shared" si="70"/>
        <v>0</v>
      </c>
      <c r="B1643" s="69" t="s">
        <v>510</v>
      </c>
      <c r="C1643" s="69"/>
      <c r="D1643" s="87"/>
      <c r="E1643" s="88">
        <f>VLOOKUP($B1643,[1]DG!A:D,[1]DG!$B$2,)</f>
        <v>0</v>
      </c>
      <c r="F1643" s="89" t="str">
        <f>VLOOKUP($B1643,[1]DG!A:D,[1]DG!$C$2,)</f>
        <v>Co 135 độ PVC 114</v>
      </c>
      <c r="G1643" s="88" t="str">
        <f>VLOOKUP($B1643,[1]DG!A:D,[1]DG!$D$2,)</f>
        <v>cái</v>
      </c>
      <c r="H1643" s="145">
        <v>1</v>
      </c>
      <c r="I1643" s="91">
        <f t="shared" si="69"/>
        <v>0</v>
      </c>
      <c r="J1643" s="146"/>
      <c r="K1643" s="146"/>
      <c r="L1643" s="96"/>
      <c r="M1643" s="56">
        <v>320</v>
      </c>
    </row>
    <row r="1644" spans="1:13" s="51" customFormat="1" ht="25.2" hidden="1" customHeight="1">
      <c r="A1644" s="68">
        <f t="shared" si="70"/>
        <v>0</v>
      </c>
      <c r="B1644" s="69" t="s">
        <v>217</v>
      </c>
      <c r="C1644" s="69"/>
      <c r="D1644" s="87"/>
      <c r="E1644" s="88">
        <f>VLOOKUP($B1644,[1]DG!A:D,[1]DG!$B$2,)</f>
        <v>0</v>
      </c>
      <c r="F1644" s="89" t="str">
        <f>VLOOKUP($B1644,[1]DG!A:D,[1]DG!$C$2,)</f>
        <v>Khâu ven răng trong D114</v>
      </c>
      <c r="G1644" s="88" t="str">
        <f>VLOOKUP($B1644,[1]DG!A:D,[1]DG!$D$2,)</f>
        <v>cái</v>
      </c>
      <c r="H1644" s="145">
        <f>H1626*1</f>
        <v>1</v>
      </c>
      <c r="I1644" s="91">
        <f t="shared" si="69"/>
        <v>0</v>
      </c>
      <c r="J1644" s="146"/>
      <c r="K1644" s="146"/>
      <c r="L1644" s="96"/>
      <c r="M1644" s="56">
        <v>320</v>
      </c>
    </row>
    <row r="1645" spans="1:13" s="51" customFormat="1" ht="25.2" hidden="1" customHeight="1">
      <c r="A1645" s="68">
        <f t="shared" si="70"/>
        <v>0</v>
      </c>
      <c r="B1645" s="69" t="s">
        <v>218</v>
      </c>
      <c r="C1645" s="69"/>
      <c r="D1645" s="87"/>
      <c r="E1645" s="88">
        <f>VLOOKUP($B1645,[1]DG!A:D,[1]DG!$B$2,)</f>
        <v>0</v>
      </c>
      <c r="F1645" s="89" t="str">
        <f>VLOOKUP($B1645,[1]DG!A:D,[1]DG!$C$2,)&amp;": "</f>
        <v xml:space="preserve">Khâu ven răng ngoài D114: </v>
      </c>
      <c r="G1645" s="88" t="str">
        <f>VLOOKUP($B1645,[1]DG!A:D,[1]DG!$D$2,)</f>
        <v>cái</v>
      </c>
      <c r="H1645" s="145">
        <f>H1644</f>
        <v>1</v>
      </c>
      <c r="I1645" s="91">
        <f t="shared" si="69"/>
        <v>0</v>
      </c>
      <c r="J1645" s="146"/>
      <c r="K1645" s="146"/>
      <c r="L1645" s="96"/>
      <c r="M1645" s="56">
        <v>320</v>
      </c>
    </row>
    <row r="1646" spans="1:13" s="51" customFormat="1" ht="25.2" hidden="1" customHeight="1">
      <c r="A1646" s="68">
        <f t="shared" si="70"/>
        <v>0</v>
      </c>
      <c r="B1646" s="69" t="s">
        <v>114</v>
      </c>
      <c r="C1646" s="69"/>
      <c r="D1646" s="87"/>
      <c r="E1646" s="88">
        <f>VLOOKUP($B1646,[1]DG!A:D,[1]DG!$B$2,)</f>
        <v>0</v>
      </c>
      <c r="F1646" s="89" t="str">
        <f>VLOOKUP($B1646,[1]DG!A:D,[1]DG!$C$2,)&amp;": "</f>
        <v xml:space="preserve">Keo dán ống PVC (100gr): </v>
      </c>
      <c r="G1646" s="88" t="str">
        <f>VLOOKUP($B1646,[1]DG!A:D,[1]DG!$D$2,)</f>
        <v>tuýp</v>
      </c>
      <c r="H1646" s="145">
        <f>H1645</f>
        <v>1</v>
      </c>
      <c r="I1646" s="91">
        <f t="shared" si="69"/>
        <v>0</v>
      </c>
      <c r="J1646" s="146"/>
      <c r="K1646" s="146"/>
      <c r="L1646" s="96"/>
      <c r="M1646" s="56">
        <v>320</v>
      </c>
    </row>
    <row r="1647" spans="1:13" s="51" customFormat="1" ht="25.2" hidden="1" customHeight="1">
      <c r="A1647" s="68">
        <f t="shared" si="70"/>
        <v>0</v>
      </c>
      <c r="B1647" s="86" t="s">
        <v>436</v>
      </c>
      <c r="C1647" s="86"/>
      <c r="D1647" s="87"/>
      <c r="E1647" s="88"/>
      <c r="F1647" s="89" t="str">
        <f>VLOOKUP($B1647,[1]DG!A:D,[1]DG!$C$2,)&amp;":"</f>
        <v>Keo silicon bít miệng ống:</v>
      </c>
      <c r="G1647" s="88" t="str">
        <f>VLOOKUP($B1647,[1]DG!A:D,[1]DG!$D$2,)</f>
        <v>ống</v>
      </c>
      <c r="H1647" s="145">
        <f>H1646</f>
        <v>1</v>
      </c>
      <c r="I1647" s="91">
        <f t="shared" si="69"/>
        <v>0</v>
      </c>
      <c r="J1647" s="146"/>
      <c r="K1647" s="146"/>
      <c r="L1647" s="117"/>
      <c r="M1647" s="56">
        <v>320</v>
      </c>
    </row>
    <row r="1648" spans="1:13" s="51" customFormat="1" ht="25.2" hidden="1" customHeight="1">
      <c r="A1648" s="68">
        <f t="shared" si="70"/>
        <v>0</v>
      </c>
      <c r="B1648" s="69" t="s">
        <v>302</v>
      </c>
      <c r="C1648" s="69"/>
      <c r="D1648" s="87"/>
      <c r="E1648" s="88" t="str">
        <f>VLOOKUP($B1648,[1]DG!A:D,[1]DG!$B$2,)</f>
        <v>03.1401</v>
      </c>
      <c r="F1648" s="89" t="str">
        <f>VLOOKUP($B1648,[1]DG!A:D,[1]DG!$C$2,)</f>
        <v xml:space="preserve">Cáp CVV 4x4mm2  </v>
      </c>
      <c r="G1648" s="88" t="str">
        <f>VLOOKUP($B1648,[1]DG!A:D,[1]DG!$D$2,)</f>
        <v>mét</v>
      </c>
      <c r="H1648" s="145">
        <f>IF(H1655&gt;0,0,H1626*4)</f>
        <v>4</v>
      </c>
      <c r="I1648" s="91">
        <f t="shared" si="69"/>
        <v>0</v>
      </c>
      <c r="J1648" s="146"/>
      <c r="K1648" s="146"/>
      <c r="L1648" s="117"/>
      <c r="M1648" s="56">
        <v>320</v>
      </c>
    </row>
    <row r="1649" spans="1:13" s="51" customFormat="1" ht="25.2" hidden="1" customHeight="1">
      <c r="A1649" s="68">
        <f t="shared" si="70"/>
        <v>0</v>
      </c>
      <c r="B1649" s="69" t="s">
        <v>437</v>
      </c>
      <c r="C1649" s="69"/>
      <c r="D1649" s="87"/>
      <c r="E1649" s="88">
        <f>VLOOKUP($B1649,[1]DG!A:D,[1]DG!$B$2,)</f>
        <v>0</v>
      </c>
      <c r="F1649" s="89" t="str">
        <f>VLOOKUP($B1649,[1]DG!A:D,[1]DG!$C$2,)</f>
        <v>Dây rút cáp</v>
      </c>
      <c r="G1649" s="88" t="str">
        <f>VLOOKUP($B1649,[1]DG!A:D,[1]DG!$D$2,)</f>
        <v>bọc</v>
      </c>
      <c r="H1649" s="364"/>
      <c r="I1649" s="91">
        <f t="shared" si="69"/>
        <v>0</v>
      </c>
      <c r="J1649" s="146"/>
      <c r="K1649" s="146"/>
      <c r="L1649" s="117"/>
      <c r="M1649" s="56">
        <v>320</v>
      </c>
    </row>
    <row r="1650" spans="1:13" s="51" customFormat="1" ht="25.2" hidden="1" customHeight="1">
      <c r="A1650" s="68">
        <f t="shared" si="70"/>
        <v>0</v>
      </c>
      <c r="B1650" s="86" t="s">
        <v>148</v>
      </c>
      <c r="C1650" s="86"/>
      <c r="D1650" s="87"/>
      <c r="E1650" s="88">
        <f>VLOOKUP($B1650,[1]DG!A:D,[1]DG!$B$2,)</f>
        <v>0</v>
      </c>
      <c r="F1650" s="89" t="str">
        <f>VLOOKUP($B1650,[1]DG!A:D,[1]DG!$C$2,)&amp;":"</f>
        <v>Băng keo cách điện:</v>
      </c>
      <c r="G1650" s="88" t="str">
        <f>VLOOKUP($B1650,[1]DG!A:D,[1]DG!$D$2,)</f>
        <v>cuộn</v>
      </c>
      <c r="H1650" s="145">
        <f>H1647*2</f>
        <v>2</v>
      </c>
      <c r="I1650" s="91">
        <f t="shared" si="69"/>
        <v>0</v>
      </c>
      <c r="J1650" s="146"/>
      <c r="K1650" s="146"/>
      <c r="L1650" s="96"/>
      <c r="M1650" s="56">
        <v>320</v>
      </c>
    </row>
    <row r="1651" spans="1:13" s="51" customFormat="1" ht="25.2" hidden="1" customHeight="1">
      <c r="A1651" s="68">
        <f t="shared" si="70"/>
        <v>0</v>
      </c>
      <c r="B1651" s="86" t="s">
        <v>410</v>
      </c>
      <c r="C1651" s="86"/>
      <c r="D1651" s="87"/>
      <c r="E1651" s="88" t="str">
        <f>VLOOKUP($B1651,[1]DG!A:D,[1]DG!$B$2,)</f>
        <v>05.6101</v>
      </c>
      <c r="F1651" s="89" t="str">
        <f>VLOOKUP($B1651,[1]DG!A:D,[1]DG!$C$2,)&amp;":"</f>
        <v>Lắp Giá đỡ cáp:</v>
      </c>
      <c r="G1651" s="88" t="str">
        <f>VLOOKUP($B1651,[1]DG!A:D,[1]DG!$D$2,)</f>
        <v>bộ</v>
      </c>
      <c r="H1651" s="145"/>
      <c r="I1651" s="91">
        <f t="shared" si="69"/>
        <v>0</v>
      </c>
      <c r="J1651" s="146"/>
      <c r="K1651" s="146"/>
      <c r="L1651" s="96"/>
      <c r="M1651" s="56">
        <v>320</v>
      </c>
    </row>
    <row r="1652" spans="1:13" s="51" customFormat="1" ht="25.2" hidden="1" customHeight="1">
      <c r="A1652" s="68">
        <f t="shared" si="70"/>
        <v>0</v>
      </c>
      <c r="B1652" s="86" t="s">
        <v>438</v>
      </c>
      <c r="C1652" s="86"/>
      <c r="D1652" s="87"/>
      <c r="E1652" s="88" t="str">
        <f>VLOOKUP($B1652,[1]DG!A:D,[1]DG!$B$2,)</f>
        <v>04.4203</v>
      </c>
      <c r="F1652" s="89" t="str">
        <f>VLOOKUP($B1652,[1]DG!A:D,[1]DG!$C$2,)&amp;":"</f>
        <v>Lắp cáp đồng xuống thiết bị D &gt; 150mm2:</v>
      </c>
      <c r="G1652" s="88" t="str">
        <f>VLOOKUP($B1652,[1]DG!A:D,[1]DG!$D$2,)</f>
        <v>m</v>
      </c>
      <c r="H1652" s="145">
        <f>H1628+H1629</f>
        <v>8</v>
      </c>
      <c r="I1652" s="91">
        <f t="shared" si="69"/>
        <v>0</v>
      </c>
      <c r="J1652" s="146"/>
      <c r="K1652" s="146"/>
      <c r="L1652" s="96"/>
      <c r="M1652" s="56">
        <v>320</v>
      </c>
    </row>
    <row r="1653" spans="1:13" s="51" customFormat="1" ht="25.2" hidden="1" customHeight="1">
      <c r="A1653" s="68">
        <f t="shared" si="70"/>
        <v>0</v>
      </c>
      <c r="B1653" s="86" t="s">
        <v>326</v>
      </c>
      <c r="C1653" s="86"/>
      <c r="D1653" s="87"/>
      <c r="E1653" s="88" t="str">
        <f>VLOOKUP($B1653,[1]DG!A:D,[1]DG!$B$2,)</f>
        <v>04.4202</v>
      </c>
      <c r="F1653" s="89" t="str">
        <f>VLOOKUP($B1653,[1]DG!A:D,[1]DG!$C$2,)&amp;":"</f>
        <v>Lắp cáp đồng xuống thiết bị D ≤ 150mm2:</v>
      </c>
      <c r="G1653" s="88" t="str">
        <f>VLOOKUP($B1653,[1]DG!A:D,[1]DG!$D$2,)</f>
        <v>m</v>
      </c>
      <c r="H1653" s="145"/>
      <c r="I1653" s="91">
        <f t="shared" si="69"/>
        <v>0</v>
      </c>
      <c r="J1653" s="146"/>
      <c r="K1653" s="146"/>
      <c r="L1653" s="117"/>
      <c r="M1653" s="56">
        <v>320</v>
      </c>
    </row>
    <row r="1654" spans="1:13" s="51" customFormat="1" ht="25.2" hidden="1" customHeight="1">
      <c r="A1654" s="68">
        <f t="shared" si="70"/>
        <v>0</v>
      </c>
      <c r="B1654" s="86" t="s">
        <v>439</v>
      </c>
      <c r="C1654" s="86"/>
      <c r="D1654" s="87"/>
      <c r="E1654" s="88">
        <f>VLOOKUP($B1654,[1]DG!A:D,[1]DG!$B$2,)</f>
        <v>0</v>
      </c>
      <c r="F1654" s="89" t="str">
        <f>VLOOKUP($B1654,[1]DG!A:D,[1]DG!$C$2,)&amp;":"</f>
        <v>Bộ móng tủ bù 0,2x0,2x0,4x4móng:</v>
      </c>
      <c r="G1654" s="88" t="str">
        <f>VLOOKUP($B1654,[1]DG!A:D,[1]DG!$D$2,)</f>
        <v>trọn bộ</v>
      </c>
      <c r="H1654" s="145">
        <f>H1626*1*0</f>
        <v>0</v>
      </c>
      <c r="I1654" s="91">
        <f t="shared" si="69"/>
        <v>0</v>
      </c>
      <c r="J1654" s="146"/>
      <c r="K1654" s="146"/>
      <c r="L1654" s="117"/>
      <c r="M1654" s="56">
        <v>320</v>
      </c>
    </row>
    <row r="1655" spans="1:13" s="51" customFormat="1" ht="25.2" hidden="1" customHeight="1">
      <c r="A1655" s="68">
        <f t="shared" si="70"/>
        <v>0</v>
      </c>
      <c r="B1655" s="86"/>
      <c r="C1655" s="86"/>
      <c r="D1655" s="220">
        <f>IF(H1655&gt;0,D1626+1,D1626)</f>
        <v>3</v>
      </c>
      <c r="E1655" s="238"/>
      <c r="F1655" s="247" t="s">
        <v>327</v>
      </c>
      <c r="G1655" s="220" t="s">
        <v>67</v>
      </c>
      <c r="H1655" s="337">
        <f>H1457/3</f>
        <v>0</v>
      </c>
      <c r="I1655" s="91">
        <f t="shared" si="69"/>
        <v>0</v>
      </c>
      <c r="J1655" s="146"/>
      <c r="K1655" s="146"/>
      <c r="L1655" s="96"/>
      <c r="M1655" s="56">
        <v>320</v>
      </c>
    </row>
    <row r="1656" spans="1:13" s="147" customFormat="1" ht="25.2" hidden="1" customHeight="1">
      <c r="A1656" s="68">
        <f>IF(A1655&gt;0,1,0)</f>
        <v>0</v>
      </c>
      <c r="B1656" s="338"/>
      <c r="C1656" s="338"/>
      <c r="D1656" s="111"/>
      <c r="E1656" s="242"/>
      <c r="F1656" s="248" t="s">
        <v>68</v>
      </c>
      <c r="G1656" s="111"/>
      <c r="H1656" s="244"/>
      <c r="I1656" s="91">
        <f t="shared" si="69"/>
        <v>0</v>
      </c>
      <c r="J1656" s="146"/>
      <c r="K1656" s="146"/>
      <c r="L1656" s="96"/>
      <c r="M1656" s="56">
        <v>320</v>
      </c>
    </row>
    <row r="1657" spans="1:13" s="51" customFormat="1" ht="25.2" hidden="1" customHeight="1">
      <c r="A1657" s="68">
        <f t="shared" si="70"/>
        <v>0</v>
      </c>
      <c r="B1657" s="69" t="s">
        <v>273</v>
      </c>
      <c r="C1657" s="69"/>
      <c r="D1657" s="96"/>
      <c r="E1657" s="88" t="str">
        <f>VLOOKUP($B1657,[1]DG!A:D,[1]DG!$B$2,)</f>
        <v>03.1401</v>
      </c>
      <c r="F1657" s="92" t="str">
        <f>VLOOKUP($B1657,[1]DG!A:D,[1]DG!$C$2,)</f>
        <v xml:space="preserve">Cáp CVV 4x2,5mm2  </v>
      </c>
      <c r="G1657" s="339" t="str">
        <f>VLOOKUP($B1657,[1]DG!A:D,[1]DG!$D$2,)</f>
        <v>mét</v>
      </c>
      <c r="H1657" s="145">
        <f>H1655*26</f>
        <v>0</v>
      </c>
      <c r="I1657" s="91">
        <f t="shared" si="69"/>
        <v>0</v>
      </c>
      <c r="J1657" s="95"/>
      <c r="K1657" s="95"/>
      <c r="L1657" s="96"/>
      <c r="M1657" s="56">
        <v>320</v>
      </c>
    </row>
    <row r="1658" spans="1:13" s="51" customFormat="1" ht="25.2" hidden="1" customHeight="1">
      <c r="A1658" s="68">
        <f t="shared" si="70"/>
        <v>0</v>
      </c>
      <c r="B1658" s="69" t="s">
        <v>440</v>
      </c>
      <c r="C1658" s="69"/>
      <c r="D1658" s="96"/>
      <c r="E1658" s="88" t="str">
        <f>VLOOKUP($B1658,[1]DG!A:D,[1]DG!$B$2,)</f>
        <v>05.6101</v>
      </c>
      <c r="F1658" s="92" t="str">
        <f>VLOOKUP($B1658,[1]DG!A:D,[1]DG!$C$2,)</f>
        <v>Xà kẹp TU, TI U50x32x4 350</v>
      </c>
      <c r="G1658" s="339" t="str">
        <f>VLOOKUP($B1658,[1]DG!A:D,[1]DG!$D$2,)</f>
        <v>Bộ</v>
      </c>
      <c r="H1658" s="145">
        <f>H1655*24</f>
        <v>0</v>
      </c>
      <c r="I1658" s="91">
        <f t="shared" ref="I1658:I1721" si="71">IF(M1658=$M$23,H1658+J1658-K1658,0)</f>
        <v>0</v>
      </c>
      <c r="J1658" s="95"/>
      <c r="K1658" s="95"/>
      <c r="L1658" s="96"/>
      <c r="M1658" s="56">
        <v>320</v>
      </c>
    </row>
    <row r="1659" spans="1:13" s="51" customFormat="1" ht="25.2" hidden="1" customHeight="1">
      <c r="A1659" s="68">
        <f t="shared" si="70"/>
        <v>0</v>
      </c>
      <c r="B1659" s="69" t="s">
        <v>441</v>
      </c>
      <c r="C1659" s="69"/>
      <c r="D1659" s="87"/>
      <c r="E1659" s="88" t="str">
        <f>VLOOKUP($B1659,[1]DG!A:D,[1]DG!$B$2,)</f>
        <v>03.4001</v>
      </c>
      <c r="F1659" s="92" t="str">
        <f>VLOOKUP($B1659,[1]DG!A:D,[1]DG!$C$2,)</f>
        <v xml:space="preserve">Đầu cosse ép Cu 2,5mm2 + bao PVC </v>
      </c>
      <c r="G1659" s="339" t="str">
        <f>VLOOKUP($B1659,[1]DG!A:D,[1]DG!$D$2,)</f>
        <v>cái</v>
      </c>
      <c r="H1659" s="145">
        <f>H1655*16</f>
        <v>0</v>
      </c>
      <c r="I1659" s="91">
        <f t="shared" si="71"/>
        <v>0</v>
      </c>
      <c r="J1659" s="95"/>
      <c r="K1659" s="95"/>
      <c r="L1659" s="96"/>
      <c r="M1659" s="56">
        <v>320</v>
      </c>
    </row>
    <row r="1660" spans="1:13" s="51" customFormat="1" ht="25.2" hidden="1" customHeight="1">
      <c r="A1660" s="68">
        <f t="shared" si="70"/>
        <v>0</v>
      </c>
      <c r="B1660" s="69" t="s">
        <v>442</v>
      </c>
      <c r="C1660" s="69"/>
      <c r="D1660" s="87"/>
      <c r="E1660" s="88">
        <f>VLOOKUP($B1660,[1]DG!A:D,[1]DG!$B$2,)</f>
        <v>0</v>
      </c>
      <c r="F1660" s="92" t="str">
        <f>VLOOKUP($B1660,[1]DG!A:D,[1]DG!$C$2,)</f>
        <v>Dây điện đôi 16/10</v>
      </c>
      <c r="G1660" s="339" t="str">
        <f>VLOOKUP($B1660,[1]DG!A:D,[1]DG!$D$2,)</f>
        <v>mét</v>
      </c>
      <c r="H1660" s="145">
        <f>2*H1655</f>
        <v>0</v>
      </c>
      <c r="I1660" s="91">
        <f t="shared" si="71"/>
        <v>0</v>
      </c>
      <c r="J1660" s="95"/>
      <c r="K1660" s="95"/>
      <c r="L1660" s="96"/>
      <c r="M1660" s="56">
        <v>320</v>
      </c>
    </row>
    <row r="1661" spans="1:13" s="51" customFormat="1" ht="25.2" hidden="1" customHeight="1">
      <c r="A1661" s="68">
        <f t="shared" si="70"/>
        <v>0</v>
      </c>
      <c r="B1661" s="69" t="s">
        <v>85</v>
      </c>
      <c r="C1661" s="69"/>
      <c r="D1661" s="87"/>
      <c r="E1661" s="88">
        <f>VLOOKUP($B1661,[1]DG!A:D,[1]DG!$B$2,)</f>
        <v>0</v>
      </c>
      <c r="F1661" s="92" t="str">
        <f>VLOOKUP($B1661,[1]DG!A:D,[1]DG!$C$2,)&amp;" (ñaáu TU )"</f>
        <v>Kẹp ép cỡ dây 25mm2 (ñaáu TU )</v>
      </c>
      <c r="G1661" s="339" t="str">
        <f>VLOOKUP($B1661,[1]DG!A:D,[1]DG!$D$2,)</f>
        <v>cái</v>
      </c>
      <c r="H1661" s="145">
        <f>+H1655*3</f>
        <v>0</v>
      </c>
      <c r="I1661" s="91">
        <f t="shared" si="71"/>
        <v>0</v>
      </c>
      <c r="J1661" s="95"/>
      <c r="K1661" s="95"/>
      <c r="L1661" s="96"/>
      <c r="M1661" s="56">
        <v>320</v>
      </c>
    </row>
    <row r="1662" spans="1:13" s="51" customFormat="1" ht="25.2" hidden="1" customHeight="1">
      <c r="A1662" s="68">
        <f t="shared" si="70"/>
        <v>0</v>
      </c>
      <c r="B1662" s="69" t="s">
        <v>426</v>
      </c>
      <c r="C1662" s="69"/>
      <c r="D1662" s="87"/>
      <c r="E1662" s="88" t="str">
        <f>VLOOKUP($B1662,[1]DG!A:D,[1]DG!$B$2,)</f>
        <v>07.2403</v>
      </c>
      <c r="F1662" s="92" t="str">
        <f>VLOOKUP($B1662,[1]DG!A:D,[1]DG!$C$2,)</f>
        <v>Ống PVC D42x2,1mm</v>
      </c>
      <c r="G1662" s="339" t="str">
        <f>VLOOKUP($B1662,[1]DG!A:D,[1]DG!$D$2,)</f>
        <v>m</v>
      </c>
      <c r="H1662" s="145">
        <f>H1655*14</f>
        <v>0</v>
      </c>
      <c r="I1662" s="91">
        <f t="shared" si="71"/>
        <v>0</v>
      </c>
      <c r="J1662" s="95"/>
      <c r="K1662" s="95"/>
      <c r="L1662" s="96"/>
      <c r="M1662" s="56">
        <v>320</v>
      </c>
    </row>
    <row r="1663" spans="1:13" s="51" customFormat="1" ht="25.2" hidden="1" customHeight="1">
      <c r="A1663" s="68">
        <f t="shared" si="70"/>
        <v>0</v>
      </c>
      <c r="B1663" s="86" t="s">
        <v>443</v>
      </c>
      <c r="C1663" s="86"/>
      <c r="D1663" s="87"/>
      <c r="E1663" s="88" t="str">
        <f>VLOOKUP($B1663,[1]DG!A:D,[1]DG!$B$2,)</f>
        <v>06.3231</v>
      </c>
      <c r="F1663" s="92" t="str">
        <f>VLOOKUP($B1663,[1]DG!A:D,[1]DG!$C$2,)&amp;": 4 bộ"</f>
        <v>Cổ dê giữ ống PVC D42: 4 bộ</v>
      </c>
      <c r="G1663" s="339" t="str">
        <f>VLOOKUP($B1663,[1]DG!A:D,[1]DG!$D$2,)</f>
        <v>bộ</v>
      </c>
      <c r="H1663" s="145">
        <f>H1655*(0.459+0.482+0.52+0.569)</f>
        <v>0</v>
      </c>
      <c r="I1663" s="91">
        <f t="shared" si="71"/>
        <v>0</v>
      </c>
      <c r="J1663" s="95"/>
      <c r="K1663" s="95"/>
      <c r="L1663" s="96"/>
      <c r="M1663" s="56">
        <v>320</v>
      </c>
    </row>
    <row r="1664" spans="1:13" s="51" customFormat="1" ht="25.2" hidden="1" customHeight="1">
      <c r="A1664" s="68">
        <f t="shared" si="70"/>
        <v>0</v>
      </c>
      <c r="B1664" s="86" t="s">
        <v>87</v>
      </c>
      <c r="C1664" s="86"/>
      <c r="D1664" s="87"/>
      <c r="E1664" s="88" t="str">
        <f>VLOOKUP($B1664,[1]DG!A:D,[1]DG!$B$2,)</f>
        <v>06.2110</v>
      </c>
      <c r="F1664" s="92" t="str">
        <f>VLOOKUP($B1664,[1]DG!A:D,[1]DG!$C$2,)&amp;": 4 bộ"</f>
        <v>Lắp cổ dề: 4 bộ</v>
      </c>
      <c r="G1664" s="339" t="str">
        <f>VLOOKUP($B1664,[1]DG!A:D,[1]DG!$D$2,)</f>
        <v>bộ</v>
      </c>
      <c r="H1664" s="145">
        <f>H1655*4</f>
        <v>0</v>
      </c>
      <c r="I1664" s="91">
        <f t="shared" si="71"/>
        <v>0</v>
      </c>
      <c r="J1664" s="95"/>
      <c r="K1664" s="95"/>
      <c r="L1664" s="96"/>
      <c r="M1664" s="56">
        <v>320</v>
      </c>
    </row>
    <row r="1665" spans="1:13" s="51" customFormat="1" ht="25.2" hidden="1" customHeight="1">
      <c r="A1665" s="68">
        <f t="shared" si="70"/>
        <v>0</v>
      </c>
      <c r="B1665" s="69" t="s">
        <v>444</v>
      </c>
      <c r="C1665" s="69"/>
      <c r="D1665" s="87"/>
      <c r="E1665" s="88">
        <f>VLOOKUP($B1665,[1]DG!A:D,[1]DG!$B$2,)</f>
        <v>0</v>
      </c>
      <c r="F1665" s="92" t="str">
        <f>VLOOKUP($B1665,[1]DG!A:D,[1]DG!$C$2,)</f>
        <v>Co 90 độ PVC 42</v>
      </c>
      <c r="G1665" s="339" t="str">
        <f>VLOOKUP($B1665,[1]DG!A:D,[1]DG!$D$2,)</f>
        <v>cái</v>
      </c>
      <c r="H1665" s="145">
        <f>H1655*5</f>
        <v>0</v>
      </c>
      <c r="I1665" s="91">
        <f t="shared" si="71"/>
        <v>0</v>
      </c>
      <c r="J1665" s="95"/>
      <c r="K1665" s="95"/>
      <c r="L1665" s="96"/>
      <c r="M1665" s="56">
        <v>320</v>
      </c>
    </row>
    <row r="1666" spans="1:13" s="51" customFormat="1" ht="25.2" hidden="1" customHeight="1">
      <c r="A1666" s="68">
        <f t="shared" si="70"/>
        <v>0</v>
      </c>
      <c r="B1666" s="69" t="s">
        <v>427</v>
      </c>
      <c r="C1666" s="69"/>
      <c r="D1666" s="87"/>
      <c r="E1666" s="88">
        <f>VLOOKUP($B1666,[1]DG!A:D,[1]DG!$B$2,)</f>
        <v>0</v>
      </c>
      <c r="F1666" s="92" t="str">
        <f>VLOOKUP($B1666,[1]DG!A:D,[1]DG!$C$2,)</f>
        <v>Co chữ T ống PVC 42</v>
      </c>
      <c r="G1666" s="339" t="str">
        <f>VLOOKUP($B1666,[1]DG!A:D,[1]DG!$D$2,)</f>
        <v>cái</v>
      </c>
      <c r="H1666" s="145">
        <f>H1655*5</f>
        <v>0</v>
      </c>
      <c r="I1666" s="91">
        <f t="shared" si="71"/>
        <v>0</v>
      </c>
      <c r="J1666" s="95"/>
      <c r="K1666" s="95"/>
      <c r="L1666" s="96"/>
      <c r="M1666" s="56">
        <v>320</v>
      </c>
    </row>
    <row r="1667" spans="1:13" s="51" customFormat="1" ht="25.2" hidden="1" customHeight="1">
      <c r="A1667" s="68">
        <f t="shared" si="70"/>
        <v>0</v>
      </c>
      <c r="B1667" s="69" t="s">
        <v>445</v>
      </c>
      <c r="C1667" s="69"/>
      <c r="D1667" s="87"/>
      <c r="E1667" s="88">
        <f>VLOOKUP($B1667,[1]DG!A:D,[1]DG!$B$2,)</f>
        <v>0</v>
      </c>
      <c r="F1667" s="92" t="str">
        <f>VLOOKUP($B1667,[1]DG!A:D,[1]DG!$C$2,)</f>
        <v>Nối thẳng ống PVC 42</v>
      </c>
      <c r="G1667" s="339" t="str">
        <f>VLOOKUP($B1667,[1]DG!A:D,[1]DG!$D$2,)</f>
        <v>cái</v>
      </c>
      <c r="H1667" s="145">
        <f>H1655</f>
        <v>0</v>
      </c>
      <c r="I1667" s="91">
        <f t="shared" si="71"/>
        <v>0</v>
      </c>
      <c r="J1667" s="95"/>
      <c r="K1667" s="95"/>
      <c r="L1667" s="96"/>
      <c r="M1667" s="56">
        <v>320</v>
      </c>
    </row>
    <row r="1668" spans="1:13" s="51" customFormat="1" ht="25.2" hidden="1" customHeight="1">
      <c r="A1668" s="68">
        <f t="shared" si="70"/>
        <v>0</v>
      </c>
      <c r="B1668" s="69" t="s">
        <v>98</v>
      </c>
      <c r="C1668" s="69"/>
      <c r="D1668" s="87"/>
      <c r="E1668" s="88">
        <f>VLOOKUP($B1668,[1]DG!A:D,[1]DG!$B$2,)</f>
        <v>0</v>
      </c>
      <c r="F1668" s="92" t="str">
        <f>VLOOKUP($B1668,[1]DG!A:D,[1]DG!$C$2,)&amp;" ñaáu TU"</f>
        <v>Cáp 24KV CX-25mm2 ñaáu TU</v>
      </c>
      <c r="G1668" s="339" t="str">
        <f>VLOOKUP($B1668,[1]DG!A:D,[1]DG!$D$2,)</f>
        <v>mét</v>
      </c>
      <c r="H1668" s="145">
        <f>H1655*0.8*3</f>
        <v>0</v>
      </c>
      <c r="I1668" s="91">
        <f t="shared" si="71"/>
        <v>0</v>
      </c>
      <c r="J1668" s="95"/>
      <c r="K1668" s="95"/>
      <c r="L1668" s="96"/>
      <c r="M1668" s="56">
        <v>320</v>
      </c>
    </row>
    <row r="1669" spans="1:13" s="51" customFormat="1" ht="25.2" hidden="1" customHeight="1">
      <c r="A1669" s="68">
        <f t="shared" si="70"/>
        <v>0</v>
      </c>
      <c r="B1669" s="69" t="s">
        <v>114</v>
      </c>
      <c r="C1669" s="69"/>
      <c r="D1669" s="87"/>
      <c r="E1669" s="88">
        <f>VLOOKUP($B1669,[1]DG!A:D,[1]DG!$B$2,)</f>
        <v>0</v>
      </c>
      <c r="F1669" s="92" t="str">
        <f>VLOOKUP($B1669,[1]DG!A:D,[1]DG!$C$2,)</f>
        <v>Keo dán ống PVC (100gr)</v>
      </c>
      <c r="G1669" s="339" t="str">
        <f>VLOOKUP($B1669,[1]DG!A:D,[1]DG!$D$2,)</f>
        <v>tuýp</v>
      </c>
      <c r="H1669" s="145">
        <f>H1655</f>
        <v>0</v>
      </c>
      <c r="I1669" s="91">
        <f t="shared" si="71"/>
        <v>0</v>
      </c>
      <c r="J1669" s="95"/>
      <c r="K1669" s="95"/>
      <c r="L1669" s="96"/>
      <c r="M1669" s="56">
        <v>320</v>
      </c>
    </row>
    <row r="1670" spans="1:13" s="51" customFormat="1" ht="25.2" hidden="1" customHeight="1">
      <c r="A1670" s="68">
        <f t="shared" si="70"/>
        <v>0</v>
      </c>
      <c r="B1670" s="86" t="s">
        <v>148</v>
      </c>
      <c r="C1670" s="86"/>
      <c r="D1670" s="87"/>
      <c r="E1670" s="88">
        <f>VLOOKUP($B1670,[1]DG!A:D,[1]DG!$B$2,)</f>
        <v>0</v>
      </c>
      <c r="F1670" s="92" t="str">
        <f>VLOOKUP($B1670,[1]DG!A:D,[1]DG!$C$2,)</f>
        <v>Băng keo cách điện</v>
      </c>
      <c r="G1670" s="339" t="str">
        <f>VLOOKUP($B1670,[1]DG!A:D,[1]DG!$D$2,)</f>
        <v>cuộn</v>
      </c>
      <c r="H1670" s="145">
        <f>H1655</f>
        <v>0</v>
      </c>
      <c r="I1670" s="91">
        <f t="shared" si="71"/>
        <v>0</v>
      </c>
      <c r="J1670" s="146"/>
      <c r="K1670" s="146"/>
      <c r="L1670" s="96"/>
      <c r="M1670" s="56">
        <v>320</v>
      </c>
    </row>
    <row r="1671" spans="1:13" s="51" customFormat="1" ht="25.2" hidden="1" customHeight="1">
      <c r="A1671" s="68">
        <f t="shared" si="70"/>
        <v>0</v>
      </c>
      <c r="B1671" s="69" t="s">
        <v>428</v>
      </c>
      <c r="C1671" s="69"/>
      <c r="D1671" s="87"/>
      <c r="E1671" s="88">
        <f>VLOOKUP($B1671,[1]DG!A:D,[1]DG!$B$2,)</f>
        <v>0</v>
      </c>
      <c r="F1671" s="92" t="str">
        <f>VLOOKUP($B1671,[1]DG!A:D,[1]DG!$C$2,)</f>
        <v>Khâu ven răng trong D42</v>
      </c>
      <c r="G1671" s="339" t="str">
        <f>VLOOKUP($B1671,[1]DG!A:D,[1]DG!$D$2,)</f>
        <v>cái</v>
      </c>
      <c r="H1671" s="145">
        <f>H1655</f>
        <v>0</v>
      </c>
      <c r="I1671" s="91">
        <f t="shared" si="71"/>
        <v>0</v>
      </c>
      <c r="J1671" s="146"/>
      <c r="K1671" s="146"/>
      <c r="L1671" s="96"/>
      <c r="M1671" s="56">
        <v>320</v>
      </c>
    </row>
    <row r="1672" spans="1:13" s="51" customFormat="1" ht="25.2" hidden="1" customHeight="1">
      <c r="A1672" s="68">
        <f t="shared" si="70"/>
        <v>0</v>
      </c>
      <c r="B1672" s="86" t="s">
        <v>429</v>
      </c>
      <c r="C1672" s="86"/>
      <c r="D1672" s="87"/>
      <c r="E1672" s="88">
        <f>VLOOKUP($B1672,[1]DG!A:D,[1]DG!$B$2,)</f>
        <v>0</v>
      </c>
      <c r="F1672" s="92" t="str">
        <f>VLOOKUP($B1672,[1]DG!A:D,[1]DG!$C$2,)</f>
        <v>Khâu ven răng ngoài D42</v>
      </c>
      <c r="G1672" s="339" t="str">
        <f>VLOOKUP($B1672,[1]DG!A:D,[1]DG!$D$2,)</f>
        <v>cái</v>
      </c>
      <c r="H1672" s="145">
        <f>H1655</f>
        <v>0</v>
      </c>
      <c r="I1672" s="91">
        <f t="shared" si="71"/>
        <v>0</v>
      </c>
      <c r="J1672" s="146"/>
      <c r="K1672" s="146"/>
      <c r="L1672" s="96"/>
      <c r="M1672" s="56">
        <v>320</v>
      </c>
    </row>
    <row r="1673" spans="1:13" s="51" customFormat="1" ht="25.2" hidden="1" customHeight="1">
      <c r="A1673" s="68">
        <f t="shared" si="70"/>
        <v>0</v>
      </c>
      <c r="B1673" s="86" t="s">
        <v>317</v>
      </c>
      <c r="C1673" s="86"/>
      <c r="D1673" s="87"/>
      <c r="E1673" s="88" t="str">
        <f>VLOOKUP($B1673,[1]DG!A:D,[1]DG!$B$2,)</f>
        <v>06.3231</v>
      </c>
      <c r="F1673" s="92" t="str">
        <f>VLOOKUP($B1673,[1]DG!A:D,[1]DG!$C$2,)&amp;": 02 bộ"</f>
        <v>Cổ dê CDĐKĐT( bắt thùng điện kế): 02 bộ</v>
      </c>
      <c r="G1673" s="339" t="str">
        <f>VLOOKUP($B1673,[1]DG!A:D,[1]DG!$D$2,)</f>
        <v>bộ</v>
      </c>
      <c r="H1673" s="340">
        <f>H1655*2*5.85</f>
        <v>0</v>
      </c>
      <c r="I1673" s="91">
        <f t="shared" si="71"/>
        <v>0</v>
      </c>
      <c r="J1673" s="146"/>
      <c r="K1673" s="146"/>
      <c r="L1673" s="117"/>
      <c r="M1673" s="56">
        <v>320</v>
      </c>
    </row>
    <row r="1674" spans="1:13" s="51" customFormat="1" ht="25.2" hidden="1" customHeight="1">
      <c r="A1674" s="68">
        <f t="shared" si="70"/>
        <v>0</v>
      </c>
      <c r="B1674" s="86" t="s">
        <v>447</v>
      </c>
      <c r="C1674" s="86"/>
      <c r="D1674" s="87"/>
      <c r="E1674" s="88" t="str">
        <f>VLOOKUP($B1674,[1]DG!A:D,[1]DG!$B$2,)</f>
        <v>05.1101</v>
      </c>
      <c r="F1674" s="92" t="str">
        <f>VLOOKUP($B1674,[1]DG!A:D,[1]DG!$C$2,)</f>
        <v>Thùng điện kế 450x300x200mm đo đếm trung thế</v>
      </c>
      <c r="G1674" s="339" t="str">
        <f>VLOOKUP($B1674,[1]DG!A:D,[1]DG!$D$2,)</f>
        <v>cái</v>
      </c>
      <c r="H1674" s="145">
        <f>H1655</f>
        <v>0</v>
      </c>
      <c r="I1674" s="91">
        <f t="shared" si="71"/>
        <v>0</v>
      </c>
      <c r="J1674" s="146"/>
      <c r="K1674" s="146"/>
      <c r="L1674" s="96"/>
      <c r="M1674" s="56">
        <v>320</v>
      </c>
    </row>
    <row r="1675" spans="1:13" s="51" customFormat="1" ht="25.2" hidden="1" customHeight="1">
      <c r="A1675" s="68">
        <f t="shared" si="70"/>
        <v>0</v>
      </c>
      <c r="B1675" s="86" t="s">
        <v>87</v>
      </c>
      <c r="C1675" s="86"/>
      <c r="D1675" s="87"/>
      <c r="E1675" s="88" t="str">
        <f>VLOOKUP($B1675,[1]DG!A:D,[1]DG!$B$2,)</f>
        <v>06.2110</v>
      </c>
      <c r="F1675" s="92" t="str">
        <f>VLOOKUP($B1675,[1]DG!A:D,[1]DG!$C$2,)</f>
        <v>Lắp cổ dề</v>
      </c>
      <c r="G1675" s="339" t="str">
        <f>VLOOKUP($B1675,[1]DG!A:D,[1]DG!$D$2,)</f>
        <v>bộ</v>
      </c>
      <c r="H1675" s="145">
        <f>H1674*2</f>
        <v>0</v>
      </c>
      <c r="I1675" s="91">
        <f t="shared" si="71"/>
        <v>0</v>
      </c>
      <c r="J1675" s="146"/>
      <c r="K1675" s="146"/>
      <c r="L1675" s="96"/>
      <c r="M1675" s="56">
        <v>320</v>
      </c>
    </row>
    <row r="1676" spans="1:13" s="51" customFormat="1" ht="25.2" hidden="1" customHeight="1">
      <c r="A1676" s="68">
        <f t="shared" si="70"/>
        <v>0</v>
      </c>
      <c r="B1676" s="86" t="s">
        <v>436</v>
      </c>
      <c r="C1676" s="86"/>
      <c r="D1676" s="87"/>
      <c r="E1676" s="88">
        <f>VLOOKUP($B1676,[1]DG!A:D,[1]DG!$B$2,)</f>
        <v>0</v>
      </c>
      <c r="F1676" s="92" t="str">
        <f>VLOOKUP($B1676,[1]DG!A:D,[1]DG!$C$2,)</f>
        <v>Keo silicon bít miệng ống</v>
      </c>
      <c r="G1676" s="339" t="str">
        <f>VLOOKUP($B1676,[1]DG!A:D,[1]DG!$D$2,)</f>
        <v>ống</v>
      </c>
      <c r="H1676" s="145">
        <f>H1655</f>
        <v>0</v>
      </c>
      <c r="I1676" s="91">
        <f t="shared" si="71"/>
        <v>0</v>
      </c>
      <c r="J1676" s="146"/>
      <c r="K1676" s="146"/>
      <c r="L1676" s="96"/>
      <c r="M1676" s="56">
        <v>320</v>
      </c>
    </row>
    <row r="1677" spans="1:13" s="51" customFormat="1" ht="25.2" hidden="1" customHeight="1">
      <c r="A1677" s="68">
        <f t="shared" si="70"/>
        <v>0</v>
      </c>
      <c r="B1677" s="86" t="s">
        <v>448</v>
      </c>
      <c r="C1677" s="86"/>
      <c r="D1677" s="87"/>
      <c r="E1677" s="88">
        <f>VLOOKUP($B1677,[1]DG!A:D,[1]DG!$B$2,)</f>
        <v>0</v>
      </c>
      <c r="F1677" s="92" t="str">
        <f>VLOOKUP($B1677,[1]DG!A:D,[1]DG!$C$2,)</f>
        <v>Dây đồng trần mềm dẹt</v>
      </c>
      <c r="G1677" s="339" t="str">
        <f>VLOOKUP($B1677,[1]DG!A:D,[1]DG!$D$2,)</f>
        <v>mét</v>
      </c>
      <c r="H1677" s="145">
        <f>H1655*4</f>
        <v>0</v>
      </c>
      <c r="I1677" s="91">
        <f t="shared" si="71"/>
        <v>0</v>
      </c>
      <c r="J1677" s="146"/>
      <c r="K1677" s="146"/>
      <c r="L1677" s="96"/>
      <c r="M1677" s="56">
        <v>320</v>
      </c>
    </row>
    <row r="1678" spans="1:13" s="51" customFormat="1" ht="25.2" hidden="1" customHeight="1">
      <c r="A1678" s="68">
        <f t="shared" si="70"/>
        <v>0</v>
      </c>
      <c r="B1678" s="86" t="s">
        <v>449</v>
      </c>
      <c r="C1678" s="86"/>
      <c r="D1678" s="87"/>
      <c r="E1678" s="88" t="str">
        <f>VLOOKUP($B1678,[1]DG!A:D,[1]DG!$B$2,)</f>
        <v>06.3191</v>
      </c>
      <c r="F1678" s="92" t="str">
        <f>VLOOKUP($B1678,[1]DG!A:D,[1]DG!$C$2,)</f>
        <v>Bảng tên trạm, bảng báo nguy hiểm + đinh vít</v>
      </c>
      <c r="G1678" s="339" t="str">
        <f>VLOOKUP($B1678,[1]DG!A:D,[1]DG!$D$2,)</f>
        <v>bộ</v>
      </c>
      <c r="H1678" s="145">
        <f>H1655</f>
        <v>0</v>
      </c>
      <c r="I1678" s="91">
        <f t="shared" si="71"/>
        <v>0</v>
      </c>
      <c r="J1678" s="146"/>
      <c r="K1678" s="146"/>
      <c r="L1678" s="96"/>
      <c r="M1678" s="56">
        <v>320</v>
      </c>
    </row>
    <row r="1679" spans="1:13" s="51" customFormat="1" ht="25.2" hidden="1" customHeight="1">
      <c r="A1679" s="68">
        <f t="shared" si="70"/>
        <v>0</v>
      </c>
      <c r="B1679" s="86" t="s">
        <v>157</v>
      </c>
      <c r="C1679" s="86"/>
      <c r="D1679" s="87"/>
      <c r="E1679" s="88">
        <f>VLOOKUP($B1679,[1]DG!A:D,[1]DG!$B$2,)</f>
        <v>0</v>
      </c>
      <c r="F1679" s="92" t="str">
        <f>VLOOKUP($B1679,[1]DG!A:D,[1]DG!$C$2,)&amp;" baét thuøng ÑKÑT"</f>
        <v>Boulon 12x60+ 2 long đền vuông D14-50x50x3/Zn baét thuøng ÑKÑT</v>
      </c>
      <c r="G1679" s="339" t="str">
        <f>VLOOKUP($B1679,[1]DG!A:D,[1]DG!$D$2,)</f>
        <v>bộ</v>
      </c>
      <c r="H1679" s="145">
        <f>4*H1655*0</f>
        <v>0</v>
      </c>
      <c r="I1679" s="91">
        <f t="shared" si="71"/>
        <v>0</v>
      </c>
      <c r="J1679" s="146"/>
      <c r="K1679" s="146"/>
      <c r="L1679" s="96"/>
      <c r="M1679" s="56">
        <v>320</v>
      </c>
    </row>
    <row r="1680" spans="1:13" s="51" customFormat="1" ht="25.2" hidden="1" customHeight="1">
      <c r="A1680" s="68">
        <f t="shared" si="70"/>
        <v>0</v>
      </c>
      <c r="B1680" s="86"/>
      <c r="C1680" s="86"/>
      <c r="D1680" s="276"/>
      <c r="E1680" s="277"/>
      <c r="F1680" s="267" t="s">
        <v>450</v>
      </c>
      <c r="G1680" s="267"/>
      <c r="H1680" s="191"/>
      <c r="I1680" s="91">
        <f t="shared" si="71"/>
        <v>0</v>
      </c>
      <c r="J1680" s="267"/>
      <c r="K1680" s="267"/>
      <c r="L1680" s="133"/>
      <c r="M1680" s="56">
        <v>320</v>
      </c>
    </row>
    <row r="1681" spans="1:13" s="51" customFormat="1" ht="25.2" hidden="1" customHeight="1">
      <c r="A1681" s="68">
        <f t="shared" si="70"/>
        <v>0</v>
      </c>
      <c r="B1681" s="86" t="s">
        <v>451</v>
      </c>
      <c r="C1681" s="86"/>
      <c r="D1681" s="87"/>
      <c r="E1681" s="88" t="str">
        <f>VLOOKUP($B1681,[1]DG!A:D,[1]DG!$B$2,)</f>
        <v>02.5114</v>
      </c>
      <c r="F1681" s="92" t="s">
        <v>452</v>
      </c>
      <c r="G1681" s="339" t="str">
        <f>VLOOKUP($B1681,[1]DG!A:D,[1]DG!$D$2,)</f>
        <v>cái</v>
      </c>
      <c r="H1681" s="145"/>
      <c r="I1681" s="91">
        <f t="shared" si="71"/>
        <v>0</v>
      </c>
      <c r="J1681" s="146"/>
      <c r="K1681" s="146"/>
      <c r="L1681" s="96" t="s">
        <v>453</v>
      </c>
      <c r="M1681" s="56">
        <v>320</v>
      </c>
    </row>
    <row r="1682" spans="1:13" s="51" customFormat="1" ht="25.2" hidden="1" customHeight="1">
      <c r="A1682" s="68">
        <f t="shared" si="70"/>
        <v>0</v>
      </c>
      <c r="B1682" s="86" t="s">
        <v>454</v>
      </c>
      <c r="C1682" s="86"/>
      <c r="D1682" s="87"/>
      <c r="E1682" s="88" t="str">
        <f>VLOOKUP($B1682,[1]DG!A:D,[1]DG!$B$2,)</f>
        <v>05.6011</v>
      </c>
      <c r="F1682" s="92" t="s">
        <v>455</v>
      </c>
      <c r="G1682" s="339" t="str">
        <f>VLOOKUP($B1682,[1]DG!A:D,[1]DG!$D$2,)</f>
        <v>bộ</v>
      </c>
      <c r="H1682" s="145"/>
      <c r="I1682" s="91">
        <f t="shared" si="71"/>
        <v>0</v>
      </c>
      <c r="J1682" s="146"/>
      <c r="K1682" s="146"/>
      <c r="L1682" s="117"/>
      <c r="M1682" s="56">
        <v>320</v>
      </c>
    </row>
    <row r="1683" spans="1:13" s="51" customFormat="1" ht="25.2" hidden="1" customHeight="1">
      <c r="A1683" s="68">
        <f t="shared" si="70"/>
        <v>0</v>
      </c>
      <c r="B1683" s="86"/>
      <c r="C1683" s="86"/>
      <c r="D1683" s="341"/>
      <c r="E1683" s="296"/>
      <c r="F1683" s="267"/>
      <c r="G1683" s="297"/>
      <c r="H1683" s="298"/>
      <c r="I1683" s="91">
        <f t="shared" si="71"/>
        <v>0</v>
      </c>
      <c r="J1683" s="342"/>
      <c r="K1683" s="343"/>
      <c r="L1683" s="100"/>
      <c r="M1683" s="56"/>
    </row>
    <row r="1684" spans="1:13" s="51" customFormat="1" ht="25.2" hidden="1" customHeight="1">
      <c r="A1684" s="68">
        <f t="shared" si="70"/>
        <v>0</v>
      </c>
      <c r="B1684" s="86"/>
      <c r="C1684" s="86"/>
      <c r="F1684" s="344"/>
      <c r="H1684" s="66"/>
      <c r="I1684" s="91">
        <f t="shared" si="71"/>
        <v>0</v>
      </c>
      <c r="M1684" s="56"/>
    </row>
    <row r="1685" spans="1:13" s="51" customFormat="1" ht="25.2" hidden="1" customHeight="1">
      <c r="A1685" s="68">
        <f t="shared" si="70"/>
        <v>0</v>
      </c>
      <c r="B1685" s="262"/>
      <c r="C1685" s="262"/>
      <c r="D1685" s="263" t="e">
        <f>"BAÛNG TOÅNG HÔÏP VAÄT LIEÄU, NHAÂN COÂNG, MAÙY THI COÂNG : "&amp;#REF!&amp;" TRAÏM 3P_400KVA ÑO ÑEÁM TRUNG THEÁ"</f>
        <v>#REF!</v>
      </c>
      <c r="E1685" s="263"/>
      <c r="F1685" s="263"/>
      <c r="G1685" s="263"/>
      <c r="H1685" s="264"/>
      <c r="I1685" s="91">
        <f t="shared" si="71"/>
        <v>0</v>
      </c>
      <c r="J1685" s="345"/>
      <c r="K1685" s="345"/>
      <c r="L1685" s="346"/>
      <c r="M1685" s="56"/>
    </row>
    <row r="1686" spans="1:13" s="51" customFormat="1" ht="25.2" hidden="1" customHeight="1">
      <c r="A1686" s="68">
        <f t="shared" si="70"/>
        <v>0</v>
      </c>
      <c r="B1686" s="69"/>
      <c r="C1686" s="69"/>
      <c r="D1686" s="265"/>
      <c r="E1686" s="266"/>
      <c r="F1686" s="267" t="s">
        <v>53</v>
      </c>
      <c r="G1686" s="268"/>
      <c r="H1686" s="305"/>
      <c r="I1686" s="91">
        <f t="shared" si="71"/>
        <v>0</v>
      </c>
      <c r="J1686" s="268"/>
      <c r="K1686" s="268"/>
      <c r="L1686" s="100"/>
      <c r="M1686" s="56">
        <v>400</v>
      </c>
    </row>
    <row r="1687" spans="1:13" s="51" customFormat="1" ht="25.2" hidden="1" customHeight="1">
      <c r="A1687" s="68">
        <f t="shared" si="70"/>
        <v>0</v>
      </c>
      <c r="B1687" s="86" t="s">
        <v>511</v>
      </c>
      <c r="C1687" s="86"/>
      <c r="D1687" s="87">
        <f>IF(H1687&gt;0,1,0)</f>
        <v>0</v>
      </c>
      <c r="E1687" s="88" t="str">
        <f>VLOOKUP($B1687,[1]DG!A:D,[1]DG!$B$2,)</f>
        <v>01.1146</v>
      </c>
      <c r="F1687" s="89" t="str">
        <f>VLOOKUP($B1687,[1]DG!A:D,[1]DG!$C$2,)</f>
        <v>Máy biến áp 22/0,4kV- 400kVA</v>
      </c>
      <c r="G1687" s="88" t="str">
        <f>VLOOKUP($B1687,[1]DG!A:D,[1]DG!$D$2,)</f>
        <v>máy</v>
      </c>
      <c r="H1687" s="306">
        <f>L13</f>
        <v>0</v>
      </c>
      <c r="I1687" s="91">
        <f t="shared" si="71"/>
        <v>0</v>
      </c>
      <c r="J1687" s="92"/>
      <c r="K1687" s="92"/>
      <c r="L1687" s="307"/>
      <c r="M1687" s="56">
        <v>400</v>
      </c>
    </row>
    <row r="1688" spans="1:13" s="51" customFormat="1" ht="25.2" hidden="1" customHeight="1">
      <c r="A1688" s="68">
        <f t="shared" si="70"/>
        <v>0</v>
      </c>
      <c r="B1688" s="86" t="s">
        <v>56</v>
      </c>
      <c r="C1688" s="86"/>
      <c r="D1688" s="87">
        <f>IF(H1688&gt;0,D1687+1,D1687)</f>
        <v>0</v>
      </c>
      <c r="E1688" s="88" t="str">
        <f>VLOOKUP($B1688,[1]DG!A:D,[1]DG!$B$2,)</f>
        <v>02.3155</v>
      </c>
      <c r="F1688" s="89" t="str">
        <f>VLOOKUP($B1688,[1]DG!A:D,[1]DG!$C$2,)</f>
        <v>FCO 27kV - 100A</v>
      </c>
      <c r="G1688" s="88" t="str">
        <f>VLOOKUP($B1688,[1]DG!A:D,[1]DG!$D$2,)</f>
        <v>cái</v>
      </c>
      <c r="H1688" s="145">
        <f>H1687*3</f>
        <v>0</v>
      </c>
      <c r="I1688" s="91">
        <f t="shared" si="71"/>
        <v>0</v>
      </c>
      <c r="J1688" s="146"/>
      <c r="K1688" s="146"/>
      <c r="L1688" s="96"/>
      <c r="M1688" s="56">
        <v>400</v>
      </c>
    </row>
    <row r="1689" spans="1:13" s="51" customFormat="1" ht="25.2" hidden="1" customHeight="1">
      <c r="A1689" s="68">
        <f t="shared" si="70"/>
        <v>0</v>
      </c>
      <c r="B1689" s="86" t="s">
        <v>512</v>
      </c>
      <c r="C1689" s="86"/>
      <c r="D1689" s="87">
        <f t="shared" ref="D1689:D1695" si="72">IF(H1689&gt;0,D1688+1,D1688)</f>
        <v>0</v>
      </c>
      <c r="E1689" s="88">
        <f>VLOOKUP($B1689,[1]DG!A:D,[1]DG!$B$2,)</f>
        <v>0</v>
      </c>
      <c r="F1689" s="89" t="str">
        <f>VLOOKUP($B1689,[1]DG!A:D,[1]DG!$C$2,)</f>
        <v>Dây chảy 15K</v>
      </c>
      <c r="G1689" s="88" t="str">
        <f>VLOOKUP($B1689,[1]DG!A:D,[1]DG!$D$2,)</f>
        <v>Sợi</v>
      </c>
      <c r="H1689" s="145">
        <f>H1688</f>
        <v>0</v>
      </c>
      <c r="I1689" s="91">
        <f t="shared" si="71"/>
        <v>0</v>
      </c>
      <c r="J1689" s="146"/>
      <c r="K1689" s="146"/>
      <c r="L1689" s="96"/>
      <c r="M1689" s="56">
        <v>400</v>
      </c>
    </row>
    <row r="1690" spans="1:13" s="51" customFormat="1" ht="25.2" hidden="1" customHeight="1">
      <c r="A1690" s="68">
        <f t="shared" si="70"/>
        <v>0</v>
      </c>
      <c r="B1690" s="69" t="s">
        <v>58</v>
      </c>
      <c r="C1690" s="69"/>
      <c r="D1690" s="87">
        <f t="shared" si="72"/>
        <v>0</v>
      </c>
      <c r="E1690" s="88" t="str">
        <f>VLOOKUP($B1690,[1]DG!A:D,[1]DG!$B$2,)</f>
        <v>02.5114</v>
      </c>
      <c r="F1690" s="89" t="str">
        <f>VLOOKUP($B1690,[1]DG!A:D,[1]DG!$C$2,)</f>
        <v>Chống sét van LA-18KV-10KA</v>
      </c>
      <c r="G1690" s="88" t="str">
        <f>VLOOKUP($B1690,[1]DG!A:D,[1]DG!$D$2,)</f>
        <v>cái</v>
      </c>
      <c r="H1690" s="145">
        <f>H1688</f>
        <v>0</v>
      </c>
      <c r="I1690" s="91">
        <f t="shared" si="71"/>
        <v>0</v>
      </c>
      <c r="J1690" s="146"/>
      <c r="K1690" s="146"/>
      <c r="L1690" s="96"/>
      <c r="M1690" s="56">
        <v>400</v>
      </c>
    </row>
    <row r="1691" spans="1:13" s="51" customFormat="1" ht="25.2" hidden="1" customHeight="1">
      <c r="A1691" s="68">
        <f t="shared" si="70"/>
        <v>0</v>
      </c>
      <c r="B1691" s="86" t="s">
        <v>513</v>
      </c>
      <c r="C1691" s="86"/>
      <c r="D1691" s="87">
        <f t="shared" si="72"/>
        <v>0</v>
      </c>
      <c r="E1691" s="88" t="str">
        <f>VLOOKUP($B1691,[1]DG!A:D,[1]DG!$B$2,)</f>
        <v>02.8403</v>
      </c>
      <c r="F1691" s="89" t="str">
        <f>VLOOKUP($B1691,[1]DG!A:D,[1]DG!$C$2,)</f>
        <v>MCCB 3 cực 400V -630A - 35KA</v>
      </c>
      <c r="G1691" s="88" t="str">
        <f>VLOOKUP($B1691,[1]DG!A:D,[1]DG!$D$2,)</f>
        <v>cái</v>
      </c>
      <c r="H1691" s="145">
        <f>H1687</f>
        <v>0</v>
      </c>
      <c r="I1691" s="91">
        <f t="shared" si="71"/>
        <v>0</v>
      </c>
      <c r="J1691" s="146"/>
      <c r="K1691" s="146"/>
      <c r="L1691" s="96"/>
      <c r="M1691" s="56">
        <v>400</v>
      </c>
    </row>
    <row r="1692" spans="1:13" s="51" customFormat="1" ht="25.2" hidden="1" customHeight="1">
      <c r="A1692" s="68">
        <f t="shared" si="70"/>
        <v>0</v>
      </c>
      <c r="B1692" s="86" t="s">
        <v>514</v>
      </c>
      <c r="C1692" s="86"/>
      <c r="D1692" s="87">
        <f t="shared" si="72"/>
        <v>0</v>
      </c>
      <c r="E1692" s="88" t="str">
        <f>VLOOKUP($B1692,[1]DG!A:D,[1]DG!$B$2,)</f>
        <v>02.8534</v>
      </c>
      <c r="F1692" s="89" t="str">
        <f>VLOOKUP($B1692,[1]DG!A:D,[1]DG!$C$2,)</f>
        <v>Tủ tụ bù hạ thế 160kVAr</v>
      </c>
      <c r="G1692" s="88" t="str">
        <f>VLOOKUP($B1692,[1]DG!A:D,[1]DG!$D$2,)</f>
        <v>tủ</v>
      </c>
      <c r="H1692" s="145">
        <f>H1687</f>
        <v>0</v>
      </c>
      <c r="I1692" s="91">
        <f t="shared" si="71"/>
        <v>0</v>
      </c>
      <c r="J1692" s="146"/>
      <c r="K1692" s="146"/>
      <c r="L1692" s="96"/>
      <c r="M1692" s="56">
        <v>400</v>
      </c>
    </row>
    <row r="1693" spans="1:13" s="51" customFormat="1" ht="25.2" hidden="1" customHeight="1">
      <c r="A1693" s="68">
        <f t="shared" si="70"/>
        <v>0</v>
      </c>
      <c r="B1693" s="363" t="s">
        <v>515</v>
      </c>
      <c r="C1693" s="363"/>
      <c r="D1693" s="87">
        <f t="shared" si="72"/>
        <v>0</v>
      </c>
      <c r="E1693" s="88">
        <f>VLOOKUP($B1693,[1]DG!A:D,[1]DG!$B$2,)</f>
        <v>0</v>
      </c>
      <c r="F1693" s="89" t="str">
        <f>VLOOKUP($B1693,[1]DG!A:D,[1]DG!$C$2,)</f>
        <v>Biến dòng 600V - 600/5A</v>
      </c>
      <c r="G1693" s="88" t="str">
        <f>VLOOKUP($B1693,[1]DG!A:D,[1]DG!$D$2,)</f>
        <v>cái</v>
      </c>
      <c r="H1693" s="308">
        <f>H1687*3</f>
        <v>0</v>
      </c>
      <c r="I1693" s="91">
        <f t="shared" si="71"/>
        <v>0</v>
      </c>
      <c r="J1693" s="146"/>
      <c r="K1693" s="146"/>
      <c r="L1693" s="309" t="s">
        <v>61</v>
      </c>
      <c r="M1693" s="56">
        <v>400</v>
      </c>
    </row>
    <row r="1694" spans="1:13" s="51" customFormat="1" ht="25.2" hidden="1" customHeight="1">
      <c r="A1694" s="68">
        <f t="shared" ref="A1694:A1756" si="73">IF(I1694&gt;0,1,0)</f>
        <v>0</v>
      </c>
      <c r="B1694" s="86" t="s">
        <v>516</v>
      </c>
      <c r="C1694" s="86"/>
      <c r="D1694" s="87">
        <f t="shared" si="72"/>
        <v>0</v>
      </c>
      <c r="E1694" s="88" t="str">
        <f>VLOOKUP($B1694,[1]DG!A:D,[1]DG!$B$2,)</f>
        <v>02.1114</v>
      </c>
      <c r="F1694" s="89" t="str">
        <f>VLOOKUP($B1694,[1]DG!A:D,[1]DG!$C$2,)</f>
        <v>Biến điện áp 12000/120(60)V</v>
      </c>
      <c r="G1694" s="88" t="str">
        <f>VLOOKUP($B1694,[1]DG!A:D,[1]DG!$D$2,)</f>
        <v>cái</v>
      </c>
      <c r="H1694" s="308"/>
      <c r="I1694" s="91">
        <f t="shared" si="71"/>
        <v>0</v>
      </c>
      <c r="J1694" s="146"/>
      <c r="K1694" s="146"/>
      <c r="L1694" s="309" t="s">
        <v>61</v>
      </c>
      <c r="M1694" s="56">
        <v>400</v>
      </c>
    </row>
    <row r="1695" spans="1:13" s="51" customFormat="1" ht="25.2" hidden="1" customHeight="1">
      <c r="A1695" s="68">
        <f t="shared" si="73"/>
        <v>0</v>
      </c>
      <c r="B1695" s="310" t="s">
        <v>495</v>
      </c>
      <c r="C1695" s="310"/>
      <c r="D1695" s="87">
        <f t="shared" si="72"/>
        <v>0</v>
      </c>
      <c r="E1695" s="88">
        <f>VLOOKUP($B1695,[1]DG!A:D,[1]DG!$B$2,)</f>
        <v>0</v>
      </c>
      <c r="F1695" s="89" t="str">
        <f>VLOOKUP($B1695,[1]DG!A:D,[1]DG!$C$2,)</f>
        <v>Điện kế 3 pha điện tử 600V-5A</v>
      </c>
      <c r="G1695" s="88" t="str">
        <f>VLOOKUP($B1695,[1]DG!A:D,[1]DG!$D$2,)</f>
        <v>cái</v>
      </c>
      <c r="H1695" s="308">
        <f>H1687</f>
        <v>0</v>
      </c>
      <c r="I1695" s="91">
        <f t="shared" si="71"/>
        <v>0</v>
      </c>
      <c r="J1695" s="146"/>
      <c r="K1695" s="146"/>
      <c r="L1695" s="311" t="s">
        <v>61</v>
      </c>
      <c r="M1695" s="56">
        <v>400</v>
      </c>
    </row>
    <row r="1696" spans="1:13" s="51" customFormat="1" ht="25.2" hidden="1" customHeight="1">
      <c r="A1696" s="68">
        <f t="shared" si="73"/>
        <v>0</v>
      </c>
      <c r="B1696" s="69"/>
      <c r="C1696" s="69"/>
      <c r="D1696" s="272"/>
      <c r="E1696" s="273"/>
      <c r="F1696" s="274"/>
      <c r="G1696" s="272"/>
      <c r="H1696" s="207"/>
      <c r="I1696" s="91">
        <f t="shared" si="71"/>
        <v>0</v>
      </c>
      <c r="J1696" s="274"/>
      <c r="K1696" s="272"/>
      <c r="L1696" s="100"/>
      <c r="M1696" s="56">
        <v>400</v>
      </c>
    </row>
    <row r="1697" spans="1:13" s="51" customFormat="1" ht="25.2" hidden="1" customHeight="1">
      <c r="A1697" s="68">
        <f t="shared" si="73"/>
        <v>0</v>
      </c>
      <c r="B1697" s="69"/>
      <c r="C1697" s="69"/>
      <c r="D1697" s="276"/>
      <c r="E1697" s="277"/>
      <c r="F1697" s="267" t="s">
        <v>64</v>
      </c>
      <c r="G1697" s="267"/>
      <c r="H1697" s="191"/>
      <c r="I1697" s="91">
        <f t="shared" si="71"/>
        <v>0</v>
      </c>
      <c r="J1697" s="267"/>
      <c r="K1697" s="267"/>
      <c r="L1697" s="100"/>
      <c r="M1697" s="56">
        <v>400</v>
      </c>
    </row>
    <row r="1698" spans="1:13" s="51" customFormat="1" ht="25.2" hidden="1" customHeight="1">
      <c r="A1698" s="68">
        <f t="shared" si="73"/>
        <v>0</v>
      </c>
      <c r="B1698" s="313"/>
      <c r="C1698" s="313"/>
      <c r="D1698" s="314">
        <f>IF(H1698&gt;0,1,0)</f>
        <v>0</v>
      </c>
      <c r="E1698" s="315"/>
      <c r="F1698" s="316" t="s">
        <v>338</v>
      </c>
      <c r="G1698" s="317" t="s">
        <v>339</v>
      </c>
      <c r="H1698" s="317">
        <f>H1687*2*0</f>
        <v>0</v>
      </c>
      <c r="I1698" s="91">
        <f t="shared" si="71"/>
        <v>0</v>
      </c>
      <c r="J1698" s="318"/>
      <c r="K1698" s="318"/>
      <c r="L1698" s="96"/>
      <c r="M1698" s="56">
        <v>400</v>
      </c>
    </row>
    <row r="1699" spans="1:13" s="51" customFormat="1" ht="25.2" hidden="1" customHeight="1">
      <c r="A1699" s="68">
        <f t="shared" si="73"/>
        <v>0</v>
      </c>
      <c r="B1699" s="86" t="s">
        <v>69</v>
      </c>
      <c r="C1699" s="86"/>
      <c r="D1699" s="319"/>
      <c r="E1699" s="88"/>
      <c r="F1699" s="320" t="str">
        <f>VLOOKUP($B1699,[1]DG!A:D,[1]DG!$C$2,)</f>
        <v>Trụ BTLT 12m F350 dự ứng lực</v>
      </c>
      <c r="G1699" s="88" t="str">
        <f>VLOOKUP($B1699,[1]DG!A:D,[1]DG!$D$2,)</f>
        <v>trụ</v>
      </c>
      <c r="H1699" s="321">
        <f>H1698</f>
        <v>0</v>
      </c>
      <c r="I1699" s="91">
        <f t="shared" si="71"/>
        <v>0</v>
      </c>
      <c r="J1699" s="92"/>
      <c r="K1699" s="111"/>
      <c r="L1699" s="96"/>
      <c r="M1699" s="56">
        <v>400</v>
      </c>
    </row>
    <row r="1700" spans="1:13" s="51" customFormat="1" ht="25.2" hidden="1" customHeight="1">
      <c r="A1700" s="68">
        <f t="shared" si="73"/>
        <v>0</v>
      </c>
      <c r="B1700" s="86" t="s">
        <v>70</v>
      </c>
      <c r="C1700" s="86"/>
      <c r="D1700" s="319"/>
      <c r="E1700" s="88"/>
      <c r="F1700" s="320" t="str">
        <f>VLOOKUP($B1700,[1]DG!A:D,[1]DG!$C$2,)</f>
        <v>Vật liệu dựng trụ</v>
      </c>
      <c r="G1700" s="88" t="str">
        <f>VLOOKUP($B1700,[1]DG!A:D,[1]DG!$D$2,)</f>
        <v>trụ</v>
      </c>
      <c r="H1700" s="321">
        <f>H1699</f>
        <v>0</v>
      </c>
      <c r="I1700" s="91">
        <f t="shared" si="71"/>
        <v>0</v>
      </c>
      <c r="J1700" s="111"/>
      <c r="K1700" s="111"/>
      <c r="L1700" s="96"/>
      <c r="M1700" s="56">
        <v>400</v>
      </c>
    </row>
    <row r="1701" spans="1:13" s="51" customFormat="1" ht="25.2" hidden="1" customHeight="1">
      <c r="A1701" s="68">
        <f t="shared" si="73"/>
        <v>0</v>
      </c>
      <c r="B1701" s="86" t="s">
        <v>340</v>
      </c>
      <c r="C1701" s="86"/>
      <c r="D1701" s="319"/>
      <c r="E1701" s="88" t="str">
        <f>VLOOKUP($B1701,[1]DG!A:D,[1]DG!$B$2,)</f>
        <v>04.9203</v>
      </c>
      <c r="F1701" s="320" t="str">
        <f>VLOOKUP($B1701,[1]DG!A:D,[1]DG!$C$2,)</f>
        <v>Dựng trụ BTLT 12m trong TBA bằng thủ công + cơ giới</v>
      </c>
      <c r="G1701" s="88" t="str">
        <f>VLOOKUP($B1701,[1]DG!A:D,[1]DG!$D$2,)</f>
        <v>trụ</v>
      </c>
      <c r="H1701" s="321">
        <f>H1699</f>
        <v>0</v>
      </c>
      <c r="I1701" s="91">
        <f t="shared" si="71"/>
        <v>0</v>
      </c>
      <c r="J1701" s="92"/>
      <c r="K1701" s="92"/>
      <c r="L1701" s="96"/>
      <c r="M1701" s="56">
        <v>400</v>
      </c>
    </row>
    <row r="1702" spans="1:13" s="51" customFormat="1" ht="25.2" hidden="1" customHeight="1">
      <c r="A1702" s="68">
        <f t="shared" si="73"/>
        <v>0</v>
      </c>
      <c r="B1702" s="313"/>
      <c r="C1702" s="313"/>
      <c r="D1702" s="314">
        <f>IF(H1702&gt;0,1,0)</f>
        <v>0</v>
      </c>
      <c r="E1702" s="315"/>
      <c r="F1702" s="316" t="s">
        <v>341</v>
      </c>
      <c r="G1702" s="317" t="s">
        <v>339</v>
      </c>
      <c r="H1702" s="317">
        <f>H1687*2*0</f>
        <v>0</v>
      </c>
      <c r="I1702" s="91">
        <f t="shared" si="71"/>
        <v>0</v>
      </c>
      <c r="J1702" s="318"/>
      <c r="K1702" s="318"/>
      <c r="L1702" s="117"/>
      <c r="M1702" s="56">
        <v>400</v>
      </c>
    </row>
    <row r="1703" spans="1:13" s="51" customFormat="1" ht="25.2" hidden="1" customHeight="1">
      <c r="A1703" s="68">
        <f t="shared" si="73"/>
        <v>0</v>
      </c>
      <c r="B1703" s="86" t="s">
        <v>342</v>
      </c>
      <c r="C1703" s="86"/>
      <c r="D1703" s="319"/>
      <c r="E1703" s="88"/>
      <c r="F1703" s="320" t="str">
        <f>VLOOKUP($B1703,[1]DG!A:D,[1]DG!$C$2,)</f>
        <v>Trụ BTLT 10,5m F350 dự ứng lực</v>
      </c>
      <c r="G1703" s="88" t="str">
        <f>VLOOKUP($B1703,[1]DG!A:D,[1]DG!$D$2,)</f>
        <v>trụ</v>
      </c>
      <c r="H1703" s="321">
        <f>H1702</f>
        <v>0</v>
      </c>
      <c r="I1703" s="91">
        <f t="shared" si="71"/>
        <v>0</v>
      </c>
      <c r="J1703" s="92"/>
      <c r="K1703" s="111"/>
      <c r="L1703" s="117"/>
      <c r="M1703" s="56">
        <v>400</v>
      </c>
    </row>
    <row r="1704" spans="1:13" s="51" customFormat="1" ht="25.2" hidden="1" customHeight="1">
      <c r="A1704" s="68">
        <f t="shared" si="73"/>
        <v>0</v>
      </c>
      <c r="B1704" s="86" t="s">
        <v>70</v>
      </c>
      <c r="C1704" s="86"/>
      <c r="D1704" s="319"/>
      <c r="E1704" s="88"/>
      <c r="F1704" s="320" t="str">
        <f>VLOOKUP($B1704,[1]DG!A:D,[1]DG!$C$2,)</f>
        <v>Vật liệu dựng trụ</v>
      </c>
      <c r="G1704" s="88" t="str">
        <f>VLOOKUP($B1704,[1]DG!A:D,[1]DG!$D$2,)</f>
        <v>trụ</v>
      </c>
      <c r="H1704" s="321">
        <f>H1703</f>
        <v>0</v>
      </c>
      <c r="I1704" s="91">
        <f t="shared" si="71"/>
        <v>0</v>
      </c>
      <c r="J1704" s="111"/>
      <c r="K1704" s="111"/>
      <c r="L1704" s="117"/>
      <c r="M1704" s="56">
        <v>400</v>
      </c>
    </row>
    <row r="1705" spans="1:13" s="51" customFormat="1" ht="25.2" hidden="1" customHeight="1">
      <c r="A1705" s="68">
        <f t="shared" si="73"/>
        <v>0</v>
      </c>
      <c r="B1705" s="86" t="s">
        <v>343</v>
      </c>
      <c r="C1705" s="86"/>
      <c r="D1705" s="319"/>
      <c r="E1705" s="88" t="str">
        <f>VLOOKUP($B1705,[1]DG!A:D,[1]DG!$B$2,)</f>
        <v>04.9203</v>
      </c>
      <c r="F1705" s="320" t="str">
        <f>VLOOKUP($B1705,[1]DG!A:D,[1]DG!$C$2,)</f>
        <v>Dựng trụ BTLT 10,5m trong TBA bằng thủ công + cơ giới</v>
      </c>
      <c r="G1705" s="88" t="str">
        <f>VLOOKUP($B1705,[1]DG!A:D,[1]DG!$D$2,)</f>
        <v>trụ</v>
      </c>
      <c r="H1705" s="321">
        <f>H1703</f>
        <v>0</v>
      </c>
      <c r="I1705" s="91">
        <f t="shared" si="71"/>
        <v>0</v>
      </c>
      <c r="J1705" s="92"/>
      <c r="K1705" s="92"/>
      <c r="L1705" s="117"/>
      <c r="M1705" s="56">
        <v>400</v>
      </c>
    </row>
    <row r="1706" spans="1:13" s="51" customFormat="1" ht="25.2" hidden="1" customHeight="1">
      <c r="A1706" s="68">
        <f t="shared" si="73"/>
        <v>0</v>
      </c>
      <c r="B1706" s="322"/>
      <c r="C1706" s="322"/>
      <c r="D1706" s="220">
        <f>IF(H1706&gt;0,D1698+1,D1698)</f>
        <v>0</v>
      </c>
      <c r="E1706" s="315"/>
      <c r="F1706" s="316" t="s">
        <v>72</v>
      </c>
      <c r="G1706" s="317" t="s">
        <v>344</v>
      </c>
      <c r="H1706" s="317">
        <f>H1698</f>
        <v>0</v>
      </c>
      <c r="I1706" s="91">
        <f t="shared" si="71"/>
        <v>0</v>
      </c>
      <c r="J1706" s="111"/>
      <c r="K1706" s="111"/>
      <c r="L1706" s="96"/>
      <c r="M1706" s="56">
        <v>400</v>
      </c>
    </row>
    <row r="1707" spans="1:13" s="51" customFormat="1" ht="25.2" hidden="1" customHeight="1">
      <c r="A1707" s="68">
        <f t="shared" si="73"/>
        <v>0</v>
      </c>
      <c r="B1707" s="86" t="s">
        <v>73</v>
      </c>
      <c r="C1707" s="86"/>
      <c r="D1707" s="319"/>
      <c r="E1707" s="88" t="str">
        <f>VLOOKUP($B1707,[1]DG!A:D,[1]DG!$B$2,)</f>
        <v>04.4001</v>
      </c>
      <c r="F1707" s="320" t="str">
        <f>VLOOKUP($B1707,[1]DG!A:D,[1]DG!$C$2,)</f>
        <v>Đà cản BTCT 1,2m</v>
      </c>
      <c r="G1707" s="88" t="str">
        <f>VLOOKUP($B1707,[1]DG!A:D,[1]DG!$D$2,)</f>
        <v>cái</v>
      </c>
      <c r="H1707" s="321">
        <f>H1706</f>
        <v>0</v>
      </c>
      <c r="I1707" s="91">
        <f t="shared" si="71"/>
        <v>0</v>
      </c>
      <c r="J1707" s="92"/>
      <c r="K1707" s="111"/>
      <c r="L1707" s="96"/>
      <c r="M1707" s="56">
        <v>400</v>
      </c>
    </row>
    <row r="1708" spans="1:13" s="51" customFormat="1" ht="25.2" hidden="1" customHeight="1">
      <c r="A1708" s="68">
        <f t="shared" si="73"/>
        <v>0</v>
      </c>
      <c r="B1708" s="86" t="s">
        <v>74</v>
      </c>
      <c r="C1708" s="86"/>
      <c r="D1708" s="319"/>
      <c r="E1708" s="88"/>
      <c r="F1708" s="320" t="str">
        <f>VLOOKUP($B1708,[1]DG!A:D,[1]DG!$C$2,)</f>
        <v>Boulon 22x650+ 2 long đền vuông D24-50x50x3/Zn</v>
      </c>
      <c r="G1708" s="88" t="str">
        <f>VLOOKUP($B1708,[1]DG!A:D,[1]DG!$D$2,)</f>
        <v>bộ</v>
      </c>
      <c r="H1708" s="321">
        <f>H1707</f>
        <v>0</v>
      </c>
      <c r="I1708" s="91">
        <f t="shared" si="71"/>
        <v>0</v>
      </c>
      <c r="J1708" s="320"/>
      <c r="K1708" s="111"/>
      <c r="L1708" s="96"/>
      <c r="M1708" s="56">
        <v>400</v>
      </c>
    </row>
    <row r="1709" spans="1:13" s="51" customFormat="1" ht="25.2" hidden="1" customHeight="1">
      <c r="A1709" s="68">
        <f t="shared" si="73"/>
        <v>0</v>
      </c>
      <c r="B1709" s="86" t="str">
        <f>IF(chitiet!G5=1,"MDD1",IF(chitiet!G5=2,"MDD2",IF(chitiet!G5=3,"MDD3",IF(chitiet!G5=4,"MDD4"))))</f>
        <v>MDD3</v>
      </c>
      <c r="C1709" s="86"/>
      <c r="D1709" s="319"/>
      <c r="E1709" s="88" t="str">
        <f>VLOOKUP($B1709,[1]DG!A:D,[1]DG!$B$2,)</f>
        <v>03.1013</v>
      </c>
      <c r="F1709" s="320" t="str">
        <f>VLOOKUP($B1709,[1]DG!A:D,[1]DG!$C$2,)</f>
        <v>Đào hố móng đất cấp 3 sâu &gt;1m</v>
      </c>
      <c r="G1709" s="88" t="str">
        <f>VLOOKUP($B1709,[1]DG!A:D,[1]DG!$D$2,)</f>
        <v>m3</v>
      </c>
      <c r="H1709" s="323">
        <f>1.45*H1707</f>
        <v>0</v>
      </c>
      <c r="I1709" s="91">
        <f t="shared" si="71"/>
        <v>0</v>
      </c>
      <c r="J1709" s="324"/>
      <c r="K1709" s="111"/>
      <c r="L1709" s="96"/>
      <c r="M1709" s="56">
        <v>400</v>
      </c>
    </row>
    <row r="1710" spans="1:13" s="51" customFormat="1" ht="25.2" hidden="1" customHeight="1">
      <c r="A1710" s="68">
        <f t="shared" si="73"/>
        <v>0</v>
      </c>
      <c r="B1710" s="86" t="str">
        <f>IF(chitiet!G5=1,"MDAP1",IF(chitiet!G5=2,"MDAP2",IF(chitiet!G5=3,"MDAP3",IF(chitiet!G5=4,"MDAP4"))))</f>
        <v>MDAP3</v>
      </c>
      <c r="C1710" s="86"/>
      <c r="D1710" s="319"/>
      <c r="E1710" s="88" t="str">
        <f>VLOOKUP($B1710,[1]DG!A:D,[1]DG!$B$2,)</f>
        <v>03.4113</v>
      </c>
      <c r="F1710" s="320" t="str">
        <f>VLOOKUP($B1710,[1]DG!A:D,[1]DG!$C$2,)</f>
        <v>Đắp đất hố móng, độ chặt k=0,95</v>
      </c>
      <c r="G1710" s="88" t="str">
        <f>VLOOKUP($B1710,[1]DG!A:D,[1]DG!$D$2,)</f>
        <v>m3</v>
      </c>
      <c r="H1710" s="323">
        <f>1.37*H1706</f>
        <v>0</v>
      </c>
      <c r="I1710" s="91">
        <f t="shared" si="71"/>
        <v>0</v>
      </c>
      <c r="J1710" s="324"/>
      <c r="K1710" s="111"/>
      <c r="L1710" s="96"/>
      <c r="M1710" s="56">
        <v>400</v>
      </c>
    </row>
    <row r="1711" spans="1:13" s="51" customFormat="1" ht="25.2" hidden="1" customHeight="1">
      <c r="A1711" s="68">
        <f t="shared" si="73"/>
        <v>0</v>
      </c>
      <c r="B1711" s="322"/>
      <c r="C1711" s="322"/>
      <c r="D1711" s="220">
        <f>IF(H1711&gt;0,D1703+1,D1703)</f>
        <v>0</v>
      </c>
      <c r="E1711" s="315"/>
      <c r="F1711" s="316" t="s">
        <v>345</v>
      </c>
      <c r="G1711" s="317" t="s">
        <v>344</v>
      </c>
      <c r="H1711" s="317">
        <f>H1702*0</f>
        <v>0</v>
      </c>
      <c r="I1711" s="91">
        <f t="shared" si="71"/>
        <v>0</v>
      </c>
      <c r="J1711" s="111"/>
      <c r="K1711" s="111"/>
      <c r="L1711" s="117"/>
      <c r="M1711" s="56">
        <v>400</v>
      </c>
    </row>
    <row r="1712" spans="1:13" s="51" customFormat="1" ht="25.2" hidden="1" customHeight="1">
      <c r="A1712" s="68">
        <f t="shared" si="73"/>
        <v>0</v>
      </c>
      <c r="B1712" s="86" t="s">
        <v>73</v>
      </c>
      <c r="C1712" s="86"/>
      <c r="D1712" s="319"/>
      <c r="E1712" s="88" t="str">
        <f>VLOOKUP($B1712,[1]DG!A:D,[1]DG!$B$2,)</f>
        <v>04.4001</v>
      </c>
      <c r="F1712" s="320" t="str">
        <f>VLOOKUP($B1712,[1]DG!A:D,[1]DG!$C$2,)</f>
        <v>Đà cản BTCT 1,2m</v>
      </c>
      <c r="G1712" s="88" t="str">
        <f>VLOOKUP($B1712,[1]DG!A:D,[1]DG!$D$2,)</f>
        <v>cái</v>
      </c>
      <c r="H1712" s="321">
        <f>H1711</f>
        <v>0</v>
      </c>
      <c r="I1712" s="91">
        <f t="shared" si="71"/>
        <v>0</v>
      </c>
      <c r="J1712" s="92"/>
      <c r="K1712" s="111"/>
      <c r="L1712" s="117"/>
      <c r="M1712" s="56">
        <v>400</v>
      </c>
    </row>
    <row r="1713" spans="1:13" s="51" customFormat="1" ht="25.2" hidden="1" customHeight="1">
      <c r="A1713" s="68">
        <f t="shared" si="73"/>
        <v>0</v>
      </c>
      <c r="B1713" s="86" t="s">
        <v>74</v>
      </c>
      <c r="C1713" s="86"/>
      <c r="D1713" s="319"/>
      <c r="E1713" s="88"/>
      <c r="F1713" s="320" t="str">
        <f>VLOOKUP($B1713,[1]DG!A:D,[1]DG!$C$2,)</f>
        <v>Boulon 22x650+ 2 long đền vuông D24-50x50x3/Zn</v>
      </c>
      <c r="G1713" s="88" t="str">
        <f>VLOOKUP($B1713,[1]DG!A:D,[1]DG!$D$2,)</f>
        <v>bộ</v>
      </c>
      <c r="H1713" s="321">
        <f>H1712</f>
        <v>0</v>
      </c>
      <c r="I1713" s="91">
        <f t="shared" si="71"/>
        <v>0</v>
      </c>
      <c r="J1713" s="320"/>
      <c r="K1713" s="111"/>
      <c r="L1713" s="117"/>
      <c r="M1713" s="56">
        <v>400</v>
      </c>
    </row>
    <row r="1714" spans="1:13" s="51" customFormat="1" ht="25.2" hidden="1" customHeight="1">
      <c r="A1714" s="68">
        <f t="shared" si="73"/>
        <v>0</v>
      </c>
      <c r="B1714" s="86" t="str">
        <f>IF(chitiet!G5=1,"MDD1",IF(chitiet!G5=2,"MDD2",IF(chitiet!G5=3,"MDD3",IF(chitiet!G5=4,"MDD4"))))</f>
        <v>MDD3</v>
      </c>
      <c r="C1714" s="86"/>
      <c r="D1714" s="319"/>
      <c r="E1714" s="88" t="str">
        <f>VLOOKUP($B1714,[1]DG!A:D,[1]DG!$B$2,)</f>
        <v>03.1013</v>
      </c>
      <c r="F1714" s="320" t="str">
        <f>VLOOKUP($B1714,[1]DG!A:D,[1]DG!$C$2,)</f>
        <v>Đào hố móng đất cấp 3 sâu &gt;1m</v>
      </c>
      <c r="G1714" s="88" t="str">
        <f>VLOOKUP($B1714,[1]DG!A:D,[1]DG!$D$2,)</f>
        <v>m3</v>
      </c>
      <c r="H1714" s="323">
        <f>1.48*H1712</f>
        <v>0</v>
      </c>
      <c r="I1714" s="91">
        <f t="shared" si="71"/>
        <v>0</v>
      </c>
      <c r="J1714" s="324"/>
      <c r="K1714" s="111"/>
      <c r="L1714" s="117"/>
      <c r="M1714" s="56">
        <v>400</v>
      </c>
    </row>
    <row r="1715" spans="1:13" s="51" customFormat="1" ht="25.2" hidden="1" customHeight="1">
      <c r="A1715" s="68">
        <f t="shared" si="73"/>
        <v>0</v>
      </c>
      <c r="B1715" s="86" t="str">
        <f>IF(chitiet!G5=1,"MDAP1",IF(chitiet!G5=2,"MDAP2",IF(chitiet!G5=3,"MDAP3",IF(chitiet!G5=4,"MDAP4"))))</f>
        <v>MDAP3</v>
      </c>
      <c r="C1715" s="86"/>
      <c r="D1715" s="319"/>
      <c r="E1715" s="88" t="str">
        <f>VLOOKUP($B1715,[1]DG!A:D,[1]DG!$B$2,)</f>
        <v>03.4113</v>
      </c>
      <c r="F1715" s="320" t="str">
        <f>VLOOKUP($B1715,[1]DG!A:D,[1]DG!$C$2,)</f>
        <v>Đắp đất hố móng, độ chặt k=0,95</v>
      </c>
      <c r="G1715" s="88" t="str">
        <f>VLOOKUP($B1715,[1]DG!A:D,[1]DG!$D$2,)</f>
        <v>m3</v>
      </c>
      <c r="H1715" s="323">
        <f>1.39*H1711</f>
        <v>0</v>
      </c>
      <c r="I1715" s="91">
        <f t="shared" si="71"/>
        <v>0</v>
      </c>
      <c r="J1715" s="324"/>
      <c r="K1715" s="111"/>
      <c r="L1715" s="117"/>
      <c r="M1715" s="56">
        <v>400</v>
      </c>
    </row>
    <row r="1716" spans="1:13" s="51" customFormat="1" ht="25.2" hidden="1" customHeight="1">
      <c r="A1716" s="68">
        <f t="shared" si="73"/>
        <v>0</v>
      </c>
      <c r="B1716" s="69"/>
      <c r="C1716" s="69"/>
      <c r="D1716" s="220">
        <f>IF(H1716&gt;0,D1706+1,D1706)</f>
        <v>0</v>
      </c>
      <c r="E1716" s="325"/>
      <c r="F1716" s="316" t="s">
        <v>464</v>
      </c>
      <c r="G1716" s="314" t="s">
        <v>67</v>
      </c>
      <c r="H1716" s="326">
        <f>H1687*1</f>
        <v>0</v>
      </c>
      <c r="I1716" s="91">
        <f t="shared" si="71"/>
        <v>0</v>
      </c>
      <c r="J1716" s="327"/>
      <c r="K1716" s="327"/>
      <c r="L1716" s="117"/>
      <c r="M1716" s="56">
        <v>400</v>
      </c>
    </row>
    <row r="1717" spans="1:13" s="51" customFormat="1" ht="25.2" hidden="1" customHeight="1">
      <c r="A1717" s="68">
        <f>IF(A1716&gt;0,1,0)</f>
        <v>0</v>
      </c>
      <c r="B1717" s="69"/>
      <c r="C1717" s="69"/>
      <c r="D1717" s="111"/>
      <c r="E1717" s="328"/>
      <c r="F1717" s="243" t="s">
        <v>68</v>
      </c>
      <c r="G1717" s="87"/>
      <c r="H1717" s="145"/>
      <c r="I1717" s="91">
        <f t="shared" si="71"/>
        <v>0</v>
      </c>
      <c r="J1717" s="282"/>
      <c r="K1717" s="282"/>
      <c r="L1717" s="117"/>
      <c r="M1717" s="56">
        <v>400</v>
      </c>
    </row>
    <row r="1718" spans="1:13" s="51" customFormat="1" ht="25.2" hidden="1" customHeight="1">
      <c r="A1718" s="68">
        <f t="shared" si="73"/>
        <v>0</v>
      </c>
      <c r="B1718" s="363" t="s">
        <v>517</v>
      </c>
      <c r="C1718" s="363"/>
      <c r="D1718" s="111"/>
      <c r="E1718" s="88" t="str">
        <f>VLOOKUP($B1718,[1]DG!A:D,[1]DG!$B$2,)</f>
        <v>05.6105</v>
      </c>
      <c r="F1718" s="89" t="str">
        <f>VLOOKUP($B1718,[1]DG!A:D,[1]DG!$C$2,)&amp;": 2 cái"</f>
        <v>Đà U200x80x5x2800 đỡ MBA: 2 cái</v>
      </c>
      <c r="G1718" s="88" t="str">
        <f>VLOOKUP($B1718,[1]DG!A:D,[1]DG!$D$2,)</f>
        <v>cái</v>
      </c>
      <c r="H1718" s="145">
        <f>52.049*H1716*2</f>
        <v>0</v>
      </c>
      <c r="I1718" s="91">
        <f t="shared" si="71"/>
        <v>0</v>
      </c>
      <c r="J1718" s="92"/>
      <c r="K1718" s="92"/>
      <c r="L1718" s="117"/>
      <c r="M1718" s="56">
        <v>400</v>
      </c>
    </row>
    <row r="1719" spans="1:13" s="51" customFormat="1" ht="25.2" hidden="1" customHeight="1">
      <c r="A1719" s="68">
        <f t="shared" si="73"/>
        <v>0</v>
      </c>
      <c r="B1719" s="86" t="s">
        <v>348</v>
      </c>
      <c r="C1719" s="86"/>
      <c r="D1719" s="111"/>
      <c r="E1719" s="88" t="str">
        <f>VLOOKUP($B1719,[1]DG!A:D,[1]DG!$B$2,)</f>
        <v>05.6101</v>
      </c>
      <c r="F1719" s="89" t="str">
        <f>VLOOKUP($B1719,[1]DG!A:D,[1]DG!$C$2,)&amp;": 4 cái"</f>
        <v>Đà U100x46x4.5x400 : 4 cái</v>
      </c>
      <c r="G1719" s="88" t="str">
        <f>VLOOKUP($B1719,[1]DG!A:D,[1]DG!$D$2,)</f>
        <v>cái</v>
      </c>
      <c r="H1719" s="145">
        <f>H1716*2.713*4</f>
        <v>0</v>
      </c>
      <c r="I1719" s="91">
        <f t="shared" si="71"/>
        <v>0</v>
      </c>
      <c r="J1719" s="92"/>
      <c r="K1719" s="92"/>
      <c r="L1719" s="117"/>
      <c r="M1719" s="56">
        <v>400</v>
      </c>
    </row>
    <row r="1720" spans="1:13" s="51" customFormat="1" ht="25.2" hidden="1" customHeight="1">
      <c r="A1720" s="68">
        <f t="shared" si="73"/>
        <v>0</v>
      </c>
      <c r="B1720" s="86" t="s">
        <v>349</v>
      </c>
      <c r="C1720" s="86"/>
      <c r="D1720" s="111"/>
      <c r="E1720" s="88" t="str">
        <f>VLOOKUP($B1720,[1]DG!A:D,[1]DG!$B$2,)</f>
        <v>05.6101</v>
      </c>
      <c r="F1720" s="89" t="str">
        <f>VLOOKUP($B1720,[1]DG!A:D,[1]DG!$C$2,)&amp;": 2 cái"</f>
        <v>Đà U100x46x5x800 : 2 cái</v>
      </c>
      <c r="G1720" s="88" t="str">
        <f>VLOOKUP($B1720,[1]DG!A:D,[1]DG!$D$2,)</f>
        <v>cái</v>
      </c>
      <c r="H1720" s="145">
        <f>H1716*5.426*2</f>
        <v>0</v>
      </c>
      <c r="I1720" s="91">
        <f t="shared" si="71"/>
        <v>0</v>
      </c>
      <c r="J1720" s="92"/>
      <c r="K1720" s="92"/>
      <c r="L1720" s="117"/>
      <c r="M1720" s="56">
        <v>400</v>
      </c>
    </row>
    <row r="1721" spans="1:13" s="51" customFormat="1" ht="25.2" hidden="1" customHeight="1">
      <c r="A1721" s="68">
        <f t="shared" si="73"/>
        <v>0</v>
      </c>
      <c r="B1721" s="69" t="s">
        <v>363</v>
      </c>
      <c r="C1721" s="69"/>
      <c r="D1721" s="111"/>
      <c r="E1721" s="88" t="str">
        <f>VLOOKUP($B1721,[1]DG!A:D,[1]DG!$B$2,)</f>
        <v>05.6044</v>
      </c>
      <c r="F1721" s="89" t="str">
        <f>VLOOKUP($B1721,[1]DG!A:D,[1]DG!$C$2,)</f>
        <v>Lắp xà cột Pi loại ≤140kg/xà</v>
      </c>
      <c r="G1721" s="88" t="str">
        <f>VLOOKUP($B1721,[1]DG!A:D,[1]DG!$D$2,)</f>
        <v>bộ</v>
      </c>
      <c r="H1721" s="145">
        <f>H1716</f>
        <v>0</v>
      </c>
      <c r="I1721" s="91">
        <f t="shared" si="71"/>
        <v>0</v>
      </c>
      <c r="J1721" s="92"/>
      <c r="K1721" s="92"/>
      <c r="L1721" s="117"/>
      <c r="M1721" s="56">
        <v>400</v>
      </c>
    </row>
    <row r="1722" spans="1:13" s="51" customFormat="1" ht="25.2" hidden="1" customHeight="1">
      <c r="A1722" s="68">
        <f t="shared" si="73"/>
        <v>0</v>
      </c>
      <c r="B1722" s="69" t="s">
        <v>350</v>
      </c>
      <c r="C1722" s="69"/>
      <c r="D1722" s="111"/>
      <c r="E1722" s="88">
        <f>VLOOKUP($B1722,[1]DG!A:D,[1]DG!$B$2,)</f>
        <v>0</v>
      </c>
      <c r="F1722" s="89" t="str">
        <f>VLOOKUP($B1722,[1]DG!A:D,[1]DG!$C$2,)</f>
        <v>Boulon 16x400VRS+ 4 long đền vuông D18-50x50x3/Zn</v>
      </c>
      <c r="G1722" s="88" t="str">
        <f>VLOOKUP($B1722,[1]DG!A:D,[1]DG!$D$2,)</f>
        <v>bộ</v>
      </c>
      <c r="H1722" s="145">
        <f>H1716*10</f>
        <v>0</v>
      </c>
      <c r="I1722" s="91">
        <f t="shared" ref="I1722:I1785" si="74">IF(M1722=$M$23,H1722+J1722-K1722,0)</f>
        <v>0</v>
      </c>
      <c r="J1722" s="92"/>
      <c r="K1722" s="92"/>
      <c r="L1722" s="117"/>
      <c r="M1722" s="56">
        <v>400</v>
      </c>
    </row>
    <row r="1723" spans="1:13" s="51" customFormat="1" ht="25.2" hidden="1" customHeight="1">
      <c r="A1723" s="68">
        <f t="shared" si="73"/>
        <v>0</v>
      </c>
      <c r="B1723" s="69" t="s">
        <v>265</v>
      </c>
      <c r="C1723" s="69"/>
      <c r="D1723" s="111"/>
      <c r="E1723" s="88">
        <f>VLOOKUP($B1723,[1]DG!A:D,[1]DG!$B$2,)</f>
        <v>0</v>
      </c>
      <c r="F1723" s="89" t="str">
        <f>VLOOKUP($B1723,[1]DG!A:D,[1]DG!$C$2,)</f>
        <v>Boulon 16x400+ 2 long đền vuông D18-50x50x3/Zn</v>
      </c>
      <c r="G1723" s="88" t="str">
        <f>VLOOKUP($B1723,[1]DG!A:D,[1]DG!$D$2,)</f>
        <v>bộ</v>
      </c>
      <c r="H1723" s="145">
        <f>H1716*2</f>
        <v>0</v>
      </c>
      <c r="I1723" s="91">
        <f t="shared" si="74"/>
        <v>0</v>
      </c>
      <c r="J1723" s="92"/>
      <c r="K1723" s="92"/>
      <c r="L1723" s="117"/>
      <c r="M1723" s="56">
        <v>400</v>
      </c>
    </row>
    <row r="1724" spans="1:13" s="51" customFormat="1" ht="25.2" hidden="1" customHeight="1">
      <c r="A1724" s="68">
        <f t="shared" si="73"/>
        <v>0</v>
      </c>
      <c r="B1724" s="69" t="s">
        <v>123</v>
      </c>
      <c r="C1724" s="69"/>
      <c r="D1724" s="111"/>
      <c r="E1724" s="88">
        <f>VLOOKUP($B1724,[1]DG!A:D,[1]DG!$B$2,)</f>
        <v>0</v>
      </c>
      <c r="F1724" s="89" t="str">
        <f>VLOOKUP($B1724,[1]DG!A:D,[1]DG!$C$2,)</f>
        <v>Boulon 16x350+ 2 long đền vuông D18-50x50x3/Zn</v>
      </c>
      <c r="G1724" s="88" t="str">
        <f>VLOOKUP($B1724,[1]DG!A:D,[1]DG!$D$2,)</f>
        <v>bộ</v>
      </c>
      <c r="H1724" s="145">
        <f>H1716*12</f>
        <v>0</v>
      </c>
      <c r="I1724" s="91">
        <f t="shared" si="74"/>
        <v>0</v>
      </c>
      <c r="J1724" s="92"/>
      <c r="K1724" s="92"/>
      <c r="L1724" s="117"/>
      <c r="M1724" s="56">
        <v>400</v>
      </c>
    </row>
    <row r="1725" spans="1:13" s="51" customFormat="1" ht="25.2" hidden="1" customHeight="1">
      <c r="A1725" s="68">
        <f t="shared" si="73"/>
        <v>0</v>
      </c>
      <c r="B1725" s="69"/>
      <c r="C1725" s="69"/>
      <c r="D1725" s="220">
        <f>IF(H1725&gt;0,D1716+1,D1716)</f>
        <v>0</v>
      </c>
      <c r="E1725" s="238"/>
      <c r="F1725" s="329" t="s">
        <v>518</v>
      </c>
      <c r="G1725" s="220" t="s">
        <v>67</v>
      </c>
      <c r="H1725" s="240"/>
      <c r="I1725" s="91">
        <f t="shared" si="74"/>
        <v>0</v>
      </c>
      <c r="J1725" s="95"/>
      <c r="K1725" s="95"/>
      <c r="L1725" s="117"/>
      <c r="M1725" s="56">
        <v>400</v>
      </c>
    </row>
    <row r="1726" spans="1:13" s="51" customFormat="1" ht="25.2" hidden="1" customHeight="1">
      <c r="A1726" s="68">
        <f>IF(A1725&gt;0,1,0)</f>
        <v>0</v>
      </c>
      <c r="B1726" s="69"/>
      <c r="C1726" s="69"/>
      <c r="D1726" s="111"/>
      <c r="E1726" s="88"/>
      <c r="F1726" s="243" t="s">
        <v>68</v>
      </c>
      <c r="G1726" s="87"/>
      <c r="H1726" s="145"/>
      <c r="I1726" s="91">
        <f t="shared" si="74"/>
        <v>0</v>
      </c>
      <c r="J1726" s="95"/>
      <c r="K1726" s="95"/>
      <c r="L1726" s="117"/>
      <c r="M1726" s="56">
        <v>400</v>
      </c>
    </row>
    <row r="1727" spans="1:13" s="51" customFormat="1" ht="25.2" hidden="1" customHeight="1">
      <c r="A1727" s="68">
        <f t="shared" si="73"/>
        <v>0</v>
      </c>
      <c r="B1727" s="86" t="s">
        <v>367</v>
      </c>
      <c r="C1727" s="86"/>
      <c r="D1727" s="111"/>
      <c r="E1727" s="88">
        <f>VLOOKUP($B1727,[1]DG!A:D,[1]DG!$B$2,)</f>
        <v>0</v>
      </c>
      <c r="F1727" s="89" t="str">
        <f>VLOOKUP($B1727,[1]DG!A:D,[1]DG!$C$2,)</f>
        <v>Sắt góc L75 x75 x8</v>
      </c>
      <c r="G1727" s="88" t="str">
        <f>VLOOKUP($B1727,[1]DG!A:D,[1]DG!$D$2,)</f>
        <v>kg</v>
      </c>
      <c r="H1727" s="145"/>
      <c r="I1727" s="91">
        <f t="shared" si="74"/>
        <v>0</v>
      </c>
      <c r="J1727" s="92"/>
      <c r="K1727" s="92"/>
      <c r="L1727" s="117"/>
      <c r="M1727" s="56">
        <v>400</v>
      </c>
    </row>
    <row r="1728" spans="1:13" s="51" customFormat="1" ht="25.2" hidden="1" customHeight="1">
      <c r="A1728" s="68">
        <f t="shared" si="73"/>
        <v>0</v>
      </c>
      <c r="B1728" s="69" t="s">
        <v>368</v>
      </c>
      <c r="C1728" s="69"/>
      <c r="D1728" s="111"/>
      <c r="E1728" s="88">
        <f>VLOOKUP($B1728,[1]DG!A:D,[1]DG!$B$2,)</f>
        <v>0</v>
      </c>
      <c r="F1728" s="89" t="str">
        <f>VLOOKUP($B1728,[1]DG!A:D,[1]DG!$C$2,)</f>
        <v>Boulon 16x300VRS+ 4 long đền vuông D18-50x50x3/Zn</v>
      </c>
      <c r="G1728" s="88" t="str">
        <f>VLOOKUP($B1728,[1]DG!A:D,[1]DG!$D$2,)</f>
        <v>bộ</v>
      </c>
      <c r="H1728" s="145">
        <f>H1725*2</f>
        <v>0</v>
      </c>
      <c r="I1728" s="91">
        <f t="shared" si="74"/>
        <v>0</v>
      </c>
      <c r="J1728" s="92"/>
      <c r="K1728" s="92"/>
      <c r="L1728" s="117"/>
      <c r="M1728" s="56">
        <v>400</v>
      </c>
    </row>
    <row r="1729" spans="1:13" s="51" customFormat="1" ht="25.2" hidden="1" customHeight="1">
      <c r="A1729" s="68">
        <f t="shared" si="73"/>
        <v>0</v>
      </c>
      <c r="B1729" s="69" t="s">
        <v>65</v>
      </c>
      <c r="C1729" s="69"/>
      <c r="D1729" s="111"/>
      <c r="E1729" s="88">
        <f>VLOOKUP($B1729,[1]DG!A:D,[1]DG!$B$2,)</f>
        <v>0</v>
      </c>
      <c r="F1729" s="89" t="str">
        <f>VLOOKUP($B1729,[1]DG!A:D,[1]DG!$C$2,)</f>
        <v>Boulon 16x300+ 2 long đền vuông D18-50x50x3/Zn</v>
      </c>
      <c r="G1729" s="88" t="str">
        <f>VLOOKUP($B1729,[1]DG!A:D,[1]DG!$D$2,)</f>
        <v>bộ</v>
      </c>
      <c r="H1729" s="145">
        <f>H1725*2</f>
        <v>0</v>
      </c>
      <c r="I1729" s="91">
        <f t="shared" si="74"/>
        <v>0</v>
      </c>
      <c r="J1729" s="92"/>
      <c r="K1729" s="92"/>
      <c r="L1729" s="117"/>
      <c r="M1729" s="56">
        <v>400</v>
      </c>
    </row>
    <row r="1730" spans="1:13" s="51" customFormat="1" ht="25.2" hidden="1" customHeight="1">
      <c r="A1730" s="68">
        <f t="shared" si="73"/>
        <v>0</v>
      </c>
      <c r="B1730" s="69" t="s">
        <v>237</v>
      </c>
      <c r="C1730" s="69"/>
      <c r="D1730" s="111"/>
      <c r="E1730" s="88">
        <f>VLOOKUP($B1730,[1]DG!A:D,[1]DG!$B$2,)</f>
        <v>0</v>
      </c>
      <c r="F1730" s="89" t="str">
        <f>VLOOKUP($B1730,[1]DG!A:D,[1]DG!$C$2,)</f>
        <v>Boulon 16x250+ 2 long đền vuông D18-50x50x3/Zn</v>
      </c>
      <c r="G1730" s="88" t="str">
        <f>VLOOKUP($B1730,[1]DG!A:D,[1]DG!$D$2,)</f>
        <v>bộ</v>
      </c>
      <c r="H1730" s="145">
        <f>H1729</f>
        <v>0</v>
      </c>
      <c r="I1730" s="91">
        <f t="shared" si="74"/>
        <v>0</v>
      </c>
      <c r="J1730" s="92"/>
      <c r="K1730" s="92"/>
      <c r="L1730" s="117"/>
      <c r="M1730" s="56">
        <v>400</v>
      </c>
    </row>
    <row r="1731" spans="1:13" s="51" customFormat="1" ht="25.2" hidden="1" customHeight="1">
      <c r="A1731" s="68">
        <f t="shared" si="73"/>
        <v>0</v>
      </c>
      <c r="B1731" s="69" t="s">
        <v>363</v>
      </c>
      <c r="C1731" s="69"/>
      <c r="D1731" s="111"/>
      <c r="E1731" s="88" t="str">
        <f>VLOOKUP($B1731,[1]DG!A:D,[1]DG!$B$2,)</f>
        <v>05.6044</v>
      </c>
      <c r="F1731" s="89" t="str">
        <f>VLOOKUP($B1731,[1]DG!A:D,[1]DG!$C$2,)</f>
        <v>Lắp xà cột Pi loại ≤140kg/xà</v>
      </c>
      <c r="G1731" s="88" t="str">
        <f>VLOOKUP($B1731,[1]DG!A:D,[1]DG!$D$2,)</f>
        <v>bộ</v>
      </c>
      <c r="H1731" s="145">
        <f>H1725</f>
        <v>0</v>
      </c>
      <c r="I1731" s="91">
        <f t="shared" si="74"/>
        <v>0</v>
      </c>
      <c r="J1731" s="92"/>
      <c r="K1731" s="92"/>
      <c r="L1731" s="117"/>
      <c r="M1731" s="56">
        <v>400</v>
      </c>
    </row>
    <row r="1732" spans="1:13" s="51" customFormat="1" ht="25.2" hidden="1" customHeight="1">
      <c r="A1732" s="68">
        <f t="shared" si="73"/>
        <v>0</v>
      </c>
      <c r="B1732" s="69"/>
      <c r="C1732" s="69"/>
      <c r="D1732" s="220">
        <f>IF(H1732&gt;0,D1725+1,D1725)</f>
        <v>0</v>
      </c>
      <c r="E1732" s="238"/>
      <c r="F1732" s="329" t="s">
        <v>467</v>
      </c>
      <c r="G1732" s="220" t="s">
        <v>67</v>
      </c>
      <c r="H1732" s="240">
        <f>H1687*1</f>
        <v>0</v>
      </c>
      <c r="I1732" s="91">
        <f t="shared" si="74"/>
        <v>0</v>
      </c>
      <c r="J1732" s="95"/>
      <c r="K1732" s="95"/>
      <c r="L1732" s="117"/>
      <c r="M1732" s="56">
        <v>400</v>
      </c>
    </row>
    <row r="1733" spans="1:13" s="51" customFormat="1" ht="25.2" hidden="1" customHeight="1">
      <c r="A1733" s="68">
        <f>IF(A1732&gt;0,1,0)</f>
        <v>0</v>
      </c>
      <c r="B1733" s="69"/>
      <c r="C1733" s="69"/>
      <c r="D1733" s="111"/>
      <c r="E1733" s="242"/>
      <c r="F1733" s="243" t="s">
        <v>68</v>
      </c>
      <c r="G1733" s="87"/>
      <c r="H1733" s="145"/>
      <c r="I1733" s="91">
        <f t="shared" si="74"/>
        <v>0</v>
      </c>
      <c r="J1733" s="95"/>
      <c r="K1733" s="95"/>
      <c r="L1733" s="117"/>
      <c r="M1733" s="56">
        <v>400</v>
      </c>
    </row>
    <row r="1734" spans="1:13" s="51" customFormat="1" ht="25.2" hidden="1" customHeight="1">
      <c r="A1734" s="68">
        <f t="shared" si="73"/>
        <v>0</v>
      </c>
      <c r="B1734" s="144" t="s">
        <v>221</v>
      </c>
      <c r="C1734" s="144"/>
      <c r="D1734" s="111"/>
      <c r="E1734" s="88">
        <f>VLOOKUP($B1734,[1]DG!A:D,[1]DG!$B$2,)</f>
        <v>0</v>
      </c>
      <c r="F1734" s="89" t="str">
        <f>VLOOKUP($B1734,[1]DG!A:D,[1]DG!$C$2,)</f>
        <v>Xà composite 110x800x5</v>
      </c>
      <c r="G1734" s="88" t="str">
        <f>VLOOKUP($B1734,[1]DG!A:D,[1]DG!$D$2,)</f>
        <v>cái</v>
      </c>
      <c r="H1734" s="145"/>
      <c r="I1734" s="91">
        <f t="shared" si="74"/>
        <v>0</v>
      </c>
      <c r="J1734" s="92"/>
      <c r="K1734" s="92"/>
      <c r="L1734" s="117"/>
      <c r="M1734" s="56">
        <v>400</v>
      </c>
    </row>
    <row r="1735" spans="1:13" s="51" customFormat="1" ht="25.2" hidden="1" customHeight="1">
      <c r="A1735" s="68">
        <f t="shared" si="73"/>
        <v>0</v>
      </c>
      <c r="B1735" s="69" t="s">
        <v>237</v>
      </c>
      <c r="C1735" s="69"/>
      <c r="D1735" s="111"/>
      <c r="E1735" s="88">
        <f>VLOOKUP($B1735,[1]DG!A:D,[1]DG!$B$2,)</f>
        <v>0</v>
      </c>
      <c r="F1735" s="89" t="str">
        <f>VLOOKUP($B1735,[1]DG!A:D,[1]DG!$C$2,)</f>
        <v>Boulon 16x250+ 2 long đền vuông D18-50x50x3/Zn</v>
      </c>
      <c r="G1735" s="88" t="str">
        <f>VLOOKUP($B1735,[1]DG!A:D,[1]DG!$D$2,)</f>
        <v>bộ</v>
      </c>
      <c r="H1735" s="145">
        <f>H1732</f>
        <v>0</v>
      </c>
      <c r="I1735" s="91">
        <f t="shared" si="74"/>
        <v>0</v>
      </c>
      <c r="J1735" s="92"/>
      <c r="K1735" s="92"/>
      <c r="L1735" s="117"/>
      <c r="M1735" s="56">
        <v>400</v>
      </c>
    </row>
    <row r="1736" spans="1:13" s="51" customFormat="1" ht="25.2" hidden="1" customHeight="1">
      <c r="A1736" s="68">
        <f t="shared" si="73"/>
        <v>0</v>
      </c>
      <c r="B1736" s="69" t="s">
        <v>65</v>
      </c>
      <c r="C1736" s="69"/>
      <c r="D1736" s="111"/>
      <c r="E1736" s="88">
        <f>VLOOKUP($B1736,[1]DG!A:D,[1]DG!$B$2,)</f>
        <v>0</v>
      </c>
      <c r="F1736" s="89" t="str">
        <f>VLOOKUP($B1736,[1]DG!A:D,[1]DG!$C$2,)</f>
        <v>Boulon 16x300+ 2 long đền vuông D18-50x50x3/Zn</v>
      </c>
      <c r="G1736" s="88" t="str">
        <f>VLOOKUP($B1736,[1]DG!A:D,[1]DG!$D$2,)</f>
        <v>bộ</v>
      </c>
      <c r="H1736" s="145">
        <f>H1732</f>
        <v>0</v>
      </c>
      <c r="I1736" s="91">
        <f t="shared" si="74"/>
        <v>0</v>
      </c>
      <c r="J1736" s="92"/>
      <c r="K1736" s="92"/>
      <c r="L1736" s="117"/>
      <c r="M1736" s="56">
        <v>400</v>
      </c>
    </row>
    <row r="1737" spans="1:13" s="51" customFormat="1" ht="25.2" hidden="1" customHeight="1">
      <c r="A1737" s="68">
        <f t="shared" si="73"/>
        <v>0</v>
      </c>
      <c r="B1737" s="69" t="s">
        <v>370</v>
      </c>
      <c r="C1737" s="69"/>
      <c r="D1737" s="111"/>
      <c r="E1737" s="88">
        <f>VLOOKUP($B1737,[1]DG!A:D,[1]DG!$B$2,)</f>
        <v>0</v>
      </c>
      <c r="F1737" s="89" t="str">
        <f>VLOOKUP($B1737,[1]DG!A:D,[1]DG!$C$2,)</f>
        <v>Bass LI bắt FCO</v>
      </c>
      <c r="G1737" s="88" t="str">
        <f>VLOOKUP($B1737,[1]DG!A:D,[1]DG!$D$2,)</f>
        <v>Bộ</v>
      </c>
      <c r="H1737" s="145">
        <f>H1688*2</f>
        <v>0</v>
      </c>
      <c r="I1737" s="91">
        <f t="shared" si="74"/>
        <v>0</v>
      </c>
      <c r="J1737" s="92"/>
      <c r="K1737" s="92"/>
      <c r="L1737" s="117"/>
      <c r="M1737" s="56">
        <v>400</v>
      </c>
    </row>
    <row r="1738" spans="1:13" s="51" customFormat="1" ht="25.2" hidden="1" customHeight="1">
      <c r="A1738" s="68">
        <f t="shared" si="73"/>
        <v>0</v>
      </c>
      <c r="B1738" s="69" t="s">
        <v>363</v>
      </c>
      <c r="C1738" s="69"/>
      <c r="D1738" s="111"/>
      <c r="E1738" s="88" t="str">
        <f>VLOOKUP($B1738,[1]DG!A:D,[1]DG!$B$2,)</f>
        <v>05.6044</v>
      </c>
      <c r="F1738" s="89" t="str">
        <f>VLOOKUP($B1738,[1]DG!A:D,[1]DG!$C$2,)</f>
        <v>Lắp xà cột Pi loại ≤140kg/xà</v>
      </c>
      <c r="G1738" s="88" t="str">
        <f>VLOOKUP($B1738,[1]DG!A:D,[1]DG!$D$2,)</f>
        <v>bộ</v>
      </c>
      <c r="H1738" s="145">
        <f>H1687</f>
        <v>0</v>
      </c>
      <c r="I1738" s="91">
        <f t="shared" si="74"/>
        <v>0</v>
      </c>
      <c r="J1738" s="92"/>
      <c r="K1738" s="92"/>
      <c r="L1738" s="117"/>
      <c r="M1738" s="56">
        <v>400</v>
      </c>
    </row>
    <row r="1739" spans="1:13" s="51" customFormat="1" ht="25.2" hidden="1" customHeight="1">
      <c r="A1739" s="68">
        <f t="shared" si="73"/>
        <v>0</v>
      </c>
      <c r="B1739" s="69"/>
      <c r="C1739" s="69"/>
      <c r="D1739" s="220">
        <f>IF(H1739&gt;0,D1732+1,D1732)</f>
        <v>0</v>
      </c>
      <c r="E1739" s="238"/>
      <c r="F1739" s="329" t="s">
        <v>373</v>
      </c>
      <c r="G1739" s="220" t="s">
        <v>67</v>
      </c>
      <c r="H1739" s="240">
        <f>H1687*2</f>
        <v>0</v>
      </c>
      <c r="I1739" s="91">
        <f t="shared" si="74"/>
        <v>0</v>
      </c>
      <c r="J1739" s="95"/>
      <c r="K1739" s="95"/>
      <c r="L1739" s="117"/>
      <c r="M1739" s="56">
        <v>400</v>
      </c>
    </row>
    <row r="1740" spans="1:13" s="51" customFormat="1" ht="25.2" hidden="1" customHeight="1">
      <c r="A1740" s="68">
        <f>IF(A1739&gt;0,1,0)</f>
        <v>0</v>
      </c>
      <c r="B1740" s="69"/>
      <c r="C1740" s="69"/>
      <c r="D1740" s="111"/>
      <c r="E1740" s="242"/>
      <c r="F1740" s="243" t="s">
        <v>68</v>
      </c>
      <c r="G1740" s="87"/>
      <c r="H1740" s="145"/>
      <c r="I1740" s="91">
        <f t="shared" si="74"/>
        <v>0</v>
      </c>
      <c r="J1740" s="95"/>
      <c r="K1740" s="95"/>
      <c r="L1740" s="117"/>
      <c r="M1740" s="56">
        <v>400</v>
      </c>
    </row>
    <row r="1741" spans="1:13" s="51" customFormat="1" ht="25.2" hidden="1" customHeight="1">
      <c r="A1741" s="68">
        <f t="shared" si="73"/>
        <v>0</v>
      </c>
      <c r="B1741" s="69" t="s">
        <v>367</v>
      </c>
      <c r="C1741" s="69"/>
      <c r="D1741" s="111"/>
      <c r="E1741" s="88">
        <f>VLOOKUP($B1741,[1]DG!A:D,[1]DG!$B$2,)</f>
        <v>0</v>
      </c>
      <c r="F1741" s="89" t="str">
        <f>VLOOKUP($B1741,[1]DG!A:D,[1]DG!$C$2,)</f>
        <v>Sắt góc L75 x75 x8</v>
      </c>
      <c r="G1741" s="88" t="str">
        <f>VLOOKUP($B1741,[1]DG!A:D,[1]DG!$D$2,)</f>
        <v>kg</v>
      </c>
      <c r="H1741" s="145">
        <f>H1739*9.02*2.6</f>
        <v>0</v>
      </c>
      <c r="I1741" s="91">
        <f t="shared" si="74"/>
        <v>0</v>
      </c>
      <c r="J1741" s="92"/>
      <c r="K1741" s="92"/>
      <c r="L1741" s="117"/>
      <c r="M1741" s="56">
        <v>400</v>
      </c>
    </row>
    <row r="1742" spans="1:13" s="51" customFormat="1" ht="25.2" hidden="1" customHeight="1">
      <c r="A1742" s="68">
        <f t="shared" si="73"/>
        <v>0</v>
      </c>
      <c r="B1742" s="69" t="s">
        <v>265</v>
      </c>
      <c r="C1742" s="69"/>
      <c r="D1742" s="111"/>
      <c r="E1742" s="88">
        <f>VLOOKUP($B1742,[1]DG!A:D,[1]DG!$B$2,)</f>
        <v>0</v>
      </c>
      <c r="F1742" s="89" t="str">
        <f>VLOOKUP($B1742,[1]DG!A:D,[1]DG!$C$2,)</f>
        <v>Boulon 16x400+ 2 long đền vuông D18-50x50x3/Zn</v>
      </c>
      <c r="G1742" s="88" t="str">
        <f>VLOOKUP($B1742,[1]DG!A:D,[1]DG!$D$2,)</f>
        <v>bộ</v>
      </c>
      <c r="H1742" s="145">
        <f>H1739*2</f>
        <v>0</v>
      </c>
      <c r="I1742" s="91">
        <f t="shared" si="74"/>
        <v>0</v>
      </c>
      <c r="J1742" s="92"/>
      <c r="K1742" s="92"/>
      <c r="L1742" s="117"/>
      <c r="M1742" s="56">
        <v>400</v>
      </c>
    </row>
    <row r="1743" spans="1:13" s="51" customFormat="1" ht="25.2" hidden="1" customHeight="1">
      <c r="A1743" s="68">
        <f t="shared" si="73"/>
        <v>0</v>
      </c>
      <c r="B1743" s="69" t="s">
        <v>131</v>
      </c>
      <c r="C1743" s="69"/>
      <c r="D1743" s="111"/>
      <c r="E1743" s="88">
        <f>VLOOKUP($B1743,[1]DG!A:D,[1]DG!$B$2,)</f>
        <v>0</v>
      </c>
      <c r="F1743" s="89" t="str">
        <f>VLOOKUP($B1743,[1]DG!A:D,[1]DG!$C$2,)</f>
        <v>Boulon 12x40+ 2 long đền vuông D14-50x50x3/Zn</v>
      </c>
      <c r="G1743" s="88" t="str">
        <f>VLOOKUP($B1743,[1]DG!A:D,[1]DG!$D$2,)</f>
        <v>bộ</v>
      </c>
      <c r="H1743" s="145">
        <f>H1739*2</f>
        <v>0</v>
      </c>
      <c r="I1743" s="91">
        <f t="shared" si="74"/>
        <v>0</v>
      </c>
      <c r="J1743" s="92"/>
      <c r="K1743" s="92"/>
      <c r="L1743" s="117"/>
      <c r="M1743" s="56">
        <v>400</v>
      </c>
    </row>
    <row r="1744" spans="1:13" s="51" customFormat="1" ht="25.2" hidden="1" customHeight="1">
      <c r="A1744" s="68">
        <f t="shared" si="73"/>
        <v>0</v>
      </c>
      <c r="B1744" s="69" t="s">
        <v>363</v>
      </c>
      <c r="C1744" s="69"/>
      <c r="D1744" s="111"/>
      <c r="E1744" s="88" t="str">
        <f>VLOOKUP($B1744,[1]DG!A:D,[1]DG!$B$2,)</f>
        <v>05.6044</v>
      </c>
      <c r="F1744" s="89" t="str">
        <f>VLOOKUP($B1744,[1]DG!A:D,[1]DG!$C$2,)</f>
        <v>Lắp xà cột Pi loại ≤140kg/xà</v>
      </c>
      <c r="G1744" s="88" t="str">
        <f>VLOOKUP($B1744,[1]DG!A:D,[1]DG!$D$2,)</f>
        <v>bộ</v>
      </c>
      <c r="H1744" s="145">
        <f>H1739/2</f>
        <v>0</v>
      </c>
      <c r="I1744" s="91">
        <f t="shared" si="74"/>
        <v>0</v>
      </c>
      <c r="J1744" s="92"/>
      <c r="K1744" s="92"/>
      <c r="L1744" s="117"/>
      <c r="M1744" s="56">
        <v>400</v>
      </c>
    </row>
    <row r="1745" spans="1:13" s="51" customFormat="1" ht="25.2" hidden="1" customHeight="1">
      <c r="A1745" s="68">
        <f t="shared" si="73"/>
        <v>0</v>
      </c>
      <c r="B1745" s="69" t="s">
        <v>374</v>
      </c>
      <c r="C1745" s="69"/>
      <c r="D1745" s="111"/>
      <c r="E1745" s="88" t="str">
        <f>VLOOKUP($B1745,[1]DG!A:D,[1]DG!$B$2,)</f>
        <v>02.1115</v>
      </c>
      <c r="F1745" s="89" t="str">
        <f>VLOOKUP($B1745,[1]DG!A:D,[1]DG!$C$2,)</f>
        <v>Bốc dỡ xà, thép thanh</v>
      </c>
      <c r="G1745" s="88" t="str">
        <f>VLOOKUP($B1745,[1]DG!A:D,[1]DG!$D$2,)</f>
        <v>tấn</v>
      </c>
      <c r="H1745" s="145">
        <f>0.05*0</f>
        <v>0</v>
      </c>
      <c r="I1745" s="91">
        <f t="shared" si="74"/>
        <v>0</v>
      </c>
      <c r="J1745" s="92"/>
      <c r="K1745" s="92"/>
      <c r="L1745" s="117"/>
      <c r="M1745" s="56">
        <v>400</v>
      </c>
    </row>
    <row r="1746" spans="1:13" s="51" customFormat="1" ht="25.2" hidden="1" customHeight="1">
      <c r="A1746" s="68">
        <f t="shared" si="73"/>
        <v>0</v>
      </c>
      <c r="B1746" s="69" t="s">
        <v>65</v>
      </c>
      <c r="C1746" s="69"/>
      <c r="D1746" s="111"/>
      <c r="E1746" s="88">
        <f>VLOOKUP($B1746,[1]DG!A:D,[1]DG!$B$2,)</f>
        <v>0</v>
      </c>
      <c r="F1746" s="89" t="str">
        <f>VLOOKUP($B1746,[1]DG!A:D,[1]DG!$C$2,)</f>
        <v>Boulon 16x300+ 2 long đền vuông D18-50x50x3/Zn</v>
      </c>
      <c r="G1746" s="88" t="s">
        <v>375</v>
      </c>
      <c r="H1746" s="145">
        <f>H1739*2*0</f>
        <v>0</v>
      </c>
      <c r="I1746" s="91">
        <f t="shared" si="74"/>
        <v>0</v>
      </c>
      <c r="J1746" s="92"/>
      <c r="K1746" s="92"/>
      <c r="L1746" s="117"/>
      <c r="M1746" s="56">
        <v>400</v>
      </c>
    </row>
    <row r="1747" spans="1:13" s="51" customFormat="1" ht="25.2" hidden="1" customHeight="1">
      <c r="A1747" s="68">
        <f t="shared" si="73"/>
        <v>0</v>
      </c>
      <c r="B1747" s="69" t="s">
        <v>237</v>
      </c>
      <c r="C1747" s="69"/>
      <c r="D1747" s="111"/>
      <c r="E1747" s="88">
        <f>VLOOKUP($B1747,[1]DG!A:D,[1]DG!$B$2,)</f>
        <v>0</v>
      </c>
      <c r="F1747" s="89" t="str">
        <f>VLOOKUP($B1747,[1]DG!A:D,[1]DG!$C$2,)</f>
        <v>Boulon 16x250+ 2 long đền vuông D18-50x50x3/Zn</v>
      </c>
      <c r="G1747" s="88" t="s">
        <v>375</v>
      </c>
      <c r="H1747" s="145">
        <f>2*H1739*2*0</f>
        <v>0</v>
      </c>
      <c r="I1747" s="91">
        <f t="shared" si="74"/>
        <v>0</v>
      </c>
      <c r="J1747" s="92"/>
      <c r="K1747" s="92"/>
      <c r="L1747" s="117"/>
      <c r="M1747" s="56">
        <v>400</v>
      </c>
    </row>
    <row r="1748" spans="1:13" s="51" customFormat="1" ht="25.2" hidden="1" customHeight="1" collapsed="1">
      <c r="A1748" s="68">
        <f t="shared" si="73"/>
        <v>0</v>
      </c>
      <c r="B1748" s="69"/>
      <c r="C1748" s="69"/>
      <c r="D1748" s="220">
        <f>IF(H1748&gt;0,D1739+1,D1739)</f>
        <v>0</v>
      </c>
      <c r="E1748" s="238"/>
      <c r="F1748" s="329" t="s">
        <v>376</v>
      </c>
      <c r="G1748" s="220" t="s">
        <v>67</v>
      </c>
      <c r="H1748" s="240">
        <f>H1687*0</f>
        <v>0</v>
      </c>
      <c r="I1748" s="91">
        <f t="shared" si="74"/>
        <v>0</v>
      </c>
      <c r="J1748" s="146"/>
      <c r="K1748" s="146"/>
      <c r="L1748" s="96"/>
      <c r="M1748" s="56">
        <v>400</v>
      </c>
    </row>
    <row r="1749" spans="1:13" s="51" customFormat="1" ht="25.2" hidden="1" customHeight="1">
      <c r="A1749" s="68">
        <f>IF(A1748&gt;0,1,0)</f>
        <v>0</v>
      </c>
      <c r="B1749" s="69"/>
      <c r="C1749" s="69"/>
      <c r="D1749" s="111"/>
      <c r="E1749" s="242"/>
      <c r="F1749" s="243" t="s">
        <v>68</v>
      </c>
      <c r="G1749" s="87"/>
      <c r="H1749" s="145"/>
      <c r="I1749" s="91">
        <f t="shared" si="74"/>
        <v>0</v>
      </c>
      <c r="J1749" s="146"/>
      <c r="K1749" s="146"/>
      <c r="L1749" s="96"/>
      <c r="M1749" s="56">
        <v>400</v>
      </c>
    </row>
    <row r="1750" spans="1:13" s="51" customFormat="1" ht="25.2" hidden="1" customHeight="1">
      <c r="A1750" s="68">
        <f t="shared" si="73"/>
        <v>0</v>
      </c>
      <c r="B1750" s="69" t="s">
        <v>367</v>
      </c>
      <c r="C1750" s="69"/>
      <c r="D1750" s="111"/>
      <c r="E1750" s="88">
        <f>VLOOKUP($B1750,[1]DG!A:D,[1]DG!$B$2,)</f>
        <v>0</v>
      </c>
      <c r="F1750" s="89" t="str">
        <f>VLOOKUP($B1750,[1]DG!A:D,[1]DG!$C$2,)</f>
        <v>Sắt góc L75 x75 x8</v>
      </c>
      <c r="G1750" s="88" t="s">
        <v>377</v>
      </c>
      <c r="H1750" s="145">
        <f>H1748*9.02*(2.4+4*0.07)*2</f>
        <v>0</v>
      </c>
      <c r="I1750" s="91">
        <f t="shared" si="74"/>
        <v>0</v>
      </c>
      <c r="J1750" s="146"/>
      <c r="K1750" s="146"/>
      <c r="L1750" s="96"/>
      <c r="M1750" s="56">
        <v>400</v>
      </c>
    </row>
    <row r="1751" spans="1:13" s="51" customFormat="1" ht="25.2" hidden="1" customHeight="1">
      <c r="A1751" s="68">
        <f t="shared" si="73"/>
        <v>0</v>
      </c>
      <c r="B1751" s="69" t="s">
        <v>378</v>
      </c>
      <c r="C1751" s="69"/>
      <c r="D1751" s="111"/>
      <c r="E1751" s="88">
        <f>VLOOKUP($B1751,[1]DG!A:D,[1]DG!$B$2,)</f>
        <v>0</v>
      </c>
      <c r="F1751" s="89" t="str">
        <f>VLOOKUP($B1751,[1]DG!A:D,[1]DG!$C$2,)&amp;" (Thanh choáng 810)"</f>
        <v>Sắt góc L50 x50 x5 (Thanh choáng 810)</v>
      </c>
      <c r="G1751" s="88" t="s">
        <v>377</v>
      </c>
      <c r="H1751" s="145">
        <f>H1748*3.77*0.81*4</f>
        <v>0</v>
      </c>
      <c r="I1751" s="91">
        <f t="shared" si="74"/>
        <v>0</v>
      </c>
      <c r="J1751" s="146"/>
      <c r="K1751" s="146"/>
      <c r="L1751" s="96"/>
      <c r="M1751" s="56">
        <v>400</v>
      </c>
    </row>
    <row r="1752" spans="1:13" s="51" customFormat="1" ht="25.2" hidden="1" customHeight="1">
      <c r="A1752" s="68">
        <f t="shared" si="73"/>
        <v>0</v>
      </c>
      <c r="B1752" s="69" t="s">
        <v>65</v>
      </c>
      <c r="C1752" s="69"/>
      <c r="D1752" s="111"/>
      <c r="E1752" s="88">
        <f>VLOOKUP($B1752,[1]DG!A:D,[1]DG!$B$2,)</f>
        <v>0</v>
      </c>
      <c r="F1752" s="89" t="str">
        <f>VLOOKUP($B1752,[1]DG!A:D,[1]DG!$C$2,)</f>
        <v>Boulon 16x300+ 2 long đền vuông D18-50x50x3/Zn</v>
      </c>
      <c r="G1752" s="88" t="s">
        <v>375</v>
      </c>
      <c r="H1752" s="145">
        <f>H1748*2</f>
        <v>0</v>
      </c>
      <c r="I1752" s="91">
        <f t="shared" si="74"/>
        <v>0</v>
      </c>
      <c r="J1752" s="146"/>
      <c r="K1752" s="146"/>
      <c r="L1752" s="96"/>
      <c r="M1752" s="56">
        <v>400</v>
      </c>
    </row>
    <row r="1753" spans="1:13" s="51" customFormat="1" ht="25.2" hidden="1" customHeight="1">
      <c r="A1753" s="68">
        <f t="shared" si="73"/>
        <v>0</v>
      </c>
      <c r="B1753" s="69" t="s">
        <v>231</v>
      </c>
      <c r="C1753" s="69"/>
      <c r="D1753" s="111"/>
      <c r="E1753" s="88">
        <f>VLOOKUP($B1753,[1]DG!A:D,[1]DG!$B$2,)</f>
        <v>0</v>
      </c>
      <c r="F1753" s="89" t="str">
        <f>VLOOKUP($B1753,[1]DG!A:D,[1]DG!$C$2,)</f>
        <v>Boulon 16x50+ 2 long đền vuông D18-50x50x3/Zn</v>
      </c>
      <c r="G1753" s="88" t="s">
        <v>375</v>
      </c>
      <c r="H1753" s="145">
        <f>H1748*4</f>
        <v>0</v>
      </c>
      <c r="I1753" s="91">
        <f t="shared" si="74"/>
        <v>0</v>
      </c>
      <c r="J1753" s="146"/>
      <c r="K1753" s="146"/>
      <c r="L1753" s="96"/>
      <c r="M1753" s="56">
        <v>400</v>
      </c>
    </row>
    <row r="1754" spans="1:13" s="51" customFormat="1" ht="25.2" hidden="1" customHeight="1">
      <c r="A1754" s="68">
        <f t="shared" si="73"/>
        <v>0</v>
      </c>
      <c r="B1754" s="69" t="s">
        <v>368</v>
      </c>
      <c r="C1754" s="69"/>
      <c r="D1754" s="111"/>
      <c r="E1754" s="88">
        <f>VLOOKUP($B1754,[1]DG!A:D,[1]DG!$B$2,)</f>
        <v>0</v>
      </c>
      <c r="F1754" s="89" t="str">
        <f>VLOOKUP($B1754,[1]DG!A:D,[1]DG!$C$2,)</f>
        <v>Boulon 16x300VRS+ 4 long đền vuông D18-50x50x3/Zn</v>
      </c>
      <c r="G1754" s="88" t="s">
        <v>375</v>
      </c>
      <c r="H1754" s="145">
        <f>H1748*4</f>
        <v>0</v>
      </c>
      <c r="I1754" s="91">
        <f t="shared" si="74"/>
        <v>0</v>
      </c>
      <c r="J1754" s="146"/>
      <c r="K1754" s="146"/>
      <c r="L1754" s="96"/>
      <c r="M1754" s="56">
        <v>400</v>
      </c>
    </row>
    <row r="1755" spans="1:13" s="51" customFormat="1" ht="25.2" hidden="1" customHeight="1">
      <c r="A1755" s="68">
        <f t="shared" si="73"/>
        <v>0</v>
      </c>
      <c r="B1755" s="69" t="s">
        <v>379</v>
      </c>
      <c r="C1755" s="69"/>
      <c r="D1755" s="111"/>
      <c r="E1755" s="88" t="str">
        <f>VLOOKUP($B1755,[1]DG!A:D,[1]DG!$B$2,)</f>
        <v>05.6203</v>
      </c>
      <c r="F1755" s="89" t="str">
        <f>VLOOKUP($B1755,[1]DG!A:D,[1]DG!$C$2,)</f>
        <v>Lắp xà néo ≤ 100kg</v>
      </c>
      <c r="G1755" s="88" t="s">
        <v>375</v>
      </c>
      <c r="H1755" s="145">
        <f>H1748</f>
        <v>0</v>
      </c>
      <c r="I1755" s="91">
        <f t="shared" si="74"/>
        <v>0</v>
      </c>
      <c r="J1755" s="146"/>
      <c r="K1755" s="146"/>
      <c r="L1755" s="96"/>
      <c r="M1755" s="56">
        <v>400</v>
      </c>
    </row>
    <row r="1756" spans="1:13" s="51" customFormat="1" ht="25.2" hidden="1" customHeight="1">
      <c r="A1756" s="68">
        <f t="shared" si="73"/>
        <v>0</v>
      </c>
      <c r="B1756" s="69"/>
      <c r="C1756" s="69"/>
      <c r="D1756" s="220">
        <f>IF(H1756&gt;0,D1748+1,D1748)</f>
        <v>0</v>
      </c>
      <c r="E1756" s="238"/>
      <c r="F1756" s="329" t="s">
        <v>380</v>
      </c>
      <c r="G1756" s="220" t="s">
        <v>67</v>
      </c>
      <c r="H1756" s="240">
        <f>H1687*1*0</f>
        <v>0</v>
      </c>
      <c r="I1756" s="91">
        <f t="shared" si="74"/>
        <v>0</v>
      </c>
      <c r="J1756" s="146"/>
      <c r="K1756" s="146"/>
      <c r="L1756" s="96"/>
      <c r="M1756" s="56">
        <v>400</v>
      </c>
    </row>
    <row r="1757" spans="1:13" s="51" customFormat="1" ht="25.2" hidden="1" customHeight="1">
      <c r="A1757" s="68">
        <f>IF(A1756&gt;0,1,0)</f>
        <v>0</v>
      </c>
      <c r="B1757" s="69"/>
      <c r="C1757" s="69"/>
      <c r="D1757" s="111"/>
      <c r="E1757" s="242"/>
      <c r="F1757" s="243" t="s">
        <v>68</v>
      </c>
      <c r="G1757" s="87"/>
      <c r="H1757" s="145"/>
      <c r="I1757" s="91">
        <f t="shared" si="74"/>
        <v>0</v>
      </c>
      <c r="J1757" s="146"/>
      <c r="K1757" s="146"/>
      <c r="L1757" s="96"/>
      <c r="M1757" s="56">
        <v>400</v>
      </c>
    </row>
    <row r="1758" spans="1:13" s="51" customFormat="1" ht="25.2" hidden="1" customHeight="1">
      <c r="A1758" s="68">
        <f t="shared" ref="A1758:A1821" si="75">IF(I1758&gt;0,1,0)</f>
        <v>0</v>
      </c>
      <c r="B1758" s="69" t="s">
        <v>367</v>
      </c>
      <c r="C1758" s="69"/>
      <c r="D1758" s="111"/>
      <c r="E1758" s="88">
        <f>VLOOKUP($B1758,[1]DG!A:D,[1]DG!$B$2,)</f>
        <v>0</v>
      </c>
      <c r="F1758" s="89" t="str">
        <f>VLOOKUP($B1758,[1]DG!A:D,[1]DG!$C$2,)</f>
        <v>Sắt góc L75 x75 x8</v>
      </c>
      <c r="G1758" s="88" t="s">
        <v>377</v>
      </c>
      <c r="H1758" s="145">
        <f>H1756*9.02*(2.4+4*0.07)</f>
        <v>0</v>
      </c>
      <c r="I1758" s="91">
        <f t="shared" si="74"/>
        <v>0</v>
      </c>
      <c r="J1758" s="146"/>
      <c r="K1758" s="146"/>
      <c r="L1758" s="96"/>
      <c r="M1758" s="56">
        <v>400</v>
      </c>
    </row>
    <row r="1759" spans="1:13" s="51" customFormat="1" ht="25.2" hidden="1" customHeight="1">
      <c r="A1759" s="68">
        <f t="shared" si="75"/>
        <v>0</v>
      </c>
      <c r="B1759" s="69" t="s">
        <v>378</v>
      </c>
      <c r="C1759" s="69"/>
      <c r="D1759" s="111"/>
      <c r="E1759" s="88">
        <f>VLOOKUP($B1759,[1]DG!A:D,[1]DG!$B$2,)</f>
        <v>0</v>
      </c>
      <c r="F1759" s="89" t="str">
        <f>VLOOKUP($B1759,[1]DG!A:D,[1]DG!$C$2,)&amp;" (Thanh choáng 810)"</f>
        <v>Sắt góc L50 x50 x5 (Thanh choáng 810)</v>
      </c>
      <c r="G1759" s="88" t="s">
        <v>377</v>
      </c>
      <c r="H1759" s="145">
        <f>H1756*3.77*0.81*2</f>
        <v>0</v>
      </c>
      <c r="I1759" s="91">
        <f t="shared" si="74"/>
        <v>0</v>
      </c>
      <c r="J1759" s="146"/>
      <c r="K1759" s="146"/>
      <c r="L1759" s="96"/>
      <c r="M1759" s="56">
        <v>400</v>
      </c>
    </row>
    <row r="1760" spans="1:13" s="51" customFormat="1" ht="25.2" hidden="1" customHeight="1">
      <c r="A1760" s="68">
        <f t="shared" si="75"/>
        <v>0</v>
      </c>
      <c r="B1760" s="69" t="s">
        <v>123</v>
      </c>
      <c r="C1760" s="69"/>
      <c r="D1760" s="111"/>
      <c r="E1760" s="88">
        <f>VLOOKUP($B1760,[1]DG!A:D,[1]DG!$B$2,)</f>
        <v>0</v>
      </c>
      <c r="F1760" s="89" t="str">
        <f>VLOOKUP($B1760,[1]DG!A:D,[1]DG!$C$2,)</f>
        <v>Boulon 16x350+ 2 long đền vuông D18-50x50x3/Zn</v>
      </c>
      <c r="G1760" s="88" t="s">
        <v>375</v>
      </c>
      <c r="H1760" s="145">
        <f>H1756*2</f>
        <v>0</v>
      </c>
      <c r="I1760" s="91">
        <f t="shared" si="74"/>
        <v>0</v>
      </c>
      <c r="J1760" s="146"/>
      <c r="K1760" s="146"/>
      <c r="L1760" s="96"/>
      <c r="M1760" s="56">
        <v>400</v>
      </c>
    </row>
    <row r="1761" spans="1:13" s="51" customFormat="1" ht="25.2" hidden="1" customHeight="1">
      <c r="A1761" s="68">
        <f t="shared" si="75"/>
        <v>0</v>
      </c>
      <c r="B1761" s="69" t="s">
        <v>231</v>
      </c>
      <c r="C1761" s="69"/>
      <c r="D1761" s="111"/>
      <c r="E1761" s="88">
        <f>VLOOKUP($B1761,[1]DG!A:D,[1]DG!$B$2,)</f>
        <v>0</v>
      </c>
      <c r="F1761" s="89" t="str">
        <f>VLOOKUP($B1761,[1]DG!A:D,[1]DG!$C$2,)</f>
        <v>Boulon 16x50+ 2 long đền vuông D18-50x50x3/Zn</v>
      </c>
      <c r="G1761" s="88" t="s">
        <v>375</v>
      </c>
      <c r="H1761" s="145">
        <f>H1756*2</f>
        <v>0</v>
      </c>
      <c r="I1761" s="91">
        <f t="shared" si="74"/>
        <v>0</v>
      </c>
      <c r="J1761" s="146"/>
      <c r="K1761" s="146"/>
      <c r="L1761" s="96"/>
      <c r="M1761" s="56">
        <v>400</v>
      </c>
    </row>
    <row r="1762" spans="1:13" s="51" customFormat="1" ht="25.2" hidden="1" customHeight="1">
      <c r="A1762" s="68">
        <f t="shared" si="75"/>
        <v>0</v>
      </c>
      <c r="B1762" s="69" t="s">
        <v>381</v>
      </c>
      <c r="C1762" s="69"/>
      <c r="D1762" s="111"/>
      <c r="E1762" s="88">
        <f>VLOOKUP($B1762,[1]DG!A:D,[1]DG!$B$2,)</f>
        <v>0</v>
      </c>
      <c r="F1762" s="89" t="str">
        <f>VLOOKUP($B1762,[1]DG!A:D,[1]DG!$C$2,)</f>
        <v>Bass LI bắt FCO</v>
      </c>
      <c r="G1762" s="88" t="s">
        <v>375</v>
      </c>
      <c r="H1762" s="145">
        <f>IF(H1756&gt;0,3,)</f>
        <v>0</v>
      </c>
      <c r="I1762" s="91">
        <f t="shared" si="74"/>
        <v>0</v>
      </c>
      <c r="J1762" s="146"/>
      <c r="K1762" s="146"/>
      <c r="L1762" s="96"/>
      <c r="M1762" s="56">
        <v>400</v>
      </c>
    </row>
    <row r="1763" spans="1:13" s="51" customFormat="1" ht="25.2" hidden="1" customHeight="1">
      <c r="A1763" s="68">
        <f t="shared" si="75"/>
        <v>0</v>
      </c>
      <c r="B1763" s="69" t="s">
        <v>382</v>
      </c>
      <c r="C1763" s="69"/>
      <c r="D1763" s="111"/>
      <c r="E1763" s="88" t="str">
        <f>VLOOKUP($B1763,[1]DG!A:D,[1]DG!$B$2,)</f>
        <v>06.3231</v>
      </c>
      <c r="F1763" s="89" t="str">
        <f>VLOOKUP($B1763,[1]DG!A:D,[1]DG!$C$2,)</f>
        <v xml:space="preserve">Cổ dê chống lắc 8x80x800 </v>
      </c>
      <c r="G1763" s="88" t="s">
        <v>375</v>
      </c>
      <c r="H1763" s="145">
        <f>H1756*0</f>
        <v>0</v>
      </c>
      <c r="I1763" s="91">
        <f t="shared" si="74"/>
        <v>0</v>
      </c>
      <c r="J1763" s="146"/>
      <c r="K1763" s="146"/>
      <c r="L1763" s="96"/>
      <c r="M1763" s="56">
        <v>400</v>
      </c>
    </row>
    <row r="1764" spans="1:13" s="51" customFormat="1" ht="25.2" hidden="1" customHeight="1">
      <c r="A1764" s="68">
        <f t="shared" si="75"/>
        <v>0</v>
      </c>
      <c r="B1764" s="69" t="s">
        <v>383</v>
      </c>
      <c r="C1764" s="69"/>
      <c r="D1764" s="111"/>
      <c r="E1764" s="88" t="str">
        <f>VLOOKUP($B1764,[1]DG!A:D,[1]DG!$B$2,)</f>
        <v>05.6102</v>
      </c>
      <c r="F1764" s="89" t="str">
        <f>VLOOKUP($B1764,[1]DG!A:D,[1]DG!$C$2,)</f>
        <v>Lắp xà đỡ ≤ 50kg</v>
      </c>
      <c r="G1764" s="88" t="s">
        <v>375</v>
      </c>
      <c r="H1764" s="145">
        <f>H1756</f>
        <v>0</v>
      </c>
      <c r="I1764" s="91">
        <f t="shared" si="74"/>
        <v>0</v>
      </c>
      <c r="J1764" s="146"/>
      <c r="K1764" s="146"/>
      <c r="L1764" s="96"/>
      <c r="M1764" s="56">
        <v>400</v>
      </c>
    </row>
    <row r="1765" spans="1:13" s="51" customFormat="1" ht="25.2" hidden="1" customHeight="1">
      <c r="A1765" s="68">
        <f t="shared" si="75"/>
        <v>0</v>
      </c>
      <c r="B1765" s="69"/>
      <c r="C1765" s="69"/>
      <c r="D1765" s="220">
        <f>IF(H1765&gt;0,D1756+1,D1756)</f>
        <v>0</v>
      </c>
      <c r="E1765" s="238"/>
      <c r="F1765" s="329" t="s">
        <v>384</v>
      </c>
      <c r="G1765" s="220" t="s">
        <v>67</v>
      </c>
      <c r="H1765" s="240">
        <f>H1687</f>
        <v>0</v>
      </c>
      <c r="I1765" s="91">
        <f t="shared" si="74"/>
        <v>0</v>
      </c>
      <c r="J1765" s="146"/>
      <c r="K1765" s="146"/>
      <c r="L1765" s="96"/>
      <c r="M1765" s="56">
        <v>400</v>
      </c>
    </row>
    <row r="1766" spans="1:13" s="51" customFormat="1" ht="25.2" hidden="1" customHeight="1">
      <c r="A1766" s="68">
        <f>IF(A1765&gt;0,1,0)</f>
        <v>0</v>
      </c>
      <c r="B1766" s="330"/>
      <c r="C1766" s="330"/>
      <c r="D1766" s="111"/>
      <c r="E1766" s="242"/>
      <c r="F1766" s="243" t="s">
        <v>68</v>
      </c>
      <c r="G1766" s="87"/>
      <c r="H1766" s="145"/>
      <c r="I1766" s="91">
        <f t="shared" si="74"/>
        <v>0</v>
      </c>
      <c r="J1766" s="146"/>
      <c r="K1766" s="146"/>
      <c r="L1766" s="96"/>
      <c r="M1766" s="56">
        <v>400</v>
      </c>
    </row>
    <row r="1767" spans="1:13" s="51" customFormat="1" ht="25.2" hidden="1" customHeight="1">
      <c r="A1767" s="68">
        <f t="shared" si="75"/>
        <v>0</v>
      </c>
      <c r="B1767" s="69" t="s">
        <v>81</v>
      </c>
      <c r="C1767" s="69"/>
      <c r="D1767" s="111"/>
      <c r="E1767" s="88">
        <f>VLOOKUP($B1767,[1]DG!A:D,[1]DG!$B$2,)</f>
        <v>0</v>
      </c>
      <c r="F1767" s="89" t="str">
        <f>VLOOKUP($B1767,[1]DG!A:D,[1]DG!$C$2,)</f>
        <v>Cáp đồng trần M25mm2</v>
      </c>
      <c r="G1767" s="88" t="str">
        <f>VLOOKUP($B1767,[1]DG!A:D,[1]DG!$D$2,)</f>
        <v>kg</v>
      </c>
      <c r="H1767" s="145">
        <f>53*0.224*H1765</f>
        <v>0</v>
      </c>
      <c r="I1767" s="91">
        <f t="shared" si="74"/>
        <v>0</v>
      </c>
      <c r="J1767" s="146"/>
      <c r="K1767" s="146"/>
      <c r="L1767" s="96"/>
      <c r="M1767" s="56">
        <v>400</v>
      </c>
    </row>
    <row r="1768" spans="1:13" s="51" customFormat="1" ht="25.2" hidden="1" customHeight="1">
      <c r="A1768" s="68">
        <f t="shared" si="75"/>
        <v>0</v>
      </c>
      <c r="B1768" s="69" t="s">
        <v>81</v>
      </c>
      <c r="C1768" s="69"/>
      <c r="D1768" s="111"/>
      <c r="E1768" s="88">
        <f>VLOOKUP($B1768,[1]DG!A:D,[1]DG!$B$2,)</f>
        <v>0</v>
      </c>
      <c r="F1768" s="89" t="str">
        <f>VLOOKUP($B1768,[1]DG!A:D,[1]DG!$C$2,)&amp;": 17m noái leân voû caùc thieát bò"</f>
        <v>Cáp đồng trần M25mm2: 17m noái leân voû caùc thieát bò</v>
      </c>
      <c r="G1768" s="88" t="str">
        <f>VLOOKUP($B1768,[1]DG!A:D,[1]DG!$D$2,)</f>
        <v>kg</v>
      </c>
      <c r="H1768" s="145">
        <f>17*0.224*H1765*0</f>
        <v>0</v>
      </c>
      <c r="I1768" s="91">
        <f t="shared" si="74"/>
        <v>0</v>
      </c>
      <c r="J1768" s="146"/>
      <c r="K1768" s="146"/>
      <c r="L1768" s="96"/>
      <c r="M1768" s="56">
        <v>400</v>
      </c>
    </row>
    <row r="1769" spans="1:13" s="51" customFormat="1" ht="25.2" hidden="1" customHeight="1">
      <c r="A1769" s="68">
        <f t="shared" si="75"/>
        <v>0</v>
      </c>
      <c r="B1769" s="86" t="s">
        <v>82</v>
      </c>
      <c r="C1769" s="86"/>
      <c r="D1769" s="111"/>
      <c r="E1769" s="88">
        <f>VLOOKUP($B1769,[1]DG!A:D,[1]DG!$B$2,)</f>
        <v>0</v>
      </c>
      <c r="F1769" s="89" t="str">
        <f>VLOOKUP($B1769,[1]DG!A:D,[1]DG!$C$2,)</f>
        <v>Cọc tiếp đất Þ 16- 2,4m + kẹp cọc mạ đồng</v>
      </c>
      <c r="G1769" s="88" t="str">
        <f>VLOOKUP($B1769,[1]DG!A:D,[1]DG!$D$2,)</f>
        <v>bộ</v>
      </c>
      <c r="H1769" s="145"/>
      <c r="I1769" s="91">
        <f t="shared" si="74"/>
        <v>0</v>
      </c>
      <c r="J1769" s="146"/>
      <c r="K1769" s="146"/>
      <c r="L1769" s="96"/>
      <c r="M1769" s="56">
        <v>400</v>
      </c>
    </row>
    <row r="1770" spans="1:13" s="51" customFormat="1" ht="25.2" hidden="1" customHeight="1">
      <c r="A1770" s="68">
        <f t="shared" si="75"/>
        <v>0</v>
      </c>
      <c r="B1770" s="86" t="s">
        <v>83</v>
      </c>
      <c r="C1770" s="86"/>
      <c r="D1770" s="111"/>
      <c r="E1770" s="88" t="str">
        <f>VLOOKUP($B1770,[1]DG!A:D,[1]DG!$B$2,)</f>
        <v>07.2403</v>
      </c>
      <c r="F1770" s="89" t="str">
        <f>VLOOKUP($B1770,[1]DG!A:D,[1]DG!$C$2,)</f>
        <v xml:space="preserve">Ống PVC D21x1,6mm </v>
      </c>
      <c r="G1770" s="88" t="str">
        <f>VLOOKUP($B1770,[1]DG!A:D,[1]DG!$D$2,)</f>
        <v>m</v>
      </c>
      <c r="H1770" s="145">
        <f>H1765*12</f>
        <v>0</v>
      </c>
      <c r="I1770" s="91">
        <f t="shared" si="74"/>
        <v>0</v>
      </c>
      <c r="J1770" s="146"/>
      <c r="K1770" s="146"/>
      <c r="L1770" s="117"/>
      <c r="M1770" s="56">
        <v>400</v>
      </c>
    </row>
    <row r="1771" spans="1:13" s="51" customFormat="1" ht="25.2" hidden="1" customHeight="1">
      <c r="A1771" s="68">
        <f t="shared" si="75"/>
        <v>0</v>
      </c>
      <c r="B1771" s="69" t="s">
        <v>184</v>
      </c>
      <c r="C1771" s="69"/>
      <c r="D1771" s="111"/>
      <c r="E1771" s="88">
        <f>VLOOKUP($B1771,[1]DG!A:D,[1]DG!$B$2,)</f>
        <v>0</v>
      </c>
      <c r="F1771" s="89" t="str">
        <f>VLOOKUP($B1771,[1]DG!A:D,[1]DG!$C$2,)&amp; " bắt dây trung tính "</f>
        <v xml:space="preserve">Kẹp ép WR cỡ dây 50mm2 bắt dây trung tính </v>
      </c>
      <c r="G1771" s="88" t="str">
        <f>VLOOKUP($B1771,[1]DG!A:D,[1]DG!$D$2,)</f>
        <v>cái</v>
      </c>
      <c r="H1771" s="145">
        <f>2*H1765</f>
        <v>0</v>
      </c>
      <c r="I1771" s="91">
        <f t="shared" si="74"/>
        <v>0</v>
      </c>
      <c r="J1771" s="146"/>
      <c r="K1771" s="146"/>
      <c r="L1771" s="96"/>
      <c r="M1771" s="56">
        <v>400</v>
      </c>
    </row>
    <row r="1772" spans="1:13" s="51" customFormat="1" ht="25.2" hidden="1" customHeight="1">
      <c r="A1772" s="68">
        <f t="shared" si="75"/>
        <v>0</v>
      </c>
      <c r="B1772" s="69" t="s">
        <v>154</v>
      </c>
      <c r="C1772" s="69"/>
      <c r="D1772" s="331"/>
      <c r="E1772" s="88" t="str">
        <f>VLOOKUP($B1772,[1]DG!A:D,[1]DG!$B$2,)</f>
        <v>04.3107</v>
      </c>
      <c r="F1772" s="89" t="str">
        <f>VLOOKUP($B1772,[1]DG!A:D,[1]DG!$C$2,)&amp;":bắt lưới TĐ"</f>
        <v>Ốc siết cáp cỡ 25mm2:bắt lưới TĐ</v>
      </c>
      <c r="G1772" s="88" t="str">
        <f>VLOOKUP($B1772,[1]DG!A:D,[1]DG!$D$2,)</f>
        <v>cái</v>
      </c>
      <c r="H1772" s="340">
        <f>H1765*10</f>
        <v>0</v>
      </c>
      <c r="I1772" s="91">
        <f t="shared" si="74"/>
        <v>0</v>
      </c>
      <c r="J1772" s="146"/>
      <c r="K1772" s="146"/>
      <c r="L1772" s="96"/>
      <c r="M1772" s="56">
        <v>400</v>
      </c>
    </row>
    <row r="1773" spans="1:13" s="51" customFormat="1" ht="25.2" hidden="1" customHeight="1">
      <c r="A1773" s="68">
        <f t="shared" si="75"/>
        <v>0</v>
      </c>
      <c r="B1773" s="86" t="s">
        <v>131</v>
      </c>
      <c r="C1773" s="86"/>
      <c r="D1773" s="111"/>
      <c r="E1773" s="88">
        <f>VLOOKUP($B1773,[1]DG!A:D,[1]DG!$B$2,)</f>
        <v>0</v>
      </c>
      <c r="F1773" s="89" t="str">
        <f>VLOOKUP($B1773,[1]DG!A:D,[1]DG!$C$2,)</f>
        <v>Boulon 12x40+ 2 long đền vuông D14-50x50x3/Zn</v>
      </c>
      <c r="G1773" s="88" t="str">
        <f>VLOOKUP($B1773,[1]DG!A:D,[1]DG!$D$2,)</f>
        <v>bộ</v>
      </c>
      <c r="H1773" s="145">
        <f>H1765*1</f>
        <v>0</v>
      </c>
      <c r="I1773" s="91">
        <f t="shared" si="74"/>
        <v>0</v>
      </c>
      <c r="J1773" s="146"/>
      <c r="K1773" s="146"/>
      <c r="L1773" s="96"/>
      <c r="M1773" s="56">
        <v>400</v>
      </c>
    </row>
    <row r="1774" spans="1:13" s="51" customFormat="1" ht="25.2" hidden="1" customHeight="1">
      <c r="A1774" s="68">
        <f t="shared" si="75"/>
        <v>0</v>
      </c>
      <c r="B1774" s="86" t="s">
        <v>198</v>
      </c>
      <c r="C1774" s="86"/>
      <c r="D1774" s="111"/>
      <c r="E1774" s="88" t="str">
        <f>VLOOKUP($B1774,[1]DG!A:D,[1]DG!$B$2,)</f>
        <v>03.4001</v>
      </c>
      <c r="F1774" s="89" t="str">
        <f>VLOOKUP($B1774,[1]DG!A:D,[1]DG!$C$2,)</f>
        <v>Đầu cosse ép Cu 25mm2</v>
      </c>
      <c r="G1774" s="88" t="str">
        <f>VLOOKUP($B1774,[1]DG!A:D,[1]DG!$D$2,)</f>
        <v>cái</v>
      </c>
      <c r="H1774" s="145">
        <f>H1773*2</f>
        <v>0</v>
      </c>
      <c r="I1774" s="91">
        <f t="shared" si="74"/>
        <v>0</v>
      </c>
      <c r="J1774" s="146"/>
      <c r="K1774" s="146"/>
      <c r="L1774" s="96"/>
      <c r="M1774" s="56">
        <v>400</v>
      </c>
    </row>
    <row r="1775" spans="1:13" s="51" customFormat="1" ht="25.2" hidden="1" customHeight="1">
      <c r="A1775" s="68">
        <f t="shared" si="75"/>
        <v>0</v>
      </c>
      <c r="B1775" s="86" t="s">
        <v>86</v>
      </c>
      <c r="C1775" s="86"/>
      <c r="D1775" s="111"/>
      <c r="E1775" s="88" t="str">
        <f>VLOOKUP($B1775,[1]DG!A:D,[1]DG!$B$2,)</f>
        <v>06.3231</v>
      </c>
      <c r="F1775" s="89" t="str">
        <f>VLOOKUP($B1775,[1]DG!A:D,[1]DG!$C$2,)&amp;": CD-250"</f>
        <v>Cổ dê kẹp ống PVC  21: CD-250</v>
      </c>
      <c r="G1775" s="88" t="s">
        <v>375</v>
      </c>
      <c r="H1775" s="145">
        <f>1*H1765</f>
        <v>0</v>
      </c>
      <c r="I1775" s="91">
        <f t="shared" si="74"/>
        <v>0</v>
      </c>
      <c r="J1775" s="146"/>
      <c r="K1775" s="146"/>
      <c r="L1775" s="117"/>
      <c r="M1775" s="56">
        <v>400</v>
      </c>
    </row>
    <row r="1776" spans="1:13" s="51" customFormat="1" ht="25.2" hidden="1" customHeight="1">
      <c r="A1776" s="68">
        <f t="shared" si="75"/>
        <v>0</v>
      </c>
      <c r="B1776" s="86" t="s">
        <v>86</v>
      </c>
      <c r="C1776" s="86"/>
      <c r="D1776" s="111"/>
      <c r="E1776" s="88" t="str">
        <f>VLOOKUP($B1776,[1]DG!A:D,[1]DG!$B$2,)</f>
        <v>06.3231</v>
      </c>
      <c r="F1776" s="89" t="str">
        <f>VLOOKUP($B1776,[1]DG!A:D,[1]DG!$C$2,)&amp;": CD-280"</f>
        <v>Cổ dê kẹp ống PVC  21: CD-280</v>
      </c>
      <c r="G1776" s="88" t="s">
        <v>375</v>
      </c>
      <c r="H1776" s="145">
        <f>H1775</f>
        <v>0</v>
      </c>
      <c r="I1776" s="91">
        <f t="shared" si="74"/>
        <v>0</v>
      </c>
      <c r="J1776" s="146"/>
      <c r="K1776" s="146"/>
      <c r="L1776" s="117"/>
      <c r="M1776" s="56">
        <v>400</v>
      </c>
    </row>
    <row r="1777" spans="1:16" s="51" customFormat="1" ht="25.2" hidden="1" customHeight="1">
      <c r="A1777" s="68">
        <f t="shared" si="75"/>
        <v>0</v>
      </c>
      <c r="B1777" s="86" t="s">
        <v>86</v>
      </c>
      <c r="C1777" s="86"/>
      <c r="D1777" s="111"/>
      <c r="E1777" s="88" t="str">
        <f>VLOOKUP($B1777,[1]DG!A:D,[1]DG!$B$2,)</f>
        <v>06.3231</v>
      </c>
      <c r="F1777" s="89" t="str">
        <f>VLOOKUP($B1777,[1]DG!A:D,[1]DG!$C$2,)&amp;": CD-320"</f>
        <v>Cổ dê kẹp ống PVC  21: CD-320</v>
      </c>
      <c r="G1777" s="88" t="s">
        <v>375</v>
      </c>
      <c r="H1777" s="145">
        <f>H1776</f>
        <v>0</v>
      </c>
      <c r="I1777" s="91">
        <f t="shared" si="74"/>
        <v>0</v>
      </c>
      <c r="J1777" s="146"/>
      <c r="K1777" s="146"/>
      <c r="L1777" s="117"/>
      <c r="M1777" s="56">
        <v>400</v>
      </c>
    </row>
    <row r="1778" spans="1:16" s="51" customFormat="1" ht="25.2" hidden="1" customHeight="1">
      <c r="A1778" s="68">
        <f t="shared" si="75"/>
        <v>0</v>
      </c>
      <c r="B1778" s="86" t="s">
        <v>87</v>
      </c>
      <c r="C1778" s="86"/>
      <c r="D1778" s="111"/>
      <c r="E1778" s="88" t="str">
        <f>VLOOKUP($B1778,[1]DG!A:D,[1]DG!$B$2,)</f>
        <v>06.2110</v>
      </c>
      <c r="F1778" s="89" t="str">
        <f>VLOOKUP($B1778,[1]DG!A:D,[1]DG!$C$2,)</f>
        <v>Lắp cổ dề</v>
      </c>
      <c r="G1778" s="88" t="str">
        <f>VLOOKUP($B1778,[1]DG!A:D,[1]DG!$D$2,)</f>
        <v>bộ</v>
      </c>
      <c r="H1778" s="145">
        <f>H1765*3</f>
        <v>0</v>
      </c>
      <c r="I1778" s="91">
        <f t="shared" si="74"/>
        <v>0</v>
      </c>
      <c r="J1778" s="146"/>
      <c r="K1778" s="146"/>
      <c r="L1778" s="117"/>
      <c r="M1778" s="56">
        <v>400</v>
      </c>
    </row>
    <row r="1779" spans="1:16" s="51" customFormat="1" ht="25.2" hidden="1" customHeight="1">
      <c r="A1779" s="68">
        <f t="shared" si="75"/>
        <v>0</v>
      </c>
      <c r="B1779" s="86" t="s">
        <v>131</v>
      </c>
      <c r="C1779" s="86"/>
      <c r="D1779" s="111"/>
      <c r="E1779" s="88">
        <f>VLOOKUP($B1779,[1]DG!A:D,[1]DG!$B$2,)</f>
        <v>0</v>
      </c>
      <c r="F1779" s="89" t="str">
        <f>VLOOKUP($B1779,[1]DG!A:D,[1]DG!$C$2,)</f>
        <v>Boulon 12x40+ 2 long đền vuông D14-50x50x3/Zn</v>
      </c>
      <c r="G1779" s="88" t="str">
        <f>VLOOKUP($B1779,[1]DG!A:D,[1]DG!$D$2,)</f>
        <v>bộ</v>
      </c>
      <c r="H1779" s="145">
        <f>H1765*6</f>
        <v>0</v>
      </c>
      <c r="I1779" s="91">
        <f t="shared" si="74"/>
        <v>0</v>
      </c>
      <c r="J1779" s="146"/>
      <c r="K1779" s="146"/>
      <c r="L1779" s="117"/>
      <c r="M1779" s="56">
        <v>400</v>
      </c>
    </row>
    <row r="1780" spans="1:16" s="51" customFormat="1" ht="25.2" hidden="1" customHeight="1">
      <c r="A1780" s="68">
        <f t="shared" si="75"/>
        <v>0</v>
      </c>
      <c r="B1780" s="86" t="s">
        <v>290</v>
      </c>
      <c r="C1780" s="86"/>
      <c r="D1780" s="111"/>
      <c r="E1780" s="88">
        <f>VLOOKUP($B1780,[1]DG!A:D,[1]DG!$B$2,)</f>
        <v>0</v>
      </c>
      <c r="F1780" s="89" t="str">
        <f>VLOOKUP($B1780,[1]DG!A:D,[1]DG!$C$2,)</f>
        <v>Giếng tiếp địa khoan đất</v>
      </c>
      <c r="G1780" s="88" t="str">
        <f>VLOOKUP($B1780,[1]DG!A:D,[1]DG!$D$2,)</f>
        <v>Cái</v>
      </c>
      <c r="H1780" s="145">
        <f>I2*H1765</f>
        <v>0</v>
      </c>
      <c r="I1780" s="91">
        <f t="shared" si="74"/>
        <v>0</v>
      </c>
      <c r="J1780" s="146"/>
      <c r="K1780" s="146"/>
      <c r="L1780" s="96"/>
      <c r="M1780" s="56">
        <v>400</v>
      </c>
    </row>
    <row r="1781" spans="1:16" s="51" customFormat="1" ht="25.2" hidden="1" customHeight="1">
      <c r="A1781" s="68">
        <f t="shared" si="75"/>
        <v>0</v>
      </c>
      <c r="B1781" s="86" t="str">
        <f>"DTD"&amp;chitiet!G5</f>
        <v>DTD3</v>
      </c>
      <c r="C1781" s="86"/>
      <c r="D1781" s="87"/>
      <c r="E1781" s="88" t="str">
        <f>VLOOKUP($B1781,[1]DG!A:D,[1]DG!$B$2,)</f>
        <v>03.3123</v>
      </c>
      <c r="F1781" s="89" t="str">
        <f>VLOOKUP($B1781,[1]DG!A:D,[1]DG!$C$2,)</f>
        <v>Đào rãnh tiếp địa đất cấp 3</v>
      </c>
      <c r="G1781" s="88" t="str">
        <f>VLOOKUP($B1781,[1]DG!A:D,[1]DG!$D$2,)</f>
        <v>m3</v>
      </c>
      <c r="H1781" s="94">
        <f>I3*H1765</f>
        <v>0</v>
      </c>
      <c r="I1781" s="91">
        <f t="shared" si="74"/>
        <v>0</v>
      </c>
      <c r="J1781" s="146"/>
      <c r="K1781" s="146"/>
      <c r="L1781" s="96"/>
      <c r="M1781" s="56">
        <v>400</v>
      </c>
    </row>
    <row r="1782" spans="1:16" s="51" customFormat="1" ht="25.2" hidden="1" customHeight="1">
      <c r="A1782" s="68">
        <f t="shared" si="75"/>
        <v>0</v>
      </c>
      <c r="B1782" s="86" t="str">
        <f>"DATD"&amp;chitiet!G5</f>
        <v>DATD3</v>
      </c>
      <c r="C1782" s="86"/>
      <c r="D1782" s="87"/>
      <c r="E1782" s="88" t="str">
        <f>VLOOKUP($B1782,[1]DG!A:D,[1]DG!$B$2,)</f>
        <v>03.4123</v>
      </c>
      <c r="F1782" s="89" t="str">
        <f>VLOOKUP($B1782,[1]DG!A:D,[1]DG!$C$2,)</f>
        <v>Đắp đất rãnh tiếp độ chặt k=0,85</v>
      </c>
      <c r="G1782" s="88" t="str">
        <f>VLOOKUP($B1782,[1]DG!A:D,[1]DG!$D$2,)</f>
        <v>m3</v>
      </c>
      <c r="H1782" s="94">
        <f>H1781</f>
        <v>0</v>
      </c>
      <c r="I1782" s="91">
        <f t="shared" si="74"/>
        <v>0</v>
      </c>
      <c r="J1782" s="146"/>
      <c r="K1782" s="146"/>
      <c r="L1782" s="96"/>
      <c r="M1782" s="56">
        <v>400</v>
      </c>
    </row>
    <row r="1783" spans="1:16" s="51" customFormat="1" ht="25.2" hidden="1" customHeight="1">
      <c r="A1783" s="68">
        <f t="shared" si="75"/>
        <v>0</v>
      </c>
      <c r="B1783" s="86" t="s">
        <v>89</v>
      </c>
      <c r="C1783" s="86"/>
      <c r="D1783" s="87"/>
      <c r="E1783" s="88" t="str">
        <f>VLOOKUP($B1783,[1]DG!A:D,[1]DG!$B$2,)</f>
        <v>04.7001</v>
      </c>
      <c r="F1783" s="89" t="str">
        <f>VLOOKUP($B1783,[1]DG!A:D,[1]DG!$C$2,)</f>
        <v>Đóng cọc tiếp địa trong TBA</v>
      </c>
      <c r="G1783" s="88" t="str">
        <f>VLOOKUP($B1783,[1]DG!A:D,[1]DG!$D$2,)</f>
        <v>cọc</v>
      </c>
      <c r="H1783" s="94"/>
      <c r="I1783" s="91">
        <f t="shared" si="74"/>
        <v>0</v>
      </c>
      <c r="J1783" s="146"/>
      <c r="K1783" s="146"/>
      <c r="L1783" s="96"/>
      <c r="M1783" s="56">
        <v>400</v>
      </c>
    </row>
    <row r="1784" spans="1:16" s="51" customFormat="1" ht="25.2" hidden="1" customHeight="1">
      <c r="A1784" s="68">
        <f t="shared" si="75"/>
        <v>0</v>
      </c>
      <c r="B1784" s="86" t="s">
        <v>387</v>
      </c>
      <c r="C1784" s="86"/>
      <c r="D1784" s="111"/>
      <c r="E1784" s="88" t="str">
        <f>VLOOKUP($B1784,[1]DG!A:D,[1]DG!$B$2,)</f>
        <v>04.7002</v>
      </c>
      <c r="F1784" s="89" t="str">
        <f>VLOOKUP($B1784,[1]DG!A:D,[1]DG!$C$2,)</f>
        <v>Kéo dây tiếp địa trong TBA</v>
      </c>
      <c r="G1784" s="88" t="str">
        <f>VLOOKUP($B1784,[1]DG!A:D,[1]DG!$D$2,)</f>
        <v>mét</v>
      </c>
      <c r="H1784" s="145">
        <f>H1765*36</f>
        <v>0</v>
      </c>
      <c r="I1784" s="91">
        <f t="shared" si="74"/>
        <v>0</v>
      </c>
      <c r="J1784" s="146"/>
      <c r="K1784" s="146"/>
      <c r="L1784" s="96"/>
      <c r="M1784" s="56">
        <v>400</v>
      </c>
    </row>
    <row r="1785" spans="1:16" s="51" customFormat="1" ht="25.2" hidden="1" customHeight="1">
      <c r="A1785" s="68">
        <f t="shared" si="75"/>
        <v>0</v>
      </c>
      <c r="B1785" s="69"/>
      <c r="C1785" s="69"/>
      <c r="D1785" s="220">
        <f>IF(H1785&gt;0,D1765+1,D1765)</f>
        <v>0</v>
      </c>
      <c r="E1785" s="238"/>
      <c r="F1785" s="239" t="s">
        <v>388</v>
      </c>
      <c r="G1785" s="220" t="s">
        <v>67</v>
      </c>
      <c r="H1785" s="240">
        <f>H1692</f>
        <v>0</v>
      </c>
      <c r="I1785" s="91">
        <f t="shared" si="74"/>
        <v>0</v>
      </c>
      <c r="J1785" s="146"/>
      <c r="K1785" s="146"/>
      <c r="L1785" s="117"/>
      <c r="M1785" s="56">
        <v>400</v>
      </c>
    </row>
    <row r="1786" spans="1:16" s="51" customFormat="1" ht="25.2" hidden="1" customHeight="1">
      <c r="A1786" s="68">
        <f>IF(A1785&gt;0,1,0)</f>
        <v>0</v>
      </c>
      <c r="B1786" s="69"/>
      <c r="C1786" s="69"/>
      <c r="D1786" s="111"/>
      <c r="E1786" s="242"/>
      <c r="F1786" s="243" t="s">
        <v>68</v>
      </c>
      <c r="G1786" s="87"/>
      <c r="H1786" s="145"/>
      <c r="I1786" s="91">
        <f t="shared" ref="I1786:I1849" si="76">IF(M1786=$M$23,H1786+J1786-K1786,0)</f>
        <v>0</v>
      </c>
      <c r="J1786" s="146"/>
      <c r="K1786" s="146"/>
      <c r="L1786" s="117"/>
      <c r="M1786" s="56">
        <v>400</v>
      </c>
    </row>
    <row r="1787" spans="1:16" s="51" customFormat="1" ht="25.2" hidden="1" customHeight="1">
      <c r="A1787" s="68">
        <f t="shared" si="75"/>
        <v>0</v>
      </c>
      <c r="B1787" s="69" t="s">
        <v>293</v>
      </c>
      <c r="C1787" s="69"/>
      <c r="D1787" s="87"/>
      <c r="E1787" s="88">
        <f>VLOOKUP($B1787,[1]DG!A:D,[1]DG!$B$2,)</f>
        <v>0</v>
      </c>
      <c r="F1787" s="89" t="str">
        <f>VLOOKUP($B1787,[1]DG!A:D,[1]DG!$C$2,)</f>
        <v>Ximăng (PC40)</v>
      </c>
      <c r="G1787" s="88" t="str">
        <f>VLOOKUP($B1787,[1]DG!A:D,[1]DG!$D$2,)</f>
        <v>kg</v>
      </c>
      <c r="H1787" s="145">
        <f>H1785*M1790</f>
        <v>0</v>
      </c>
      <c r="I1787" s="91">
        <f t="shared" si="76"/>
        <v>0</v>
      </c>
      <c r="J1787" s="146"/>
      <c r="K1787" s="146"/>
      <c r="L1787" s="117"/>
      <c r="M1787" s="56">
        <v>400</v>
      </c>
    </row>
    <row r="1788" spans="1:16" s="51" customFormat="1" ht="25.2" hidden="1" customHeight="1">
      <c r="A1788" s="68">
        <f t="shared" si="75"/>
        <v>0</v>
      </c>
      <c r="B1788" s="69" t="s">
        <v>469</v>
      </c>
      <c r="C1788" s="69"/>
      <c r="D1788" s="111"/>
      <c r="E1788" s="88">
        <f>VLOOKUP($B1788,[1]DG!A:D,[1]DG!$B$2,)</f>
        <v>0</v>
      </c>
      <c r="F1788" s="89" t="str">
        <f>VLOOKUP($B1788,[1]DG!A:D,[1]DG!$C$2,)</f>
        <v>Cát vàng</v>
      </c>
      <c r="G1788" s="88" t="str">
        <f>VLOOKUP($B1788,[1]DG!A:D,[1]DG!$D$2,)</f>
        <v>m3</v>
      </c>
      <c r="H1788" s="145">
        <f>H1785*N1790</f>
        <v>0</v>
      </c>
      <c r="I1788" s="91">
        <f t="shared" si="76"/>
        <v>0</v>
      </c>
      <c r="J1788" s="146"/>
      <c r="K1788" s="146"/>
      <c r="L1788" s="117"/>
      <c r="M1788" s="56">
        <v>400</v>
      </c>
    </row>
    <row r="1789" spans="1:16" s="51" customFormat="1" ht="25.2" hidden="1" customHeight="1">
      <c r="A1789" s="68">
        <f t="shared" si="75"/>
        <v>0</v>
      </c>
      <c r="B1789" s="69" t="s">
        <v>295</v>
      </c>
      <c r="C1789" s="69"/>
      <c r="D1789" s="111"/>
      <c r="E1789" s="88">
        <f>VLOOKUP($B1789,[1]DG!A:D,[1]DG!$B$2,)</f>
        <v>0</v>
      </c>
      <c r="F1789" s="89" t="str">
        <f>VLOOKUP($B1789,[1]DG!A:D,[1]DG!$C$2,)</f>
        <v>Đá 1x2</v>
      </c>
      <c r="G1789" s="88" t="str">
        <f>VLOOKUP($B1789,[1]DG!A:D,[1]DG!$D$2,)</f>
        <v>m3</v>
      </c>
      <c r="H1789" s="145">
        <f>H1785*O1790</f>
        <v>0</v>
      </c>
      <c r="I1789" s="91">
        <f t="shared" si="76"/>
        <v>0</v>
      </c>
      <c r="J1789" s="146"/>
      <c r="K1789" s="146"/>
      <c r="L1789" s="117"/>
      <c r="M1789" s="56">
        <v>400</v>
      </c>
    </row>
    <row r="1790" spans="1:16" s="51" customFormat="1" ht="25.2" hidden="1" customHeight="1">
      <c r="A1790" s="68">
        <f t="shared" si="75"/>
        <v>0</v>
      </c>
      <c r="B1790" s="69" t="s">
        <v>296</v>
      </c>
      <c r="C1790" s="69"/>
      <c r="D1790" s="87"/>
      <c r="E1790" s="88" t="str">
        <f>VLOOKUP($B1790,[1]DG!A:D,[1]DG!$B$2,)</f>
        <v>04.1203c</v>
      </c>
      <c r="F1790" s="89" t="str">
        <f>VLOOKUP($B1790,[1]DG!A:D,[1]DG!$C$2,)</f>
        <v>Đổ bê tông móng trụ &lt;=250cm-M200 đá 1x2</v>
      </c>
      <c r="G1790" s="88" t="str">
        <f>VLOOKUP($B1790,[1]DG!A:D,[1]DG!$D$2,)</f>
        <v>m3</v>
      </c>
      <c r="H1790" s="145">
        <f>H1785*(0.4*3*1-2*3.14*0.15^2*0.4)*1.025</f>
        <v>0</v>
      </c>
      <c r="I1790" s="91">
        <f t="shared" si="76"/>
        <v>0</v>
      </c>
      <c r="J1790" s="146"/>
      <c r="K1790" s="146"/>
      <c r="L1790" s="117"/>
      <c r="M1790" s="56">
        <v>400</v>
      </c>
      <c r="N1790" s="245">
        <f>1.025*0.45</f>
        <v>0.46124999999999999</v>
      </c>
      <c r="O1790" s="245">
        <f>1.025*0.866</f>
        <v>0.88764999999999994</v>
      </c>
      <c r="P1790" s="246"/>
    </row>
    <row r="1791" spans="1:16" s="51" customFormat="1" ht="25.2" hidden="1" customHeight="1">
      <c r="A1791" s="68">
        <f t="shared" si="75"/>
        <v>0</v>
      </c>
      <c r="B1791" s="69"/>
      <c r="C1791" s="69"/>
      <c r="D1791" s="220">
        <f>IF(H1791&gt;0,D1785+1,D1785)</f>
        <v>0</v>
      </c>
      <c r="E1791" s="238"/>
      <c r="F1791" s="239" t="s">
        <v>390</v>
      </c>
      <c r="G1791" s="220" t="s">
        <v>67</v>
      </c>
      <c r="H1791" s="240"/>
      <c r="I1791" s="91">
        <f t="shared" si="76"/>
        <v>0</v>
      </c>
      <c r="J1791" s="146"/>
      <c r="K1791" s="146"/>
      <c r="L1791" s="117"/>
      <c r="M1791" s="56">
        <v>400</v>
      </c>
    </row>
    <row r="1792" spans="1:16" s="51" customFormat="1" ht="25.2" hidden="1" customHeight="1">
      <c r="A1792" s="68">
        <f>IF(A1791&gt;0,1,0)</f>
        <v>0</v>
      </c>
      <c r="B1792" s="69"/>
      <c r="C1792" s="69"/>
      <c r="D1792" s="111"/>
      <c r="E1792" s="242"/>
      <c r="F1792" s="243" t="s">
        <v>68</v>
      </c>
      <c r="G1792" s="87"/>
      <c r="H1792" s="145"/>
      <c r="I1792" s="91">
        <f t="shared" si="76"/>
        <v>0</v>
      </c>
      <c r="J1792" s="146"/>
      <c r="K1792" s="146"/>
      <c r="L1792" s="117"/>
      <c r="M1792" s="56">
        <v>400</v>
      </c>
    </row>
    <row r="1793" spans="1:16" s="51" customFormat="1" ht="25.2" hidden="1" customHeight="1">
      <c r="A1793" s="68">
        <f t="shared" si="75"/>
        <v>0</v>
      </c>
      <c r="B1793" s="69" t="s">
        <v>293</v>
      </c>
      <c r="C1793" s="69"/>
      <c r="D1793" s="87"/>
      <c r="E1793" s="88">
        <f>VLOOKUP($B1793,[1]DG!A:D,[1]DG!$B$2,)</f>
        <v>0</v>
      </c>
      <c r="F1793" s="89" t="str">
        <f>VLOOKUP($B1793,[1]DG!A:D,[1]DG!$C$2,)</f>
        <v>Ximăng (PC40)</v>
      </c>
      <c r="G1793" s="88" t="str">
        <f>VLOOKUP($B1793,[1]DG!A:D,[1]DG!$D$2,)</f>
        <v>kg</v>
      </c>
      <c r="H1793" s="145">
        <f>H1796*M1796</f>
        <v>0</v>
      </c>
      <c r="I1793" s="91">
        <f t="shared" si="76"/>
        <v>0</v>
      </c>
      <c r="J1793" s="146"/>
      <c r="K1793" s="146"/>
      <c r="L1793" s="117"/>
      <c r="M1793" s="56">
        <v>400</v>
      </c>
    </row>
    <row r="1794" spans="1:16" s="51" customFormat="1" ht="25.2" hidden="1" customHeight="1">
      <c r="A1794" s="68">
        <f t="shared" si="75"/>
        <v>0</v>
      </c>
      <c r="B1794" s="69" t="s">
        <v>469</v>
      </c>
      <c r="C1794" s="69"/>
      <c r="D1794" s="111"/>
      <c r="E1794" s="88">
        <f>VLOOKUP($B1794,[1]DG!A:D,[1]DG!$B$2,)</f>
        <v>0</v>
      </c>
      <c r="F1794" s="89" t="str">
        <f>VLOOKUP($B1794,[1]DG!A:D,[1]DG!$C$2,)</f>
        <v>Cát vàng</v>
      </c>
      <c r="G1794" s="88" t="str">
        <f>VLOOKUP($B1794,[1]DG!A:D,[1]DG!$D$2,)</f>
        <v>m3</v>
      </c>
      <c r="H1794" s="244">
        <f>H1796*N1796</f>
        <v>0</v>
      </c>
      <c r="I1794" s="91">
        <f t="shared" si="76"/>
        <v>0</v>
      </c>
      <c r="J1794" s="146"/>
      <c r="K1794" s="146"/>
      <c r="L1794" s="117"/>
      <c r="M1794" s="56">
        <v>400</v>
      </c>
    </row>
    <row r="1795" spans="1:16" s="51" customFormat="1" ht="25.2" hidden="1" customHeight="1">
      <c r="A1795" s="68">
        <f t="shared" si="75"/>
        <v>0</v>
      </c>
      <c r="B1795" s="69" t="s">
        <v>295</v>
      </c>
      <c r="C1795" s="69"/>
      <c r="D1795" s="111"/>
      <c r="E1795" s="88">
        <f>VLOOKUP($B1795,[1]DG!A:D,[1]DG!$B$2,)</f>
        <v>0</v>
      </c>
      <c r="F1795" s="89" t="str">
        <f>VLOOKUP($B1795,[1]DG!A:D,[1]DG!$C$2,)</f>
        <v>Đá 1x2</v>
      </c>
      <c r="G1795" s="88" t="str">
        <f>VLOOKUP($B1795,[1]DG!A:D,[1]DG!$D$2,)</f>
        <v>m3</v>
      </c>
      <c r="H1795" s="244">
        <f>H1796*O1796</f>
        <v>0</v>
      </c>
      <c r="I1795" s="91">
        <f t="shared" si="76"/>
        <v>0</v>
      </c>
      <c r="J1795" s="146"/>
      <c r="K1795" s="146"/>
      <c r="L1795" s="117"/>
      <c r="M1795" s="56">
        <v>400</v>
      </c>
    </row>
    <row r="1796" spans="1:16" s="51" customFormat="1" ht="25.2" hidden="1" customHeight="1">
      <c r="A1796" s="68">
        <f t="shared" si="75"/>
        <v>0</v>
      </c>
      <c r="B1796" s="69" t="s">
        <v>296</v>
      </c>
      <c r="C1796" s="69"/>
      <c r="D1796" s="87"/>
      <c r="E1796" s="88" t="str">
        <f>VLOOKUP($B1796,[1]DG!A:D,[1]DG!$B$2,)</f>
        <v>04.1203c</v>
      </c>
      <c r="F1796" s="89" t="str">
        <f>VLOOKUP($B1796,[1]DG!A:D,[1]DG!$C$2,)</f>
        <v>Đổ bê tông móng trụ &lt;=250cm-M200 đá 1x2</v>
      </c>
      <c r="G1796" s="88" t="str">
        <f>VLOOKUP($B1796,[1]DG!A:D,[1]DG!$D$2,)</f>
        <v>m3</v>
      </c>
      <c r="H1796" s="145">
        <f>H1791*0.2*0.2*(0.2+0.2+0.8+0.8+2*4)</f>
        <v>0</v>
      </c>
      <c r="I1796" s="91">
        <f t="shared" si="76"/>
        <v>0</v>
      </c>
      <c r="J1796" s="146"/>
      <c r="K1796" s="146"/>
      <c r="L1796" s="117"/>
      <c r="M1796" s="56">
        <v>400</v>
      </c>
      <c r="N1796" s="245">
        <f>1.025*0.45</f>
        <v>0.46124999999999999</v>
      </c>
      <c r="O1796" s="245">
        <f>1.025*0.866</f>
        <v>0.88764999999999994</v>
      </c>
      <c r="P1796" s="246"/>
    </row>
    <row r="1797" spans="1:16" s="51" customFormat="1" ht="25.2" hidden="1" customHeight="1">
      <c r="A1797" s="68">
        <f t="shared" si="75"/>
        <v>0</v>
      </c>
      <c r="B1797" s="69"/>
      <c r="C1797" s="69"/>
      <c r="D1797" s="220">
        <f>IF(H1797&gt;0,D1791+1,D1791)</f>
        <v>0</v>
      </c>
      <c r="E1797" s="238"/>
      <c r="F1797" s="239" t="s">
        <v>391</v>
      </c>
      <c r="G1797" s="220" t="s">
        <v>67</v>
      </c>
      <c r="H1797" s="240">
        <f>H1687</f>
        <v>0</v>
      </c>
      <c r="I1797" s="91">
        <f t="shared" si="76"/>
        <v>0</v>
      </c>
      <c r="J1797" s="146"/>
      <c r="K1797" s="146"/>
      <c r="L1797" s="96"/>
      <c r="M1797" s="56">
        <v>400</v>
      </c>
    </row>
    <row r="1798" spans="1:16" s="51" customFormat="1" ht="25.2" hidden="1" customHeight="1">
      <c r="A1798" s="68">
        <f>IF(A1797&gt;0,1,0)</f>
        <v>0</v>
      </c>
      <c r="B1798" s="69"/>
      <c r="C1798" s="69"/>
      <c r="D1798" s="111"/>
      <c r="E1798" s="242"/>
      <c r="F1798" s="243" t="s">
        <v>68</v>
      </c>
      <c r="G1798" s="87"/>
      <c r="H1798" s="145"/>
      <c r="I1798" s="91">
        <f t="shared" si="76"/>
        <v>0</v>
      </c>
      <c r="J1798" s="146"/>
      <c r="K1798" s="146"/>
      <c r="L1798" s="96"/>
      <c r="M1798" s="56">
        <v>400</v>
      </c>
    </row>
    <row r="1799" spans="1:16" s="51" customFormat="1" ht="25.2" hidden="1" customHeight="1">
      <c r="A1799" s="68">
        <f t="shared" si="75"/>
        <v>0</v>
      </c>
      <c r="B1799" s="334" t="s">
        <v>247</v>
      </c>
      <c r="C1799" s="334"/>
      <c r="D1799" s="87"/>
      <c r="E1799" s="88" t="str">
        <f>VLOOKUP($B1799,[1]DG!A:D,[1]DG!$B$2,)</f>
        <v>05.1102</v>
      </c>
      <c r="F1799" s="89" t="str">
        <f>VLOOKUP($B1799,[1]DG!A:D,[1]DG!$C$2,)</f>
        <v>Vỏ tủ + khóa tủ</v>
      </c>
      <c r="G1799" s="88" t="str">
        <f>VLOOKUP($B1799,[1]DG!A:D,[1]DG!$D$2,)</f>
        <v>cái</v>
      </c>
      <c r="H1799" s="145">
        <f>H1797</f>
        <v>0</v>
      </c>
      <c r="I1799" s="91">
        <f t="shared" si="76"/>
        <v>0</v>
      </c>
      <c r="J1799" s="146"/>
      <c r="K1799" s="146"/>
      <c r="L1799" s="96"/>
      <c r="M1799" s="56">
        <v>400</v>
      </c>
    </row>
    <row r="1800" spans="1:16" s="51" customFormat="1" ht="25.2" hidden="1" customHeight="1">
      <c r="A1800" s="68">
        <f t="shared" si="75"/>
        <v>0</v>
      </c>
      <c r="B1800" s="69" t="s">
        <v>96</v>
      </c>
      <c r="C1800" s="69"/>
      <c r="D1800" s="111"/>
      <c r="E1800" s="88">
        <f>VLOOKUP($B1800,[1]DG!A:D,[1]DG!$B$2,)</f>
        <v>0</v>
      </c>
      <c r="F1800" s="89" t="str">
        <f>VLOOKUP($B1800,[1]DG!A:D,[1]DG!$C$2,)</f>
        <v xml:space="preserve">Bakelit 550x450 dầy 10mm </v>
      </c>
      <c r="G1800" s="88" t="str">
        <f>VLOOKUP($B1800,[1]DG!A:D,[1]DG!$D$2,)</f>
        <v>cái</v>
      </c>
      <c r="H1800" s="244"/>
      <c r="I1800" s="91">
        <f t="shared" si="76"/>
        <v>0</v>
      </c>
      <c r="J1800" s="146"/>
      <c r="K1800" s="146"/>
      <c r="L1800" s="96"/>
      <c r="M1800" s="56">
        <v>400</v>
      </c>
    </row>
    <row r="1801" spans="1:16" s="51" customFormat="1" ht="25.2" hidden="1" customHeight="1">
      <c r="A1801" s="68">
        <f t="shared" si="75"/>
        <v>0</v>
      </c>
      <c r="B1801" s="69" t="s">
        <v>117</v>
      </c>
      <c r="C1801" s="69"/>
      <c r="D1801" s="87"/>
      <c r="E1801" s="88" t="str">
        <f>VLOOKUP($B1801,[1]DG!A:D,[1]DG!$B$2,)</f>
        <v>06.3191</v>
      </c>
      <c r="F1801" s="89" t="str">
        <f>VLOOKUP($B1801,[1]DG!A:D,[1]DG!$C$2,)</f>
        <v>Bảng tên trạm, bảng báo nguy hiểm + đinh vít</v>
      </c>
      <c r="G1801" s="88" t="str">
        <f>VLOOKUP($B1801,[1]DG!A:D,[1]DG!$D$2,)</f>
        <v>bộ</v>
      </c>
      <c r="H1801" s="145">
        <f>H1797</f>
        <v>0</v>
      </c>
      <c r="I1801" s="91">
        <f t="shared" si="76"/>
        <v>0</v>
      </c>
      <c r="J1801" s="146"/>
      <c r="K1801" s="146"/>
      <c r="L1801" s="96"/>
      <c r="M1801" s="56">
        <v>400</v>
      </c>
    </row>
    <row r="1802" spans="1:16" s="51" customFormat="1" ht="25.2" hidden="1" customHeight="1">
      <c r="A1802" s="68">
        <f t="shared" si="75"/>
        <v>0</v>
      </c>
      <c r="B1802" s="69"/>
      <c r="C1802" s="69"/>
      <c r="D1802" s="220">
        <f>IF(H1802&gt;0,D1797+1,D1797)</f>
        <v>0</v>
      </c>
      <c r="E1802" s="238"/>
      <c r="F1802" s="239" t="s">
        <v>395</v>
      </c>
      <c r="G1802" s="220" t="s">
        <v>396</v>
      </c>
      <c r="H1802" s="240">
        <f>H1687*0</f>
        <v>0</v>
      </c>
      <c r="I1802" s="91">
        <f t="shared" si="76"/>
        <v>0</v>
      </c>
      <c r="J1802" s="146"/>
      <c r="K1802" s="146"/>
      <c r="L1802" s="117"/>
      <c r="M1802" s="56">
        <v>400</v>
      </c>
    </row>
    <row r="1803" spans="1:16" s="51" customFormat="1" ht="25.2" hidden="1" customHeight="1">
      <c r="A1803" s="68">
        <f>IF(A1802&gt;0,1,0)</f>
        <v>0</v>
      </c>
      <c r="B1803" s="69"/>
      <c r="C1803" s="69"/>
      <c r="D1803" s="111"/>
      <c r="E1803" s="242"/>
      <c r="F1803" s="243" t="s">
        <v>68</v>
      </c>
      <c r="G1803" s="87"/>
      <c r="H1803" s="145"/>
      <c r="I1803" s="91">
        <f t="shared" si="76"/>
        <v>0</v>
      </c>
      <c r="J1803" s="146"/>
      <c r="K1803" s="146"/>
      <c r="L1803" s="117"/>
      <c r="M1803" s="56">
        <v>400</v>
      </c>
    </row>
    <row r="1804" spans="1:16" s="51" customFormat="1" ht="25.2" hidden="1" customHeight="1">
      <c r="A1804" s="68">
        <f t="shared" si="75"/>
        <v>0</v>
      </c>
      <c r="B1804" s="69" t="s">
        <v>469</v>
      </c>
      <c r="C1804" s="69"/>
      <c r="D1804" s="87"/>
      <c r="E1804" s="88">
        <f>VLOOKUP($B1804,[1]DG!A:D,[1]DG!$B$2,)</f>
        <v>0</v>
      </c>
      <c r="F1804" s="92" t="str">
        <f>VLOOKUP($B1804,[1]DG!A:D,[1]DG!$C$2,)&amp;": 0,315m3/m"</f>
        <v>Cát vàng: 0,315m3/m</v>
      </c>
      <c r="G1804" s="88" t="str">
        <f>VLOOKUP($B1804,[1]DG!A:D,[1]DG!$D$2,)</f>
        <v>m3</v>
      </c>
      <c r="H1804" s="145">
        <f>H1802*0.315</f>
        <v>0</v>
      </c>
      <c r="I1804" s="91">
        <f t="shared" si="76"/>
        <v>0</v>
      </c>
      <c r="J1804" s="146"/>
      <c r="K1804" s="146"/>
      <c r="L1804" s="117"/>
      <c r="M1804" s="56">
        <v>400</v>
      </c>
    </row>
    <row r="1805" spans="1:16" s="51" customFormat="1" ht="25.2" hidden="1" customHeight="1">
      <c r="A1805" s="68">
        <f t="shared" si="75"/>
        <v>0</v>
      </c>
      <c r="B1805" s="98" t="s">
        <v>397</v>
      </c>
      <c r="C1805" s="98"/>
      <c r="D1805" s="87"/>
      <c r="E1805" s="88">
        <f>VLOOKUP($B1805,[1]DG!A:D,[1]DG!$B$2,)</f>
        <v>0</v>
      </c>
      <c r="F1805" s="92" t="str">
        <f>VLOOKUP($B1805,[1]DG!A:D,[1]DG!$C$2,)&amp;": 0,092m3/m"</f>
        <v>Đá 2x4: 0,092m3/m</v>
      </c>
      <c r="G1805" s="88" t="str">
        <f>VLOOKUP($B1805,[1]DG!A:D,[1]DG!$D$2,)</f>
        <v>m3</v>
      </c>
      <c r="H1805" s="145">
        <f>0.092*H1802</f>
        <v>0</v>
      </c>
      <c r="I1805" s="91">
        <f t="shared" si="76"/>
        <v>0</v>
      </c>
      <c r="J1805" s="146"/>
      <c r="K1805" s="146"/>
      <c r="L1805" s="117"/>
      <c r="M1805" s="56">
        <v>400</v>
      </c>
    </row>
    <row r="1806" spans="1:16" s="51" customFormat="1" ht="25.2" hidden="1" customHeight="1">
      <c r="A1806" s="68">
        <f t="shared" si="75"/>
        <v>0</v>
      </c>
      <c r="B1806" s="98" t="s">
        <v>398</v>
      </c>
      <c r="C1806" s="98"/>
      <c r="D1806" s="87"/>
      <c r="E1806" s="88">
        <f>VLOOKUP($B1806,[1]DG!A:D,[1]DG!$B$2,)</f>
        <v>0</v>
      </c>
      <c r="F1806" s="92" t="str">
        <f>VLOOKUP($B1806,[1]DG!A:D,[1]DG!$C$2,)&amp;": 3,3vieân/m"</f>
        <v>Gạch tàu: 3,3vieân/m</v>
      </c>
      <c r="G1806" s="88" t="str">
        <f>VLOOKUP($B1806,[1]DG!A:D,[1]DG!$D$2,)</f>
        <v>viên</v>
      </c>
      <c r="H1806" s="145">
        <f>3.3*H1802</f>
        <v>0</v>
      </c>
      <c r="I1806" s="91">
        <f t="shared" si="76"/>
        <v>0</v>
      </c>
      <c r="J1806" s="146"/>
      <c r="K1806" s="146"/>
      <c r="L1806" s="117"/>
      <c r="M1806" s="56">
        <v>400</v>
      </c>
    </row>
    <row r="1807" spans="1:16" s="51" customFormat="1" ht="25.2" hidden="1" customHeight="1">
      <c r="A1807" s="68">
        <f t="shared" si="75"/>
        <v>0</v>
      </c>
      <c r="B1807" s="98" t="s">
        <v>399</v>
      </c>
      <c r="C1807" s="98"/>
      <c r="D1807" s="87"/>
      <c r="E1807" s="88">
        <f>VLOOKUP($B1807,[1]DG!A:D,[1]DG!$B$2,)</f>
        <v>0</v>
      </c>
      <c r="F1807" s="92" t="str">
        <f>VLOOKUP($B1807,[1]DG!A:D,[1]DG!$C$2,)&amp;": 0,4m2/m"</f>
        <v>Tấm nilông màu cảnh báo: 0,4m2/m</v>
      </c>
      <c r="G1807" s="88" t="str">
        <f>VLOOKUP($B1807,[1]DG!A:D,[1]DG!$D$2,)</f>
        <v>m2</v>
      </c>
      <c r="H1807" s="145">
        <f>0.4*H1802</f>
        <v>0</v>
      </c>
      <c r="I1807" s="91">
        <f t="shared" si="76"/>
        <v>0</v>
      </c>
      <c r="J1807" s="146"/>
      <c r="K1807" s="146"/>
      <c r="L1807" s="117"/>
      <c r="M1807" s="56">
        <v>400</v>
      </c>
    </row>
    <row r="1808" spans="1:16" s="51" customFormat="1" ht="25.2" hidden="1" customHeight="1">
      <c r="A1808" s="68">
        <f t="shared" si="75"/>
        <v>0</v>
      </c>
      <c r="B1808" s="98" t="s">
        <v>400</v>
      </c>
      <c r="C1808" s="98"/>
      <c r="D1808" s="111"/>
      <c r="E1808" s="88">
        <f>VLOOKUP($B1808,[1]DG!A:D,[1]DG!$B$2,)</f>
        <v>0</v>
      </c>
      <c r="F1808" s="92" t="str">
        <f>VLOOKUP($B1808,[1]DG!A:D,[1]DG!$C$2,)</f>
        <v>Ống PVC D140x6,7mm</v>
      </c>
      <c r="G1808" s="88" t="str">
        <f>VLOOKUP($B1808,[1]DG!A:D,[1]DG!$D$2,)</f>
        <v>m</v>
      </c>
      <c r="H1808" s="145">
        <f>1*H1802</f>
        <v>0</v>
      </c>
      <c r="I1808" s="91">
        <f t="shared" si="76"/>
        <v>0</v>
      </c>
      <c r="J1808" s="146"/>
      <c r="K1808" s="146"/>
      <c r="L1808" s="117"/>
      <c r="M1808" s="56">
        <v>400</v>
      </c>
    </row>
    <row r="1809" spans="1:14" s="51" customFormat="1" ht="25.2" hidden="1" customHeight="1">
      <c r="A1809" s="68">
        <f t="shared" si="75"/>
        <v>0</v>
      </c>
      <c r="B1809" s="98" t="s">
        <v>401</v>
      </c>
      <c r="C1809" s="98"/>
      <c r="D1809" s="87"/>
      <c r="E1809" s="88" t="str">
        <f>VLOOKUP($B1809,[1]DG!A:D,[1]DG!$B$2,)</f>
        <v>03.7000</v>
      </c>
      <c r="F1809" s="92" t="str">
        <f>VLOOKUP($B1809,[1]DG!A:D,[1]DG!$C$2,)&amp;" + ñaép ñaù"</f>
        <v>Đắp cát  + ñaép ñaù</v>
      </c>
      <c r="G1809" s="88" t="str">
        <f>VLOOKUP($B1809,[1]DG!A:D,[1]DG!$D$2,)</f>
        <v>m3</v>
      </c>
      <c r="H1809" s="145">
        <f>H1804+H1805</f>
        <v>0</v>
      </c>
      <c r="I1809" s="91">
        <f t="shared" si="76"/>
        <v>0</v>
      </c>
      <c r="J1809" s="146"/>
      <c r="K1809" s="146"/>
      <c r="L1809" s="117"/>
      <c r="M1809" s="56">
        <v>400</v>
      </c>
    </row>
    <row r="1810" spans="1:14" s="51" customFormat="1" ht="25.2" hidden="1" customHeight="1">
      <c r="A1810" s="68">
        <f t="shared" si="75"/>
        <v>0</v>
      </c>
      <c r="B1810" s="98" t="s">
        <v>402</v>
      </c>
      <c r="C1810" s="98"/>
      <c r="D1810" s="87"/>
      <c r="E1810" s="88" t="str">
        <f>VLOOKUP($B1810,[1]DG!A:D,[1]DG!$B$2,)</f>
        <v>03.3103</v>
      </c>
      <c r="F1810" s="92" t="str">
        <f>VLOOKUP($B1810,[1]DG!A:D,[1]DG!$C$2,)&amp;" : 0,48m3/m"</f>
        <v>Đào mương cáp ngầm đất cấp 3 : 0,48m3/m</v>
      </c>
      <c r="G1810" s="88" t="str">
        <f>VLOOKUP($B1810,[1]DG!A:D,[1]DG!$D$2,)</f>
        <v>m3</v>
      </c>
      <c r="H1810" s="145">
        <f>H1802*0.48</f>
        <v>0</v>
      </c>
      <c r="I1810" s="91">
        <f t="shared" si="76"/>
        <v>0</v>
      </c>
      <c r="J1810" s="146"/>
      <c r="K1810" s="146"/>
      <c r="L1810" s="117"/>
      <c r="M1810" s="56">
        <v>400</v>
      </c>
    </row>
    <row r="1811" spans="1:14" s="51" customFormat="1" ht="25.2" hidden="1" customHeight="1">
      <c r="A1811" s="68">
        <f t="shared" si="75"/>
        <v>0</v>
      </c>
      <c r="B1811" s="98" t="s">
        <v>403</v>
      </c>
      <c r="C1811" s="98"/>
      <c r="D1811" s="87"/>
      <c r="E1811" s="88" t="str">
        <f>VLOOKUP($B1811,[1]DG!A:D,[1]DG!$B$2,)</f>
        <v>03.3203</v>
      </c>
      <c r="F1811" s="92" t="str">
        <f>VLOOKUP($B1811,[1]DG!A:D,[1]DG!$C$2,)&amp;" : 0,073m3/m"</f>
        <v>Đắp đất mương cáp ngầm, đất cấp 3 : 0,073m3/m</v>
      </c>
      <c r="G1811" s="88" t="str">
        <f>VLOOKUP($B1811,[1]DG!A:D,[1]DG!$D$2,)</f>
        <v>m3</v>
      </c>
      <c r="H1811" s="145">
        <f>H1802*0.073</f>
        <v>0</v>
      </c>
      <c r="I1811" s="91">
        <f t="shared" si="76"/>
        <v>0</v>
      </c>
      <c r="J1811" s="146"/>
      <c r="K1811" s="146"/>
      <c r="L1811" s="117"/>
      <c r="M1811" s="56">
        <v>400</v>
      </c>
      <c r="N1811" s="335">
        <v>0.47499999999999998</v>
      </c>
    </row>
    <row r="1812" spans="1:14" s="51" customFormat="1" ht="25.2" hidden="1" customHeight="1">
      <c r="A1812" s="68">
        <f t="shared" si="75"/>
        <v>0</v>
      </c>
      <c r="B1812" s="69"/>
      <c r="C1812" s="69"/>
      <c r="D1812" s="220">
        <f>IF(H1812&gt;0,D1802+1,D1802)</f>
        <v>0</v>
      </c>
      <c r="E1812" s="238"/>
      <c r="F1812" s="239" t="s">
        <v>404</v>
      </c>
      <c r="G1812" s="220" t="s">
        <v>67</v>
      </c>
      <c r="H1812" s="240">
        <f>H1821</f>
        <v>0</v>
      </c>
      <c r="I1812" s="91">
        <f t="shared" si="76"/>
        <v>0</v>
      </c>
      <c r="J1812" s="146"/>
      <c r="K1812" s="146"/>
      <c r="L1812" s="117"/>
      <c r="M1812" s="56">
        <v>400</v>
      </c>
      <c r="N1812" s="335">
        <v>0.88100000000000001</v>
      </c>
    </row>
    <row r="1813" spans="1:14" s="51" customFormat="1" ht="25.2" hidden="1" customHeight="1">
      <c r="A1813" s="68">
        <f>IF(A1812&gt;0,1,0)</f>
        <v>0</v>
      </c>
      <c r="B1813" s="69"/>
      <c r="C1813" s="69"/>
      <c r="D1813" s="111"/>
      <c r="E1813" s="242"/>
      <c r="F1813" s="243" t="s">
        <v>68</v>
      </c>
      <c r="G1813" s="87"/>
      <c r="H1813" s="145"/>
      <c r="I1813" s="91">
        <f t="shared" si="76"/>
        <v>0</v>
      </c>
      <c r="J1813" s="146"/>
      <c r="K1813" s="146"/>
      <c r="L1813" s="117"/>
      <c r="M1813" s="56">
        <v>400</v>
      </c>
    </row>
    <row r="1814" spans="1:14" s="51" customFormat="1" ht="25.2" hidden="1" customHeight="1">
      <c r="A1814" s="68">
        <f t="shared" si="75"/>
        <v>0</v>
      </c>
      <c r="B1814" s="69" t="s">
        <v>405</v>
      </c>
      <c r="C1814" s="69"/>
      <c r="D1814" s="87"/>
      <c r="E1814" s="88" t="str">
        <f>VLOOKUP($B1814,[1]DG!A:D,[1]DG!$B$2,)</f>
        <v>07.2204</v>
      </c>
      <c r="F1814" s="89" t="str">
        <f>VLOOKUP($B1814,[1]DG!A:D,[1]DG!$C$2,)</f>
        <v>ÔÁng sắt tráng kẽm D140</v>
      </c>
      <c r="G1814" s="88" t="str">
        <f>VLOOKUP($B1814,[1]DG!A:D,[1]DG!$D$2,)</f>
        <v>mét</v>
      </c>
      <c r="H1814" s="145">
        <f>H1812*5*0</f>
        <v>0</v>
      </c>
      <c r="I1814" s="91">
        <f t="shared" si="76"/>
        <v>0</v>
      </c>
      <c r="J1814" s="146"/>
      <c r="K1814" s="146"/>
      <c r="L1814" s="117"/>
      <c r="M1814" s="56">
        <v>400</v>
      </c>
    </row>
    <row r="1815" spans="1:14" s="51" customFormat="1" ht="25.2" hidden="1" customHeight="1">
      <c r="A1815" s="68">
        <f t="shared" si="75"/>
        <v>0</v>
      </c>
      <c r="B1815" s="98" t="s">
        <v>406</v>
      </c>
      <c r="C1815" s="98"/>
      <c r="D1815" s="111"/>
      <c r="E1815" s="88">
        <f>VLOOKUP($B1815,[1]DG!A:D,[1]DG!$B$2,)</f>
        <v>0</v>
      </c>
      <c r="F1815" s="89" t="str">
        <f>VLOOKUP($B1815,[1]DG!A:D,[1]DG!$C$2,)</f>
        <v>Co sừng 90 độ PVC 140</v>
      </c>
      <c r="G1815" s="88" t="str">
        <f>VLOOKUP($B1815,[1]DG!A:D,[1]DG!$D$2,)</f>
        <v>cái</v>
      </c>
      <c r="H1815" s="145">
        <f>H1812*0</f>
        <v>0</v>
      </c>
      <c r="I1815" s="91">
        <f t="shared" si="76"/>
        <v>0</v>
      </c>
      <c r="J1815" s="146"/>
      <c r="K1815" s="146"/>
      <c r="L1815" s="117"/>
      <c r="M1815" s="56">
        <v>400</v>
      </c>
    </row>
    <row r="1816" spans="1:14" s="51" customFormat="1" ht="25.2" hidden="1" customHeight="1">
      <c r="A1816" s="68">
        <f t="shared" si="75"/>
        <v>0</v>
      </c>
      <c r="B1816" s="69" t="s">
        <v>407</v>
      </c>
      <c r="C1816" s="69"/>
      <c r="D1816" s="87"/>
      <c r="E1816" s="88" t="str">
        <f>VLOOKUP($B1816,[1]DG!A:D,[1]DG!$B$2,)</f>
        <v>06.3231</v>
      </c>
      <c r="F1816" s="89" t="str">
        <f>VLOOKUP($B1816,[1]DG!A:D,[1]DG!$C$2,)</f>
        <v>Cổ dê giữ ống STK D140 vào tường+Boulon+long đền+tắc ke sắt</v>
      </c>
      <c r="G1816" s="88" t="str">
        <f>VLOOKUP($B1816,[1]DG!A:D,[1]DG!$D$2,)</f>
        <v>bộ</v>
      </c>
      <c r="H1816" s="145">
        <f>H1812*2*0</f>
        <v>0</v>
      </c>
      <c r="I1816" s="91">
        <f t="shared" si="76"/>
        <v>0</v>
      </c>
      <c r="J1816" s="146"/>
      <c r="K1816" s="146"/>
      <c r="L1816" s="117"/>
      <c r="M1816" s="56">
        <v>400</v>
      </c>
    </row>
    <row r="1817" spans="1:14" s="51" customFormat="1" ht="25.2" hidden="1" customHeight="1">
      <c r="A1817" s="68">
        <f t="shared" si="75"/>
        <v>0</v>
      </c>
      <c r="B1817" s="86" t="s">
        <v>408</v>
      </c>
      <c r="C1817" s="86"/>
      <c r="D1817" s="87"/>
      <c r="E1817" s="88">
        <f>VLOOKUP($B1817,[1]DG!A:D,[1]DG!$B$2,)</f>
        <v>0</v>
      </c>
      <c r="F1817" s="89" t="str">
        <f>VLOOKUP($B1817,[1]DG!A:D,[1]DG!$C$2,)</f>
        <v>Giá đỡ cáp ngầm (V63x6)</v>
      </c>
      <c r="G1817" s="88" t="str">
        <f>VLOOKUP($B1817,[1]DG!A:D,[1]DG!$D$2,)</f>
        <v>bộ</v>
      </c>
      <c r="H1817" s="145">
        <f>H1812*0</f>
        <v>0</v>
      </c>
      <c r="I1817" s="91">
        <f t="shared" si="76"/>
        <v>0</v>
      </c>
      <c r="J1817" s="146"/>
      <c r="K1817" s="146"/>
      <c r="L1817" s="117"/>
      <c r="M1817" s="56">
        <v>400</v>
      </c>
    </row>
    <row r="1818" spans="1:14" s="51" customFormat="1" ht="25.2" hidden="1" customHeight="1">
      <c r="A1818" s="68">
        <f t="shared" si="75"/>
        <v>0</v>
      </c>
      <c r="B1818" s="86" t="s">
        <v>409</v>
      </c>
      <c r="C1818" s="86"/>
      <c r="D1818" s="87"/>
      <c r="E1818" s="88">
        <f>VLOOKUP($B1818,[1]DG!A:D,[1]DG!$B$2,)</f>
        <v>0</v>
      </c>
      <c r="F1818" s="89" t="str">
        <f>VLOOKUP($B1818,[1]DG!A:D,[1]DG!$C$2,)</f>
        <v>Giá đỡ cáp trung hạ thế</v>
      </c>
      <c r="G1818" s="88" t="str">
        <f>VLOOKUP($B1818,[1]DG!A:D,[1]DG!$D$2,)</f>
        <v>bộ</v>
      </c>
      <c r="H1818" s="145">
        <f>H1812</f>
        <v>0</v>
      </c>
      <c r="I1818" s="91">
        <f t="shared" si="76"/>
        <v>0</v>
      </c>
      <c r="J1818" s="146"/>
      <c r="K1818" s="146"/>
      <c r="L1818" s="117"/>
      <c r="M1818" s="56">
        <v>400</v>
      </c>
    </row>
    <row r="1819" spans="1:14" s="51" customFormat="1" ht="25.2" hidden="1" customHeight="1">
      <c r="A1819" s="68">
        <f t="shared" si="75"/>
        <v>0</v>
      </c>
      <c r="B1819" s="69" t="s">
        <v>410</v>
      </c>
      <c r="C1819" s="69"/>
      <c r="D1819" s="111"/>
      <c r="E1819" s="88" t="str">
        <f>VLOOKUP($B1819,[1]DG!A:D,[1]DG!$B$2,)</f>
        <v>05.6101</v>
      </c>
      <c r="F1819" s="89" t="str">
        <f>VLOOKUP($B1819,[1]DG!A:D,[1]DG!$C$2,)</f>
        <v>Lắp Giá đỡ cáp</v>
      </c>
      <c r="G1819" s="88" t="str">
        <f>VLOOKUP($B1819,[1]DG!A:D,[1]DG!$D$2,)</f>
        <v>bộ</v>
      </c>
      <c r="H1819" s="145">
        <f>H1817+H1818</f>
        <v>0</v>
      </c>
      <c r="I1819" s="91">
        <f t="shared" si="76"/>
        <v>0</v>
      </c>
      <c r="J1819" s="146"/>
      <c r="K1819" s="146"/>
      <c r="L1819" s="117"/>
      <c r="M1819" s="56">
        <v>400</v>
      </c>
    </row>
    <row r="1820" spans="1:14" s="51" customFormat="1" ht="25.2" hidden="1" customHeight="1">
      <c r="A1820" s="68">
        <f t="shared" si="75"/>
        <v>0</v>
      </c>
      <c r="B1820" s="69" t="s">
        <v>117</v>
      </c>
      <c r="C1820" s="69"/>
      <c r="D1820" s="87"/>
      <c r="E1820" s="88" t="str">
        <f>VLOOKUP($B1820,[1]DG!A:D,[1]DG!$B$2,)</f>
        <v>06.3191</v>
      </c>
      <c r="F1820" s="89" t="str">
        <f>VLOOKUP($B1820,[1]DG!A:D,[1]DG!$C$2,)</f>
        <v>Bảng tên trạm, bảng báo nguy hiểm + đinh vít</v>
      </c>
      <c r="G1820" s="88" t="str">
        <f>VLOOKUP($B1820,[1]DG!A:D,[1]DG!$D$2,)</f>
        <v>bộ</v>
      </c>
      <c r="H1820" s="145">
        <f>H1812*0</f>
        <v>0</v>
      </c>
      <c r="I1820" s="91">
        <f t="shared" si="76"/>
        <v>0</v>
      </c>
      <c r="J1820" s="146"/>
      <c r="K1820" s="146"/>
      <c r="L1820" s="117"/>
      <c r="M1820" s="56">
        <v>400</v>
      </c>
    </row>
    <row r="1821" spans="1:14" s="51" customFormat="1" ht="25.2" hidden="1" customHeight="1">
      <c r="A1821" s="68">
        <f t="shared" si="75"/>
        <v>0</v>
      </c>
      <c r="B1821" s="69"/>
      <c r="C1821" s="69"/>
      <c r="D1821" s="220">
        <f>IF(H1821&gt;0,D1812+1,D1812)</f>
        <v>0</v>
      </c>
      <c r="E1821" s="238"/>
      <c r="F1821" s="247" t="s">
        <v>501</v>
      </c>
      <c r="G1821" s="220" t="s">
        <v>67</v>
      </c>
      <c r="H1821" s="240">
        <f>H1687*0</f>
        <v>0</v>
      </c>
      <c r="I1821" s="91">
        <f t="shared" si="76"/>
        <v>0</v>
      </c>
      <c r="J1821" s="146"/>
      <c r="K1821" s="146"/>
      <c r="L1821" s="117"/>
      <c r="M1821" s="56">
        <v>400</v>
      </c>
    </row>
    <row r="1822" spans="1:14" s="51" customFormat="1" ht="25.2" hidden="1" customHeight="1">
      <c r="A1822" s="68">
        <f>IF(A1821&gt;0,1,0)</f>
        <v>0</v>
      </c>
      <c r="B1822" s="69"/>
      <c r="C1822" s="69"/>
      <c r="D1822" s="111"/>
      <c r="E1822" s="242"/>
      <c r="F1822" s="248" t="s">
        <v>68</v>
      </c>
      <c r="G1822" s="111"/>
      <c r="H1822" s="244"/>
      <c r="I1822" s="91">
        <f t="shared" si="76"/>
        <v>0</v>
      </c>
      <c r="J1822" s="146"/>
      <c r="K1822" s="146"/>
      <c r="L1822" s="117"/>
      <c r="M1822" s="56">
        <v>400</v>
      </c>
    </row>
    <row r="1823" spans="1:14" s="51" customFormat="1" ht="25.2" hidden="1" customHeight="1">
      <c r="A1823" s="68">
        <f t="shared" ref="A1823:A1886" si="77">IF(I1823&gt;0,1,0)</f>
        <v>0</v>
      </c>
      <c r="B1823" s="86" t="s">
        <v>412</v>
      </c>
      <c r="C1823" s="86"/>
      <c r="D1823" s="87"/>
      <c r="E1823" s="88">
        <f>VLOOKUP($B1823,[1]DG!A:D,[1]DG!$B$2,)</f>
        <v>0</v>
      </c>
      <c r="F1823" s="89" t="str">
        <f>VLOOKUP($B1823,[1]DG!A:D,[1]DG!$C$2,)&amp;": trong möông vaø leân MBA"</f>
        <v>Cáp 24kV C/XLPE/DSTA/PVC3x50: trong möông vaø leân MBA</v>
      </c>
      <c r="G1823" s="88" t="str">
        <f>VLOOKUP($B1823,[1]DG!A:D,[1]DG!$D$2,)</f>
        <v>mét</v>
      </c>
      <c r="H1823" s="145">
        <f>H1802+H1821*8</f>
        <v>0</v>
      </c>
      <c r="I1823" s="91">
        <f t="shared" si="76"/>
        <v>0</v>
      </c>
      <c r="J1823" s="146"/>
      <c r="K1823" s="146"/>
      <c r="L1823" s="117"/>
      <c r="M1823" s="56">
        <v>400</v>
      </c>
    </row>
    <row r="1824" spans="1:14" s="51" customFormat="1" ht="25.2" hidden="1" customHeight="1">
      <c r="A1824" s="68">
        <f t="shared" si="77"/>
        <v>0</v>
      </c>
      <c r="B1824" s="86" t="s">
        <v>413</v>
      </c>
      <c r="C1824" s="86"/>
      <c r="D1824" s="87"/>
      <c r="E1824" s="88">
        <f>VLOOKUP($B1824,[1]DG!A:D,[1]DG!$B$2,)</f>
        <v>0</v>
      </c>
      <c r="F1824" s="89" t="str">
        <f>VLOOKUP($B1824,[1]DG!A:D,[1]DG!$C$2,)&amp;": trung tính"</f>
        <v>Cáp 24KV C/XLPE/PVC 50mm2: trung tính</v>
      </c>
      <c r="G1824" s="88" t="str">
        <f>VLOOKUP($B1824,[1]DG!A:D,[1]DG!$D$2,)</f>
        <v>mét</v>
      </c>
      <c r="H1824" s="145">
        <f>H1823</f>
        <v>0</v>
      </c>
      <c r="I1824" s="91">
        <f t="shared" si="76"/>
        <v>0</v>
      </c>
      <c r="J1824" s="146"/>
      <c r="K1824" s="146"/>
      <c r="L1824" s="117"/>
      <c r="M1824" s="56">
        <v>400</v>
      </c>
    </row>
    <row r="1825" spans="1:13" s="51" customFormat="1" ht="25.2" hidden="1" customHeight="1">
      <c r="A1825" s="68">
        <f t="shared" si="77"/>
        <v>0</v>
      </c>
      <c r="B1825" s="86" t="s">
        <v>413</v>
      </c>
      <c r="C1825" s="86"/>
      <c r="D1825" s="87"/>
      <c r="E1825" s="88">
        <f>VLOOKUP($B1825,[1]DG!A:D,[1]DG!$B$2,)</f>
        <v>0</v>
      </c>
      <c r="F1825" s="89" t="str">
        <f>VLOOKUP($B1825,[1]DG!A:D,[1]DG!$C$2,)&amp;": 0,5m/pha töø FCO xuoáng MBA"</f>
        <v>Cáp 24KV C/XLPE/PVC 50mm2: 0,5m/pha töø FCO xuoáng MBA</v>
      </c>
      <c r="G1825" s="88" t="str">
        <f>VLOOKUP($B1825,[1]DG!A:D,[1]DG!$D$2,)</f>
        <v>mét</v>
      </c>
      <c r="H1825" s="145">
        <f>H1821*0.5*3*0</f>
        <v>0</v>
      </c>
      <c r="I1825" s="91">
        <f t="shared" si="76"/>
        <v>0</v>
      </c>
      <c r="J1825" s="146"/>
      <c r="K1825" s="146"/>
      <c r="L1825" s="117"/>
      <c r="M1825" s="56">
        <v>400</v>
      </c>
    </row>
    <row r="1826" spans="1:13" s="51" customFormat="1" ht="25.2" hidden="1" customHeight="1">
      <c r="A1826" s="68">
        <f t="shared" si="77"/>
        <v>0</v>
      </c>
      <c r="B1826" s="86" t="s">
        <v>414</v>
      </c>
      <c r="C1826" s="86"/>
      <c r="D1826" s="87"/>
      <c r="E1826" s="88">
        <f>VLOOKUP($B1826,[1]DG!A:D,[1]DG!$B$2,)</f>
        <v>0</v>
      </c>
      <c r="F1826" s="89" t="str">
        <f>VLOOKUP($B1826,[1]DG!A:D,[1]DG!$C$2,)</f>
        <v>Đầu cáp ngầm 24KV 3x50mm2 outdoor</v>
      </c>
      <c r="G1826" s="88" t="str">
        <f>VLOOKUP($B1826,[1]DG!A:D,[1]DG!$D$2,)</f>
        <v>cái</v>
      </c>
      <c r="H1826" s="145">
        <f>H1821</f>
        <v>0</v>
      </c>
      <c r="I1826" s="91">
        <f t="shared" si="76"/>
        <v>0</v>
      </c>
      <c r="J1826" s="146"/>
      <c r="K1826" s="146"/>
      <c r="L1826" s="117"/>
      <c r="M1826" s="56">
        <v>400</v>
      </c>
    </row>
    <row r="1827" spans="1:13" s="51" customFormat="1" ht="25.2" hidden="1" customHeight="1">
      <c r="A1827" s="68">
        <f t="shared" si="77"/>
        <v>0</v>
      </c>
      <c r="B1827" s="86" t="s">
        <v>412</v>
      </c>
      <c r="C1827" s="86"/>
      <c r="D1827" s="87"/>
      <c r="E1827" s="88">
        <f>VLOOKUP($B1827,[1]DG!A:D,[1]DG!$B$2,)</f>
        <v>0</v>
      </c>
      <c r="F1827" s="89" t="str">
        <f>VLOOKUP($B1827,[1]DG!A:D,[1]DG!$C$2,)&amp;": töø tuû LBS ñeán MBA"</f>
        <v>Cáp 24kV C/XLPE/DSTA/PVC3x50: töø tuû LBS ñeán MBA</v>
      </c>
      <c r="G1827" s="88" t="str">
        <f>VLOOKUP($B1827,[1]DG!A:D,[1]DG!$D$2,)</f>
        <v>mét</v>
      </c>
      <c r="H1827" s="145">
        <f>(1.2+2.4)*H1821*0</f>
        <v>0</v>
      </c>
      <c r="I1827" s="91">
        <f t="shared" si="76"/>
        <v>0</v>
      </c>
      <c r="J1827" s="146"/>
      <c r="K1827" s="146"/>
      <c r="L1827" s="117"/>
      <c r="M1827" s="56">
        <v>400</v>
      </c>
    </row>
    <row r="1828" spans="1:13" s="51" customFormat="1" ht="25.2" hidden="1" customHeight="1">
      <c r="A1828" s="68">
        <f t="shared" si="77"/>
        <v>0</v>
      </c>
      <c r="B1828" s="86" t="s">
        <v>413</v>
      </c>
      <c r="C1828" s="86"/>
      <c r="D1828" s="87"/>
      <c r="E1828" s="88">
        <f>VLOOKUP($B1828,[1]DG!A:D,[1]DG!$B$2,)</f>
        <v>0</v>
      </c>
      <c r="F1828" s="89" t="str">
        <f>VLOOKUP($B1828,[1]DG!A:D,[1]DG!$C$2,)&amp;": töø tuû LBS ñeán MBA"</f>
        <v>Cáp 24KV C/XLPE/PVC 50mm2: töø tuû LBS ñeán MBA</v>
      </c>
      <c r="G1828" s="88" t="str">
        <f>VLOOKUP($B1828,[1]DG!A:D,[1]DG!$D$2,)</f>
        <v>mét</v>
      </c>
      <c r="H1828" s="145">
        <f>H1821*1.2*0</f>
        <v>0</v>
      </c>
      <c r="I1828" s="91">
        <f t="shared" si="76"/>
        <v>0</v>
      </c>
      <c r="J1828" s="146"/>
      <c r="K1828" s="146"/>
      <c r="L1828" s="117"/>
      <c r="M1828" s="56">
        <v>400</v>
      </c>
    </row>
    <row r="1829" spans="1:13" s="51" customFormat="1" ht="25.2" hidden="1" customHeight="1">
      <c r="A1829" s="68">
        <f t="shared" si="77"/>
        <v>0</v>
      </c>
      <c r="B1829" s="86" t="s">
        <v>415</v>
      </c>
      <c r="C1829" s="86"/>
      <c r="D1829" s="87"/>
      <c r="E1829" s="88">
        <f>VLOOKUP($B1829,[1]DG!A:D,[1]DG!$B$2,)</f>
        <v>0</v>
      </c>
      <c r="F1829" s="89" t="str">
        <f>VLOOKUP($B1829,[1]DG!A:D,[1]DG!$C$2,)</f>
        <v>Đầu cáp ngầm 24KV 3x50mm2 indoor</v>
      </c>
      <c r="G1829" s="88" t="str">
        <f>VLOOKUP($B1829,[1]DG!A:D,[1]DG!$D$2,)</f>
        <v>cái</v>
      </c>
      <c r="H1829" s="145">
        <f>H1821</f>
        <v>0</v>
      </c>
      <c r="I1829" s="91">
        <f t="shared" si="76"/>
        <v>0</v>
      </c>
      <c r="J1829" s="146"/>
      <c r="K1829" s="146"/>
      <c r="L1829" s="117"/>
      <c r="M1829" s="56">
        <v>400</v>
      </c>
    </row>
    <row r="1830" spans="1:13" s="51" customFormat="1" ht="25.2" hidden="1" customHeight="1">
      <c r="A1830" s="68">
        <f t="shared" si="77"/>
        <v>0</v>
      </c>
      <c r="B1830" s="86" t="s">
        <v>416</v>
      </c>
      <c r="C1830" s="86"/>
      <c r="D1830" s="87"/>
      <c r="E1830" s="88" t="str">
        <f>VLOOKUP($B1830,[1]DG!A:D,[1]DG!$B$2,)</f>
        <v>07.4312</v>
      </c>
      <c r="F1830" s="89" t="str">
        <f>VLOOKUP($B1830,[1]DG!A:D,[1]DG!$C$2,)</f>
        <v>Lắp đầu cáp trung thế 3x50mm2, 70mm2</v>
      </c>
      <c r="G1830" s="88" t="str">
        <f>VLOOKUP($B1830,[1]DG!A:D,[1]DG!$D$2,)</f>
        <v>cái</v>
      </c>
      <c r="H1830" s="145">
        <f>H1826+H1829</f>
        <v>0</v>
      </c>
      <c r="I1830" s="91">
        <f t="shared" si="76"/>
        <v>0</v>
      </c>
      <c r="J1830" s="146"/>
      <c r="K1830" s="146"/>
      <c r="L1830" s="117"/>
      <c r="M1830" s="56">
        <v>400</v>
      </c>
    </row>
    <row r="1831" spans="1:13" s="51" customFormat="1" ht="25.2" hidden="1" customHeight="1">
      <c r="A1831" s="68">
        <f t="shared" si="77"/>
        <v>0</v>
      </c>
      <c r="B1831" s="86" t="s">
        <v>417</v>
      </c>
      <c r="C1831" s="86"/>
      <c r="D1831" s="87"/>
      <c r="E1831" s="88" t="str">
        <f>VLOOKUP($B1831,[1]DG!A:D,[1]DG!$B$2,)</f>
        <v>03.1405</v>
      </c>
      <c r="F1831" s="89" t="str">
        <f>VLOOKUP($B1831,[1]DG!A:D,[1]DG!$C$2,)</f>
        <v>Lắp cáp trong ống bảo vệ trong TBA loại &lt;=6kg</v>
      </c>
      <c r="G1831" s="88" t="str">
        <f>VLOOKUP($B1831,[1]DG!A:D,[1]DG!$D$2,)</f>
        <v>mét</v>
      </c>
      <c r="H1831" s="145">
        <f>H1823+H1827</f>
        <v>0</v>
      </c>
      <c r="I1831" s="91">
        <f t="shared" si="76"/>
        <v>0</v>
      </c>
      <c r="J1831" s="146"/>
      <c r="K1831" s="146"/>
      <c r="L1831" s="117"/>
      <c r="M1831" s="56">
        <v>400</v>
      </c>
    </row>
    <row r="1832" spans="1:13" s="51" customFormat="1" ht="25.2" hidden="1" customHeight="1">
      <c r="A1832" s="68">
        <f t="shared" si="77"/>
        <v>0</v>
      </c>
      <c r="B1832" s="86" t="s">
        <v>418</v>
      </c>
      <c r="C1832" s="86"/>
      <c r="D1832" s="87"/>
      <c r="E1832" s="88" t="str">
        <f>VLOOKUP($B1832,[1]DG!A:D,[1]DG!$B$2,)</f>
        <v>03.1402</v>
      </c>
      <c r="F1832" s="89" t="str">
        <f>VLOOKUP($B1832,[1]DG!A:D,[1]DG!$C$2,)</f>
        <v>Lắp cáp trong ống bảo vệ trong TBA loại &lt;=2kg</v>
      </c>
      <c r="G1832" s="88" t="str">
        <f>VLOOKUP($B1832,[1]DG!A:D,[1]DG!$D$2,)</f>
        <v>mét</v>
      </c>
      <c r="H1832" s="145">
        <f>H1824+H1828</f>
        <v>0</v>
      </c>
      <c r="I1832" s="91">
        <f t="shared" si="76"/>
        <v>0</v>
      </c>
      <c r="J1832" s="146"/>
      <c r="K1832" s="146"/>
      <c r="L1832" s="117"/>
      <c r="M1832" s="56">
        <v>400</v>
      </c>
    </row>
    <row r="1833" spans="1:13" s="51" customFormat="1" ht="25.2" hidden="1" customHeight="1">
      <c r="A1833" s="68">
        <f t="shared" si="77"/>
        <v>0</v>
      </c>
      <c r="B1833" s="86" t="s">
        <v>101</v>
      </c>
      <c r="C1833" s="86"/>
      <c r="D1833" s="87"/>
      <c r="E1833" s="88" t="str">
        <f>VLOOKUP($B1833,[1]DG!A:D,[1]DG!$B$2,)</f>
        <v>04.4201</v>
      </c>
      <c r="F1833" s="89" t="str">
        <f>VLOOKUP($B1833,[1]DG!A:D,[1]DG!$C$2,)</f>
        <v>Lắp cáp đồng xuống thiết bị D ≤ 95mm2</v>
      </c>
      <c r="G1833" s="88" t="str">
        <f>VLOOKUP($B1833,[1]DG!A:D,[1]DG!$D$2,)</f>
        <v>m</v>
      </c>
      <c r="H1833" s="145">
        <f>H1825</f>
        <v>0</v>
      </c>
      <c r="I1833" s="91">
        <f t="shared" si="76"/>
        <v>0</v>
      </c>
      <c r="J1833" s="146"/>
      <c r="K1833" s="146"/>
      <c r="L1833" s="117"/>
      <c r="M1833" s="56">
        <v>400</v>
      </c>
    </row>
    <row r="1834" spans="1:13" s="51" customFormat="1" ht="25.2" hidden="1" customHeight="1">
      <c r="A1834" s="68">
        <f t="shared" si="77"/>
        <v>0</v>
      </c>
      <c r="B1834" s="86" t="s">
        <v>419</v>
      </c>
      <c r="C1834" s="86"/>
      <c r="D1834" s="87"/>
      <c r="E1834" s="88">
        <f>VLOOKUP($B1834,[1]DG!A:D,[1]DG!$B$2,)</f>
        <v>0</v>
      </c>
      <c r="F1834" s="89" t="str">
        <f>VLOOKUP($B1834,[1]DG!A:D,[1]DG!$C$2,)</f>
        <v>Dây rút cáp</v>
      </c>
      <c r="G1834" s="88" t="str">
        <f>VLOOKUP($B1834,[1]DG!A:D,[1]DG!$D$2,)</f>
        <v>bọc</v>
      </c>
      <c r="H1834" s="145">
        <f>H1821*2</f>
        <v>0</v>
      </c>
      <c r="I1834" s="91">
        <f t="shared" si="76"/>
        <v>0</v>
      </c>
      <c r="J1834" s="146"/>
      <c r="K1834" s="146"/>
      <c r="L1834" s="117"/>
      <c r="M1834" s="56">
        <v>400</v>
      </c>
    </row>
    <row r="1835" spans="1:13" s="51" customFormat="1" ht="25.2" hidden="1" customHeight="1">
      <c r="A1835" s="68">
        <f t="shared" si="77"/>
        <v>0</v>
      </c>
      <c r="B1835" s="69"/>
      <c r="C1835" s="69"/>
      <c r="D1835" s="220">
        <f>IF(H1835&gt;0,D1821+1,D1821)</f>
        <v>0</v>
      </c>
      <c r="E1835" s="238"/>
      <c r="F1835" s="247" t="s">
        <v>519</v>
      </c>
      <c r="G1835" s="220" t="s">
        <v>67</v>
      </c>
      <c r="H1835" s="240">
        <f>H1687</f>
        <v>0</v>
      </c>
      <c r="I1835" s="91">
        <f t="shared" si="76"/>
        <v>0</v>
      </c>
      <c r="J1835" s="146"/>
      <c r="K1835" s="146"/>
      <c r="L1835" s="96"/>
      <c r="M1835" s="56">
        <v>400</v>
      </c>
    </row>
    <row r="1836" spans="1:13" s="51" customFormat="1" ht="25.2" hidden="1" customHeight="1">
      <c r="A1836" s="68">
        <f>IF(A1835&gt;0,1,0)</f>
        <v>0</v>
      </c>
      <c r="B1836" s="69"/>
      <c r="C1836" s="69"/>
      <c r="D1836" s="111"/>
      <c r="E1836" s="242"/>
      <c r="F1836" s="248" t="s">
        <v>68</v>
      </c>
      <c r="G1836" s="111"/>
      <c r="H1836" s="244"/>
      <c r="I1836" s="91">
        <f t="shared" si="76"/>
        <v>0</v>
      </c>
      <c r="J1836" s="146"/>
      <c r="K1836" s="146"/>
      <c r="L1836" s="96"/>
      <c r="M1836" s="56">
        <v>400</v>
      </c>
    </row>
    <row r="1837" spans="1:13" s="51" customFormat="1" ht="25.2" hidden="1" customHeight="1">
      <c r="A1837" s="68">
        <f t="shared" si="77"/>
        <v>0</v>
      </c>
      <c r="B1837" s="86" t="s">
        <v>98</v>
      </c>
      <c r="C1837" s="86"/>
      <c r="D1837" s="87"/>
      <c r="E1837" s="88">
        <f>VLOOKUP($B1837,[1]DG!A:D,[1]DG!$B$2,)</f>
        <v>0</v>
      </c>
      <c r="F1837" s="89" t="str">
        <f>VLOOKUP($B1837,[1]DG!A:D,[1]DG!$C$2,)&amp;": 9m/1pha"</f>
        <v>Cáp 24KV CX-25mm2: 9m/1pha</v>
      </c>
      <c r="G1837" s="88" t="str">
        <f>VLOOKUP($B1837,[1]DG!A:D,[1]DG!$D$2,)</f>
        <v>mét</v>
      </c>
      <c r="H1837" s="145">
        <f>H1835*(9)*3</f>
        <v>0</v>
      </c>
      <c r="I1837" s="91">
        <f t="shared" si="76"/>
        <v>0</v>
      </c>
      <c r="J1837" s="146"/>
      <c r="K1837" s="146"/>
      <c r="L1837" s="96"/>
      <c r="M1837" s="56">
        <v>400</v>
      </c>
    </row>
    <row r="1838" spans="1:13" s="51" customFormat="1" ht="25.2" hidden="1" customHeight="1">
      <c r="A1838" s="68">
        <f t="shared" si="77"/>
        <v>0</v>
      </c>
      <c r="B1838" s="86" t="s">
        <v>98</v>
      </c>
      <c r="C1838" s="86"/>
      <c r="D1838" s="87"/>
      <c r="E1838" s="88">
        <f>VLOOKUP($B1838,[1]DG!A:D,[1]DG!$B$2,)</f>
        <v>0</v>
      </c>
      <c r="F1838" s="89" t="str">
        <f>VLOOKUP($B1838,[1]DG!A:D,[1]DG!$C$2,)&amp;": 1m/1pha ñaáu noái  LA"</f>
        <v>Cáp 24KV CX-25mm2: 1m/1pha ñaáu noái  LA</v>
      </c>
      <c r="G1838" s="88" t="str">
        <f>VLOOKUP($B1838,[1]DG!A:D,[1]DG!$D$2,)</f>
        <v>mét</v>
      </c>
      <c r="H1838" s="340">
        <f>H1835*3*1*0</f>
        <v>0</v>
      </c>
      <c r="I1838" s="91">
        <f t="shared" si="76"/>
        <v>0</v>
      </c>
      <c r="J1838" s="146"/>
      <c r="K1838" s="146"/>
      <c r="L1838" s="96"/>
      <c r="M1838" s="56">
        <v>400</v>
      </c>
    </row>
    <row r="1839" spans="1:13" s="51" customFormat="1" ht="25.2" hidden="1" customHeight="1">
      <c r="A1839" s="68">
        <f t="shared" si="77"/>
        <v>0</v>
      </c>
      <c r="B1839" s="86" t="s">
        <v>185</v>
      </c>
      <c r="C1839" s="86"/>
      <c r="D1839" s="87"/>
      <c r="E1839" s="88">
        <f>VLOOKUP($B1839,[1]DG!A:D,[1]DG!$B$2,)</f>
        <v>0</v>
      </c>
      <c r="F1839" s="89" t="str">
        <f>VLOOKUP($B1839,[1]DG!A:D,[1]DG!$C$2,)</f>
        <v>Kẹp ép cỡ dây 25mm2</v>
      </c>
      <c r="G1839" s="88" t="str">
        <f>VLOOKUP($B1839,[1]DG!A:D,[1]DG!$D$2,)</f>
        <v>cái</v>
      </c>
      <c r="H1839" s="340">
        <f>H1835*3*2</f>
        <v>0</v>
      </c>
      <c r="I1839" s="91">
        <f t="shared" si="76"/>
        <v>0</v>
      </c>
      <c r="J1839" s="146"/>
      <c r="K1839" s="146"/>
      <c r="L1839" s="117"/>
      <c r="M1839" s="56">
        <v>400</v>
      </c>
    </row>
    <row r="1840" spans="1:13" s="51" customFormat="1" ht="25.2" hidden="1" customHeight="1">
      <c r="A1840" s="68">
        <f t="shared" si="77"/>
        <v>0</v>
      </c>
      <c r="B1840" s="86" t="s">
        <v>421</v>
      </c>
      <c r="C1840" s="86"/>
      <c r="D1840" s="87"/>
      <c r="E1840" s="88">
        <f>VLOOKUP($B1840,[1]DG!A:D,[1]DG!$B$2,)</f>
        <v>0</v>
      </c>
      <c r="F1840" s="89" t="str">
        <f>VLOOKUP($B1840,[1]DG!A:D,[1]DG!$C$2,)&amp;" + LA"</f>
        <v>Bass LI bắt FCO + LA</v>
      </c>
      <c r="G1840" s="88" t="str">
        <f>VLOOKUP($B1840,[1]DG!A:D,[1]DG!$D$2,)</f>
        <v>Bộ</v>
      </c>
      <c r="H1840" s="340">
        <f>H1835*3*2</f>
        <v>0</v>
      </c>
      <c r="I1840" s="91">
        <f t="shared" si="76"/>
        <v>0</v>
      </c>
      <c r="J1840" s="146"/>
      <c r="K1840" s="146"/>
      <c r="L1840" s="117"/>
      <c r="M1840" s="56">
        <v>400</v>
      </c>
    </row>
    <row r="1841" spans="1:13" s="51" customFormat="1" ht="25.2" hidden="1" customHeight="1">
      <c r="A1841" s="68">
        <f t="shared" si="77"/>
        <v>0</v>
      </c>
      <c r="B1841" s="86" t="s">
        <v>99</v>
      </c>
      <c r="C1841" s="86"/>
      <c r="D1841" s="87"/>
      <c r="E1841" s="88" t="str">
        <f>VLOOKUP($B1841,[1]DG!A:D,[1]DG!$B$2,)</f>
        <v>04.3007</v>
      </c>
      <c r="F1841" s="89" t="str">
        <f>VLOOKUP($B1841,[1]DG!A:D,[1]DG!$C$2,)</f>
        <v>Kẹp quai 2/0</v>
      </c>
      <c r="G1841" s="88" t="str">
        <f>VLOOKUP($B1841,[1]DG!A:D,[1]DG!$D$2,)</f>
        <v>cái</v>
      </c>
      <c r="H1841" s="340">
        <f>H1835*3</f>
        <v>0</v>
      </c>
      <c r="I1841" s="91">
        <f t="shared" si="76"/>
        <v>0</v>
      </c>
      <c r="J1841" s="146"/>
      <c r="K1841" s="146"/>
      <c r="L1841" s="96"/>
      <c r="M1841" s="56">
        <v>400</v>
      </c>
    </row>
    <row r="1842" spans="1:13" s="51" customFormat="1" ht="25.2" hidden="1" customHeight="1">
      <c r="A1842" s="68">
        <f t="shared" si="77"/>
        <v>0</v>
      </c>
      <c r="B1842" s="86" t="s">
        <v>100</v>
      </c>
      <c r="C1842" s="86"/>
      <c r="D1842" s="87"/>
      <c r="E1842" s="88" t="str">
        <f>VLOOKUP($B1842,[1]DG!A:D,[1]DG!$B$2,)</f>
        <v>04.3007</v>
      </c>
      <c r="F1842" s="89" t="str">
        <f>VLOOKUP($B1842,[1]DG!A:D,[1]DG!$C$2,)&amp;": "</f>
        <v xml:space="preserve">Kẹp hotline 2/0: </v>
      </c>
      <c r="G1842" s="88" t="str">
        <f>VLOOKUP($B1842,[1]DG!A:D,[1]DG!$D$2,)</f>
        <v>cái</v>
      </c>
      <c r="H1842" s="145"/>
      <c r="I1842" s="91">
        <f t="shared" si="76"/>
        <v>0</v>
      </c>
      <c r="J1842" s="146"/>
      <c r="K1842" s="146"/>
      <c r="L1842" s="96"/>
      <c r="M1842" s="56">
        <v>400</v>
      </c>
    </row>
    <row r="1843" spans="1:13" s="51" customFormat="1" ht="25.2" hidden="1" customHeight="1">
      <c r="A1843" s="68">
        <f t="shared" si="77"/>
        <v>0</v>
      </c>
      <c r="B1843" s="86" t="s">
        <v>138</v>
      </c>
      <c r="C1843" s="86"/>
      <c r="D1843" s="96"/>
      <c r="E1843" s="88">
        <f>VLOOKUP($B1843,[1]DG!A:D,[1]DG!$B$2,)</f>
        <v>0</v>
      </c>
      <c r="F1843" s="89" t="str">
        <f>VLOOKUP($B1843,[1]DG!A:D,[1]DG!$C$2,)</f>
        <v xml:space="preserve">Sứ đứng 24KV </v>
      </c>
      <c r="G1843" s="88" t="str">
        <f>VLOOKUP($B1843,[1]DG!A:D,[1]DG!$D$2,)</f>
        <v>cái</v>
      </c>
      <c r="H1843" s="145"/>
      <c r="I1843" s="91">
        <f t="shared" si="76"/>
        <v>0</v>
      </c>
      <c r="J1843" s="146"/>
      <c r="K1843" s="146"/>
      <c r="L1843" s="96"/>
      <c r="M1843" s="56">
        <v>400</v>
      </c>
    </row>
    <row r="1844" spans="1:13" s="51" customFormat="1" ht="25.2" hidden="1" customHeight="1">
      <c r="A1844" s="68">
        <f t="shared" si="77"/>
        <v>0</v>
      </c>
      <c r="B1844" s="86" t="s">
        <v>139</v>
      </c>
      <c r="C1844" s="86"/>
      <c r="D1844" s="87"/>
      <c r="E1844" s="88">
        <f>VLOOKUP($B1844,[1]DG!A:D,[1]DG!$B$2,)</f>
        <v>0</v>
      </c>
      <c r="F1844" s="89" t="str">
        <f>VLOOKUP($B1844,[1]DG!A:D,[1]DG!$C$2,)</f>
        <v>Chân sứ đứng D20</v>
      </c>
      <c r="G1844" s="88" t="str">
        <f>VLOOKUP($B1844,[1]DG!A:D,[1]DG!$D$2,)</f>
        <v>cái</v>
      </c>
      <c r="H1844" s="145"/>
      <c r="I1844" s="91">
        <f t="shared" si="76"/>
        <v>0</v>
      </c>
      <c r="J1844" s="146"/>
      <c r="K1844" s="146"/>
      <c r="L1844" s="96"/>
      <c r="M1844" s="56">
        <v>400</v>
      </c>
    </row>
    <row r="1845" spans="1:13" s="51" customFormat="1" ht="25.2" hidden="1" customHeight="1">
      <c r="A1845" s="68">
        <f t="shared" si="77"/>
        <v>0</v>
      </c>
      <c r="B1845" s="86" t="s">
        <v>422</v>
      </c>
      <c r="C1845" s="86"/>
      <c r="D1845" s="87"/>
      <c r="E1845" s="88">
        <f>VLOOKUP($B1845,[1]DG!A:D,[1]DG!$B$2,)</f>
        <v>0</v>
      </c>
      <c r="F1845" s="89" t="str">
        <f>VLOOKUP($B1845,[1]DG!A:D,[1]DG!$C$2,)</f>
        <v>Sứ treo polymer</v>
      </c>
      <c r="G1845" s="88" t="str">
        <f>VLOOKUP($B1845,[1]DG!A:D,[1]DG!$D$2,)</f>
        <v>chuỗi</v>
      </c>
      <c r="H1845" s="340">
        <f>H1835*6*0</f>
        <v>0</v>
      </c>
      <c r="I1845" s="91">
        <f t="shared" si="76"/>
        <v>0</v>
      </c>
      <c r="J1845" s="146"/>
      <c r="K1845" s="146"/>
      <c r="L1845" s="96"/>
      <c r="M1845" s="56">
        <v>400</v>
      </c>
    </row>
    <row r="1846" spans="1:13" s="51" customFormat="1" ht="25.2" hidden="1" customHeight="1">
      <c r="A1846" s="68">
        <f t="shared" si="77"/>
        <v>0</v>
      </c>
      <c r="B1846" s="86" t="s">
        <v>423</v>
      </c>
      <c r="C1846" s="86"/>
      <c r="D1846" s="87"/>
      <c r="E1846" s="88" t="str">
        <f>VLOOKUP($B1846,[1]DG!A:D,[1]DG!$B$2,)</f>
        <v>06.1115</v>
      </c>
      <c r="F1846" s="89" t="str">
        <f>VLOOKUP($B1846,[1]DG!A:D,[1]DG!$C$2,)</f>
        <v>Lắp sứ đứng 24KV</v>
      </c>
      <c r="G1846" s="88" t="str">
        <f>VLOOKUP($B1846,[1]DG!A:D,[1]DG!$D$2,)</f>
        <v>bộ</v>
      </c>
      <c r="H1846" s="145"/>
      <c r="I1846" s="91">
        <f t="shared" si="76"/>
        <v>0</v>
      </c>
      <c r="J1846" s="146"/>
      <c r="K1846" s="146"/>
      <c r="L1846" s="96"/>
      <c r="M1846" s="56">
        <v>400</v>
      </c>
    </row>
    <row r="1847" spans="1:13" s="51" customFormat="1" ht="25.2" hidden="1" customHeight="1">
      <c r="A1847" s="68">
        <f t="shared" si="77"/>
        <v>0</v>
      </c>
      <c r="B1847" s="86" t="s">
        <v>424</v>
      </c>
      <c r="C1847" s="86"/>
      <c r="D1847" s="87"/>
      <c r="E1847" s="88" t="str">
        <f>VLOOKUP($B1847,[1]DG!A:D,[1]DG!$B$2,)</f>
        <v>06.1115</v>
      </c>
      <c r="F1847" s="89" t="str">
        <f>VLOOKUP($B1847,[1]DG!A:D,[1]DG!$C$2,)</f>
        <v>Tháo sứ đứng 24KV</v>
      </c>
      <c r="G1847" s="88" t="str">
        <f>VLOOKUP($B1847,[1]DG!A:D,[1]DG!$D$2,)</f>
        <v>bộ</v>
      </c>
      <c r="H1847" s="145"/>
      <c r="I1847" s="91">
        <f t="shared" si="76"/>
        <v>0</v>
      </c>
      <c r="J1847" s="146"/>
      <c r="K1847" s="146"/>
      <c r="L1847" s="96"/>
      <c r="M1847" s="56">
        <v>400</v>
      </c>
    </row>
    <row r="1848" spans="1:13" s="51" customFormat="1" ht="25.2" hidden="1" customHeight="1">
      <c r="A1848" s="68">
        <f t="shared" si="77"/>
        <v>0</v>
      </c>
      <c r="B1848" s="86" t="s">
        <v>425</v>
      </c>
      <c r="C1848" s="86"/>
      <c r="D1848" s="87"/>
      <c r="E1848" s="88" t="str">
        <f>VLOOKUP($B1848,[1]DG!A:D,[1]DG!$B$2,)</f>
        <v>06.2201</v>
      </c>
      <c r="F1848" s="89" t="str">
        <f>VLOOKUP($B1848,[1]DG!A:D,[1]DG!$C$2,)</f>
        <v>Lắp chuỗi sứ néo Polymer</v>
      </c>
      <c r="G1848" s="88" t="str">
        <f>VLOOKUP($B1848,[1]DG!A:D,[1]DG!$D$2,)</f>
        <v>chuỗi</v>
      </c>
      <c r="H1848" s="145">
        <f>H1845</f>
        <v>0</v>
      </c>
      <c r="I1848" s="91">
        <f t="shared" si="76"/>
        <v>0</v>
      </c>
      <c r="J1848" s="146"/>
      <c r="K1848" s="146"/>
      <c r="L1848" s="96"/>
      <c r="M1848" s="56">
        <v>400</v>
      </c>
    </row>
    <row r="1849" spans="1:13" s="51" customFormat="1" ht="25.2" hidden="1" customHeight="1">
      <c r="A1849" s="68">
        <f t="shared" si="77"/>
        <v>0</v>
      </c>
      <c r="B1849" s="86" t="s">
        <v>101</v>
      </c>
      <c r="C1849" s="86"/>
      <c r="D1849" s="87"/>
      <c r="E1849" s="88" t="str">
        <f>VLOOKUP($B1849,[1]DG!A:D,[1]DG!$B$2,)</f>
        <v>04.4201</v>
      </c>
      <c r="F1849" s="89" t="str">
        <f>VLOOKUP($B1849,[1]DG!A:D,[1]DG!$C$2,)</f>
        <v>Lắp cáp đồng xuống thiết bị D ≤ 95mm2</v>
      </c>
      <c r="G1849" s="88" t="str">
        <f>VLOOKUP($B1849,[1]DG!A:D,[1]DG!$D$2,)</f>
        <v>m</v>
      </c>
      <c r="H1849" s="145">
        <f>H1837+H1838</f>
        <v>0</v>
      </c>
      <c r="I1849" s="91">
        <f t="shared" si="76"/>
        <v>0</v>
      </c>
      <c r="J1849" s="146"/>
      <c r="K1849" s="146"/>
      <c r="L1849" s="96"/>
      <c r="M1849" s="56">
        <v>400</v>
      </c>
    </row>
    <row r="1850" spans="1:13" s="51" customFormat="1" ht="25.2" hidden="1" customHeight="1">
      <c r="A1850" s="68">
        <f t="shared" si="77"/>
        <v>0</v>
      </c>
      <c r="B1850" s="69"/>
      <c r="C1850" s="69"/>
      <c r="D1850" s="220">
        <f>IF(H1850&gt;0,D1835+1,D1835)</f>
        <v>0</v>
      </c>
      <c r="E1850" s="238"/>
      <c r="F1850" s="247" t="s">
        <v>297</v>
      </c>
      <c r="G1850" s="220" t="s">
        <v>67</v>
      </c>
      <c r="H1850" s="240">
        <f>H1716*0</f>
        <v>0</v>
      </c>
      <c r="I1850" s="91">
        <f t="shared" ref="I1850:I1913" si="78">IF(M1850=$M$23,H1850+J1850-K1850,0)</f>
        <v>0</v>
      </c>
      <c r="J1850" s="146"/>
      <c r="K1850" s="146"/>
      <c r="L1850" s="117"/>
      <c r="M1850" s="56">
        <v>400</v>
      </c>
    </row>
    <row r="1851" spans="1:13" s="51" customFormat="1" ht="25.2" hidden="1" customHeight="1">
      <c r="A1851" s="68">
        <f>IF(A1850&gt;0,1,0)</f>
        <v>0</v>
      </c>
      <c r="B1851" s="69"/>
      <c r="C1851" s="69"/>
      <c r="D1851" s="111"/>
      <c r="E1851" s="242"/>
      <c r="F1851" s="248" t="s">
        <v>68</v>
      </c>
      <c r="G1851" s="111"/>
      <c r="H1851" s="244"/>
      <c r="I1851" s="91">
        <f t="shared" si="78"/>
        <v>0</v>
      </c>
      <c r="J1851" s="146"/>
      <c r="K1851" s="146"/>
      <c r="L1851" s="117"/>
      <c r="M1851" s="56">
        <v>400</v>
      </c>
    </row>
    <row r="1852" spans="1:13" s="51" customFormat="1" ht="25.2" hidden="1" customHeight="1">
      <c r="A1852" s="68">
        <f t="shared" si="77"/>
        <v>0</v>
      </c>
      <c r="B1852" s="69" t="s">
        <v>298</v>
      </c>
      <c r="C1852" s="69"/>
      <c r="D1852" s="87"/>
      <c r="E1852" s="88" t="str">
        <f>VLOOKUP($B1852,[1]DG!A:D,[1]DG!$B$2,)</f>
        <v>04.8003</v>
      </c>
      <c r="F1852" s="89" t="str">
        <f>VLOOKUP($B1852,[1]DG!A:D,[1]DG!$C$2,)</f>
        <v xml:space="preserve">Ống PVC D90x3,8mm </v>
      </c>
      <c r="G1852" s="88" t="str">
        <f>VLOOKUP($B1852,[1]DG!A:D,[1]DG!$D$2,)</f>
        <v>m</v>
      </c>
      <c r="H1852" s="145">
        <f>H1850*2</f>
        <v>0</v>
      </c>
      <c r="I1852" s="91">
        <f t="shared" si="78"/>
        <v>0</v>
      </c>
      <c r="J1852" s="146"/>
      <c r="K1852" s="146"/>
      <c r="L1852" s="117"/>
      <c r="M1852" s="56">
        <v>400</v>
      </c>
    </row>
    <row r="1853" spans="1:13" s="51" customFormat="1" ht="25.2" hidden="1" customHeight="1">
      <c r="A1853" s="68">
        <f t="shared" si="77"/>
        <v>0</v>
      </c>
      <c r="B1853" s="69" t="s">
        <v>299</v>
      </c>
      <c r="C1853" s="69"/>
      <c r="D1853" s="87"/>
      <c r="E1853" s="88">
        <f>VLOOKUP($B1853,[1]DG!A:D,[1]DG!$B$2,)</f>
        <v>0</v>
      </c>
      <c r="F1853" s="89" t="str">
        <f>VLOOKUP($B1853,[1]DG!A:D,[1]DG!$C$2,)</f>
        <v>Co  90 độ PVC 90</v>
      </c>
      <c r="G1853" s="88" t="str">
        <f>VLOOKUP($B1853,[1]DG!A:D,[1]DG!$D$2,)</f>
        <v>cái</v>
      </c>
      <c r="H1853" s="145">
        <f>H1850</f>
        <v>0</v>
      </c>
      <c r="I1853" s="91">
        <f t="shared" si="78"/>
        <v>0</v>
      </c>
      <c r="J1853" s="146"/>
      <c r="K1853" s="146"/>
      <c r="L1853" s="117"/>
      <c r="M1853" s="56">
        <v>400</v>
      </c>
    </row>
    <row r="1854" spans="1:13" s="51" customFormat="1" ht="25.2" hidden="1" customHeight="1">
      <c r="A1854" s="68">
        <f t="shared" si="77"/>
        <v>0</v>
      </c>
      <c r="B1854" s="69" t="s">
        <v>486</v>
      </c>
      <c r="C1854" s="69"/>
      <c r="D1854" s="87"/>
      <c r="E1854" s="88">
        <f>VLOOKUP($B1854,[1]DG!A:D,[1]DG!$B$2,)</f>
        <v>0</v>
      </c>
      <c r="F1854" s="89" t="str">
        <f>VLOOKUP($B1854,[1]DG!A:D,[1]DG!$C$2,)</f>
        <v>Khâu ven răng trong D90</v>
      </c>
      <c r="G1854" s="88" t="str">
        <f>VLOOKUP($B1854,[1]DG!A:D,[1]DG!$D$2,)</f>
        <v>cái</v>
      </c>
      <c r="H1854" s="145">
        <f>H1850*2</f>
        <v>0</v>
      </c>
      <c r="I1854" s="91">
        <f t="shared" si="78"/>
        <v>0</v>
      </c>
      <c r="J1854" s="146"/>
      <c r="K1854" s="146"/>
      <c r="L1854" s="117"/>
      <c r="M1854" s="56">
        <v>400</v>
      </c>
    </row>
    <row r="1855" spans="1:13" s="51" customFormat="1" ht="25.2" hidden="1" customHeight="1">
      <c r="A1855" s="68">
        <f t="shared" si="77"/>
        <v>0</v>
      </c>
      <c r="B1855" s="69" t="s">
        <v>487</v>
      </c>
      <c r="C1855" s="69"/>
      <c r="D1855" s="87"/>
      <c r="E1855" s="88">
        <f>VLOOKUP($B1855,[1]DG!A:D,[1]DG!$B$2,)</f>
        <v>0</v>
      </c>
      <c r="F1855" s="89" t="str">
        <f>VLOOKUP($B1855,[1]DG!A:D,[1]DG!$C$2,)</f>
        <v>Khâu ven răng ngoài D90</v>
      </c>
      <c r="G1855" s="88" t="str">
        <f>VLOOKUP($B1855,[1]DG!A:D,[1]DG!$D$2,)</f>
        <v>cái</v>
      </c>
      <c r="H1855" s="145">
        <f>H1854</f>
        <v>0</v>
      </c>
      <c r="I1855" s="91">
        <f t="shared" si="78"/>
        <v>0</v>
      </c>
      <c r="J1855" s="146"/>
      <c r="K1855" s="146"/>
      <c r="L1855" s="117"/>
      <c r="M1855" s="56">
        <v>400</v>
      </c>
    </row>
    <row r="1856" spans="1:13" s="51" customFormat="1" ht="25.2" hidden="1" customHeight="1">
      <c r="A1856" s="68">
        <f t="shared" si="77"/>
        <v>0</v>
      </c>
      <c r="B1856" s="86"/>
      <c r="C1856" s="86"/>
      <c r="D1856" s="220">
        <f>IF(H1856&gt;0,D1850+1,D1850)</f>
        <v>0</v>
      </c>
      <c r="E1856" s="238"/>
      <c r="F1856" s="247" t="s">
        <v>430</v>
      </c>
      <c r="G1856" s="220" t="s">
        <v>67</v>
      </c>
      <c r="H1856" s="337">
        <f>H1797</f>
        <v>0</v>
      </c>
      <c r="I1856" s="91">
        <f t="shared" si="78"/>
        <v>0</v>
      </c>
      <c r="J1856" s="146"/>
      <c r="K1856" s="146"/>
      <c r="L1856" s="96"/>
      <c r="M1856" s="56">
        <v>400</v>
      </c>
    </row>
    <row r="1857" spans="1:13" s="51" customFormat="1" ht="25.2" hidden="1" customHeight="1">
      <c r="A1857" s="68">
        <f>IF(A1856&gt;0,1,0)</f>
        <v>0</v>
      </c>
      <c r="B1857" s="86"/>
      <c r="C1857" s="86"/>
      <c r="D1857" s="111"/>
      <c r="E1857" s="242"/>
      <c r="F1857" s="248" t="s">
        <v>68</v>
      </c>
      <c r="G1857" s="111"/>
      <c r="H1857" s="145"/>
      <c r="I1857" s="91">
        <f t="shared" si="78"/>
        <v>0</v>
      </c>
      <c r="J1857" s="146"/>
      <c r="K1857" s="146"/>
      <c r="L1857" s="96"/>
      <c r="M1857" s="56">
        <v>400</v>
      </c>
    </row>
    <row r="1858" spans="1:13" s="51" customFormat="1" ht="25.2" hidden="1" customHeight="1">
      <c r="A1858" s="68">
        <f t="shared" si="77"/>
        <v>0</v>
      </c>
      <c r="B1858" s="334" t="s">
        <v>520</v>
      </c>
      <c r="C1858" s="334"/>
      <c r="D1858" s="87"/>
      <c r="E1858" s="88">
        <f>VLOOKUP($B1858,[1]DG!A:D,[1]DG!$B$2,)</f>
        <v>0</v>
      </c>
      <c r="F1858" s="89" t="str">
        <f>VLOOKUP($B1858,[1]DG!A:D,[1]DG!$C$2,)&amp;":  "&amp;2&amp;" x 9m/pha "</f>
        <v xml:space="preserve">Cáp đồng bọc CV200:  2 x 9m/pha </v>
      </c>
      <c r="G1858" s="88" t="str">
        <f>VLOOKUP($B1858,[1]DG!A:D,[1]DG!$D$2,)</f>
        <v>mét</v>
      </c>
      <c r="H1858" s="145">
        <f>9*3*H1856*2</f>
        <v>0</v>
      </c>
      <c r="I1858" s="91">
        <f t="shared" si="78"/>
        <v>0</v>
      </c>
      <c r="J1858" s="146"/>
      <c r="K1858" s="146"/>
      <c r="L1858" s="96"/>
      <c r="M1858" s="56">
        <v>400</v>
      </c>
    </row>
    <row r="1859" spans="1:13" s="51" customFormat="1" ht="25.2" hidden="1" customHeight="1">
      <c r="A1859" s="68">
        <f t="shared" si="77"/>
        <v>0</v>
      </c>
      <c r="B1859" s="334" t="s">
        <v>520</v>
      </c>
      <c r="C1859" s="334"/>
      <c r="D1859" s="87"/>
      <c r="E1859" s="88">
        <f>VLOOKUP($B1859,[1]DG!A:D,[1]DG!$B$2,)</f>
        <v>0</v>
      </c>
      <c r="F1859" s="89" t="e">
        <f>VLOOKUP($B1859,[1]DG!A:D,[1]DG!$C$2,)&amp;":  "&amp;#REF!&amp;" x 9m/trung tính "</f>
        <v>#REF!</v>
      </c>
      <c r="G1859" s="88" t="str">
        <f>VLOOKUP($B1859,[1]DG!A:D,[1]DG!$D$2,)</f>
        <v>mét</v>
      </c>
      <c r="H1859" s="145">
        <f>9*H1856</f>
        <v>0</v>
      </c>
      <c r="I1859" s="91">
        <f t="shared" si="78"/>
        <v>0</v>
      </c>
      <c r="J1859" s="146"/>
      <c r="K1859" s="146"/>
      <c r="L1859" s="96"/>
      <c r="M1859" s="56">
        <v>400</v>
      </c>
    </row>
    <row r="1860" spans="1:13" s="51" customFormat="1" ht="25.2" hidden="1" customHeight="1">
      <c r="A1860" s="68">
        <f t="shared" si="77"/>
        <v>0</v>
      </c>
      <c r="B1860" s="69" t="s">
        <v>521</v>
      </c>
      <c r="C1860" s="69"/>
      <c r="D1860" s="87"/>
      <c r="E1860" s="88" t="str">
        <f>VLOOKUP($B1860,[1]DG!A:D,[1]DG!$B$2,)</f>
        <v>03.4008</v>
      </c>
      <c r="F1860" s="89" t="str">
        <f>VLOOKUP($B1860,[1]DG!A:D,[1]DG!$C$2,)&amp;": "</f>
        <v xml:space="preserve">Đầu cosse ép Cu 200mm2: </v>
      </c>
      <c r="G1860" s="88" t="str">
        <f>VLOOKUP($B1860,[1]DG!A:D,[1]DG!$D$2,)</f>
        <v>cái</v>
      </c>
      <c r="H1860" s="145">
        <f>H1856*2*7</f>
        <v>0</v>
      </c>
      <c r="I1860" s="91">
        <f t="shared" si="78"/>
        <v>0</v>
      </c>
      <c r="J1860" s="146"/>
      <c r="K1860" s="146"/>
      <c r="L1860" s="96"/>
      <c r="M1860" s="56">
        <v>400</v>
      </c>
    </row>
    <row r="1861" spans="1:13" s="51" customFormat="1" ht="25.2" hidden="1" customHeight="1">
      <c r="A1861" s="68">
        <f t="shared" si="77"/>
        <v>0</v>
      </c>
      <c r="B1861" s="69" t="s">
        <v>522</v>
      </c>
      <c r="C1861" s="69"/>
      <c r="D1861" s="87"/>
      <c r="E1861" s="88">
        <f>VLOOKUP($B1861,[1]DG!A:D,[1]DG!$B$2,)</f>
        <v>0</v>
      </c>
      <c r="F1861" s="89" t="str">
        <f>VLOOKUP($B1861,[1]DG!A:D,[1]DG!$C$2,)&amp;": "</f>
        <v xml:space="preserve">Chụp đầu cosse  200mm2: </v>
      </c>
      <c r="G1861" s="88" t="str">
        <f>VLOOKUP($B1861,[1]DG!A:D,[1]DG!$D$2,)</f>
        <v>cái</v>
      </c>
      <c r="H1861" s="145">
        <f>H1860</f>
        <v>0</v>
      </c>
      <c r="I1861" s="91">
        <f t="shared" si="78"/>
        <v>0</v>
      </c>
      <c r="J1861" s="146"/>
      <c r="K1861" s="146"/>
      <c r="L1861" s="96"/>
      <c r="M1861" s="56">
        <v>400</v>
      </c>
    </row>
    <row r="1862" spans="1:13" s="51" customFormat="1" ht="25.2" hidden="1" customHeight="1">
      <c r="A1862" s="68">
        <f t="shared" si="77"/>
        <v>0</v>
      </c>
      <c r="B1862" s="69" t="s">
        <v>144</v>
      </c>
      <c r="C1862" s="69"/>
      <c r="D1862" s="87"/>
      <c r="E1862" s="88">
        <f>VLOOKUP($B1862,[1]DG!A:D,[1]DG!$B$2,)</f>
        <v>0</v>
      </c>
      <c r="F1862" s="89" t="str">
        <f>VLOOKUP($B1862,[1]DG!A:D,[1]DG!$C$2,)</f>
        <v xml:space="preserve">Ống PVC D114x4,9mm </v>
      </c>
      <c r="G1862" s="88" t="str">
        <f>VLOOKUP($B1862,[1]DG!A:D,[1]DG!$D$2,)</f>
        <v>m</v>
      </c>
      <c r="H1862" s="145"/>
      <c r="I1862" s="91">
        <f t="shared" si="78"/>
        <v>0</v>
      </c>
      <c r="J1862" s="146"/>
      <c r="K1862" s="146"/>
      <c r="L1862" s="96"/>
      <c r="M1862" s="56">
        <v>400</v>
      </c>
    </row>
    <row r="1863" spans="1:13" s="51" customFormat="1" ht="25.2" hidden="1" customHeight="1">
      <c r="A1863" s="68">
        <f t="shared" si="77"/>
        <v>0</v>
      </c>
      <c r="B1863" s="86" t="s">
        <v>435</v>
      </c>
      <c r="C1863" s="86"/>
      <c r="D1863" s="87"/>
      <c r="E1863" s="88" t="str">
        <f>VLOOKUP($B1863,[1]DG!A:D,[1]DG!$B$2,)</f>
        <v>06.3231</v>
      </c>
      <c r="F1863" s="89" t="str">
        <f>VLOOKUP($B1863,[1]DG!A:D,[1]DG!$C$2,)&amp;": CD-250"</f>
        <v>Cổ dê kẹp ống PVC Ø 114: CD-250</v>
      </c>
      <c r="G1863" s="88" t="s">
        <v>375</v>
      </c>
      <c r="H1863" s="145">
        <f>H1856*1</f>
        <v>0</v>
      </c>
      <c r="I1863" s="91">
        <f t="shared" si="78"/>
        <v>0</v>
      </c>
      <c r="J1863" s="146"/>
      <c r="K1863" s="146"/>
      <c r="L1863" s="96"/>
      <c r="M1863" s="56">
        <v>400</v>
      </c>
    </row>
    <row r="1864" spans="1:13" s="51" customFormat="1" ht="25.2" hidden="1" customHeight="1">
      <c r="A1864" s="68">
        <f t="shared" si="77"/>
        <v>0</v>
      </c>
      <c r="B1864" s="86" t="s">
        <v>435</v>
      </c>
      <c r="C1864" s="86"/>
      <c r="D1864" s="87"/>
      <c r="E1864" s="88" t="str">
        <f>VLOOKUP($B1864,[1]DG!A:D,[1]DG!$B$2,)</f>
        <v>06.3231</v>
      </c>
      <c r="F1864" s="89" t="str">
        <f>VLOOKUP($B1864,[1]DG!A:D,[1]DG!$C$2,)&amp;": CD-280"</f>
        <v>Cổ dê kẹp ống PVC Ø 114: CD-280</v>
      </c>
      <c r="G1864" s="88" t="s">
        <v>375</v>
      </c>
      <c r="H1864" s="145">
        <f>H1856*1</f>
        <v>0</v>
      </c>
      <c r="I1864" s="91">
        <f t="shared" si="78"/>
        <v>0</v>
      </c>
      <c r="J1864" s="146"/>
      <c r="K1864" s="146"/>
      <c r="L1864" s="96"/>
      <c r="M1864" s="56">
        <v>400</v>
      </c>
    </row>
    <row r="1865" spans="1:13" s="51" customFormat="1" ht="25.2" hidden="1" customHeight="1">
      <c r="A1865" s="68">
        <f t="shared" si="77"/>
        <v>0</v>
      </c>
      <c r="B1865" s="86" t="s">
        <v>435</v>
      </c>
      <c r="C1865" s="86"/>
      <c r="D1865" s="87"/>
      <c r="E1865" s="88" t="str">
        <f>VLOOKUP($B1865,[1]DG!A:D,[1]DG!$B$2,)</f>
        <v>06.3231</v>
      </c>
      <c r="F1865" s="89" t="str">
        <f>VLOOKUP($B1865,[1]DG!A:D,[1]DG!$C$2,)&amp;": CD-320"</f>
        <v>Cổ dê kẹp ống PVC Ø 114: CD-320</v>
      </c>
      <c r="G1865" s="88" t="s">
        <v>375</v>
      </c>
      <c r="H1865" s="145">
        <f>H1856*1</f>
        <v>0</v>
      </c>
      <c r="I1865" s="91">
        <f t="shared" si="78"/>
        <v>0</v>
      </c>
      <c r="J1865" s="146"/>
      <c r="K1865" s="146"/>
      <c r="L1865" s="96"/>
      <c r="M1865" s="56">
        <v>400</v>
      </c>
    </row>
    <row r="1866" spans="1:13" s="51" customFormat="1" ht="25.2" hidden="1" customHeight="1">
      <c r="A1866" s="68">
        <f t="shared" si="77"/>
        <v>0</v>
      </c>
      <c r="B1866" s="363" t="s">
        <v>135</v>
      </c>
      <c r="C1866" s="363"/>
      <c r="D1866" s="87"/>
      <c r="E1866" s="88">
        <f>VLOOKUP($B1866,[1]DG!A:D,[1]DG!$B$2,)</f>
        <v>0</v>
      </c>
      <c r="F1866" s="89" t="str">
        <f>VLOOKUP($B1866,[1]DG!A:D,[1]DG!$C$2,)&amp;": CD-320"</f>
        <v>Chụp đầu cực FCO (bộ 2 cái): CD-320</v>
      </c>
      <c r="G1866" s="88" t="s">
        <v>375</v>
      </c>
      <c r="H1866" s="145"/>
      <c r="I1866" s="91">
        <f t="shared" si="78"/>
        <v>0</v>
      </c>
      <c r="J1866" s="146"/>
      <c r="K1866" s="146"/>
      <c r="L1866" s="96"/>
      <c r="M1866" s="56">
        <v>400</v>
      </c>
    </row>
    <row r="1867" spans="1:13" s="51" customFormat="1" ht="25.2" hidden="1" customHeight="1">
      <c r="A1867" s="68">
        <f t="shared" si="77"/>
        <v>0</v>
      </c>
      <c r="B1867" s="363" t="s">
        <v>136</v>
      </c>
      <c r="C1867" s="363"/>
      <c r="D1867" s="87"/>
      <c r="E1867" s="88">
        <f>VLOOKUP($B1867,[1]DG!A:D,[1]DG!$B$2,)</f>
        <v>0</v>
      </c>
      <c r="F1867" s="89" t="str">
        <f>VLOOKUP($B1867,[1]DG!A:D,[1]DG!$C$2,)&amp;": CD-320"</f>
        <v>Chụp đầu cực LA: CD-320</v>
      </c>
      <c r="G1867" s="88" t="s">
        <v>375</v>
      </c>
      <c r="H1867" s="145"/>
      <c r="I1867" s="91">
        <f t="shared" si="78"/>
        <v>0</v>
      </c>
      <c r="J1867" s="146"/>
      <c r="K1867" s="146"/>
      <c r="L1867" s="96"/>
      <c r="M1867" s="56">
        <v>400</v>
      </c>
    </row>
    <row r="1868" spans="1:13" s="51" customFormat="1" ht="25.2" hidden="1" customHeight="1">
      <c r="A1868" s="68">
        <f t="shared" si="77"/>
        <v>0</v>
      </c>
      <c r="B1868" s="363" t="s">
        <v>137</v>
      </c>
      <c r="C1868" s="363"/>
      <c r="D1868" s="87"/>
      <c r="E1868" s="88">
        <f>VLOOKUP($B1868,[1]DG!A:D,[1]DG!$B$2,)</f>
        <v>0</v>
      </c>
      <c r="F1868" s="89" t="str">
        <f>VLOOKUP($B1868,[1]DG!A:D,[1]DG!$C$2,)&amp;": CD-320"</f>
        <v>Chụp đầu MBA: CD-320</v>
      </c>
      <c r="G1868" s="88" t="s">
        <v>375</v>
      </c>
      <c r="H1868" s="145"/>
      <c r="I1868" s="91">
        <f t="shared" si="78"/>
        <v>0</v>
      </c>
      <c r="J1868" s="146"/>
      <c r="K1868" s="146"/>
      <c r="L1868" s="96"/>
      <c r="M1868" s="56">
        <v>400</v>
      </c>
    </row>
    <row r="1869" spans="1:13" s="51" customFormat="1" ht="25.2" hidden="1" customHeight="1">
      <c r="A1869" s="68">
        <f t="shared" si="77"/>
        <v>0</v>
      </c>
      <c r="B1869" s="86" t="s">
        <v>87</v>
      </c>
      <c r="C1869" s="86"/>
      <c r="D1869" s="87"/>
      <c r="E1869" s="88" t="str">
        <f>VLOOKUP($B1869,[1]DG!A:D,[1]DG!$B$2,)</f>
        <v>06.2110</v>
      </c>
      <c r="F1869" s="89" t="str">
        <f>VLOOKUP($B1869,[1]DG!A:D,[1]DG!$C$2,)</f>
        <v>Lắp cổ dề</v>
      </c>
      <c r="G1869" s="88" t="str">
        <f>VLOOKUP($B1869,[1]DG!A:D,[1]DG!$D$2,)</f>
        <v>bộ</v>
      </c>
      <c r="H1869" s="145">
        <f>H1856*3</f>
        <v>0</v>
      </c>
      <c r="I1869" s="91">
        <f t="shared" si="78"/>
        <v>0</v>
      </c>
      <c r="J1869" s="146"/>
      <c r="K1869" s="146"/>
      <c r="L1869" s="96"/>
      <c r="M1869" s="56">
        <v>400</v>
      </c>
    </row>
    <row r="1870" spans="1:13" s="51" customFormat="1" ht="25.2" hidden="1" customHeight="1">
      <c r="A1870" s="68">
        <f t="shared" si="77"/>
        <v>0</v>
      </c>
      <c r="B1870" s="69" t="s">
        <v>217</v>
      </c>
      <c r="C1870" s="69"/>
      <c r="D1870" s="87"/>
      <c r="E1870" s="88">
        <f>VLOOKUP($B1870,[1]DG!A:D,[1]DG!$B$2,)</f>
        <v>0</v>
      </c>
      <c r="F1870" s="89" t="str">
        <f>VLOOKUP($B1870,[1]DG!A:D,[1]DG!$C$2,)</f>
        <v>Khâu ven răng trong D114</v>
      </c>
      <c r="G1870" s="88" t="str">
        <f>VLOOKUP($B1870,[1]DG!A:D,[1]DG!$D$2,)</f>
        <v>cái</v>
      </c>
      <c r="H1870" s="145">
        <f>H1856*2</f>
        <v>0</v>
      </c>
      <c r="I1870" s="91">
        <f t="shared" si="78"/>
        <v>0</v>
      </c>
      <c r="J1870" s="146"/>
      <c r="K1870" s="146"/>
      <c r="L1870" s="96"/>
      <c r="M1870" s="56">
        <v>400</v>
      </c>
    </row>
    <row r="1871" spans="1:13" s="51" customFormat="1" ht="25.2" hidden="1" customHeight="1">
      <c r="A1871" s="68">
        <f t="shared" si="77"/>
        <v>0</v>
      </c>
      <c r="B1871" s="69" t="s">
        <v>218</v>
      </c>
      <c r="C1871" s="69"/>
      <c r="D1871" s="87"/>
      <c r="E1871" s="88">
        <f>VLOOKUP($B1871,[1]DG!A:D,[1]DG!$B$2,)</f>
        <v>0</v>
      </c>
      <c r="F1871" s="89" t="str">
        <f>VLOOKUP($B1871,[1]DG!A:D,[1]DG!$C$2,)&amp;": "</f>
        <v xml:space="preserve">Khâu ven răng ngoài D114: </v>
      </c>
      <c r="G1871" s="88" t="str">
        <f>VLOOKUP($B1871,[1]DG!A:D,[1]DG!$D$2,)</f>
        <v>cái</v>
      </c>
      <c r="H1871" s="145">
        <f>H1870</f>
        <v>0</v>
      </c>
      <c r="I1871" s="91">
        <f t="shared" si="78"/>
        <v>0</v>
      </c>
      <c r="J1871" s="146"/>
      <c r="K1871" s="146"/>
      <c r="L1871" s="96"/>
      <c r="M1871" s="56">
        <v>400</v>
      </c>
    </row>
    <row r="1872" spans="1:13" s="51" customFormat="1" ht="25.2" hidden="1" customHeight="1">
      <c r="A1872" s="68">
        <f t="shared" si="77"/>
        <v>0</v>
      </c>
      <c r="B1872" s="69" t="s">
        <v>114</v>
      </c>
      <c r="C1872" s="69"/>
      <c r="D1872" s="87"/>
      <c r="E1872" s="88">
        <f>VLOOKUP($B1872,[1]DG!A:D,[1]DG!$B$2,)</f>
        <v>0</v>
      </c>
      <c r="F1872" s="89" t="str">
        <f>VLOOKUP($B1872,[1]DG!A:D,[1]DG!$C$2,)&amp;": "</f>
        <v xml:space="preserve">Keo dán ống PVC (100gr): </v>
      </c>
      <c r="G1872" s="88" t="str">
        <f>VLOOKUP($B1872,[1]DG!A:D,[1]DG!$D$2,)</f>
        <v>tuýp</v>
      </c>
      <c r="H1872" s="145">
        <f>H1856</f>
        <v>0</v>
      </c>
      <c r="I1872" s="91">
        <f t="shared" si="78"/>
        <v>0</v>
      </c>
      <c r="J1872" s="146"/>
      <c r="K1872" s="146"/>
      <c r="L1872" s="96"/>
      <c r="M1872" s="56">
        <v>400</v>
      </c>
    </row>
    <row r="1873" spans="1:13" s="51" customFormat="1" ht="25.2" hidden="1" customHeight="1">
      <c r="A1873" s="68">
        <f t="shared" si="77"/>
        <v>0</v>
      </c>
      <c r="B1873" s="86" t="s">
        <v>436</v>
      </c>
      <c r="C1873" s="86"/>
      <c r="D1873" s="87"/>
      <c r="E1873" s="88"/>
      <c r="F1873" s="89" t="str">
        <f>VLOOKUP($B1873,[1]DG!A:D,[1]DG!$C$2,)&amp;":"</f>
        <v>Keo silicon bít miệng ống:</v>
      </c>
      <c r="G1873" s="88" t="str">
        <f>VLOOKUP($B1873,[1]DG!A:D,[1]DG!$D$2,)</f>
        <v>ống</v>
      </c>
      <c r="H1873" s="145">
        <f>H1872</f>
        <v>0</v>
      </c>
      <c r="I1873" s="91">
        <f t="shared" si="78"/>
        <v>0</v>
      </c>
      <c r="J1873" s="146"/>
      <c r="K1873" s="146"/>
      <c r="L1873" s="117"/>
      <c r="M1873" s="56">
        <v>400</v>
      </c>
    </row>
    <row r="1874" spans="1:13" s="51" customFormat="1" ht="25.2" hidden="1" customHeight="1">
      <c r="A1874" s="68">
        <f t="shared" si="77"/>
        <v>0</v>
      </c>
      <c r="B1874" s="86" t="s">
        <v>148</v>
      </c>
      <c r="C1874" s="86"/>
      <c r="D1874" s="87"/>
      <c r="E1874" s="88">
        <f>VLOOKUP($B1874,[1]DG!A:D,[1]DG!$B$2,)</f>
        <v>0</v>
      </c>
      <c r="F1874" s="89" t="str">
        <f>VLOOKUP($B1874,[1]DG!A:D,[1]DG!$C$2,)&amp;":"</f>
        <v>Băng keo cách điện:</v>
      </c>
      <c r="G1874" s="88" t="str">
        <f>VLOOKUP($B1874,[1]DG!A:D,[1]DG!$D$2,)</f>
        <v>cuộn</v>
      </c>
      <c r="H1874" s="145">
        <f>H1873</f>
        <v>0</v>
      </c>
      <c r="I1874" s="91">
        <f t="shared" si="78"/>
        <v>0</v>
      </c>
      <c r="J1874" s="146"/>
      <c r="K1874" s="146"/>
      <c r="L1874" s="96"/>
      <c r="M1874" s="56">
        <v>400</v>
      </c>
    </row>
    <row r="1875" spans="1:13" s="51" customFormat="1" ht="25.2" hidden="1" customHeight="1">
      <c r="A1875" s="68">
        <f t="shared" si="77"/>
        <v>0</v>
      </c>
      <c r="B1875" s="86" t="s">
        <v>438</v>
      </c>
      <c r="C1875" s="86"/>
      <c r="D1875" s="87"/>
      <c r="E1875" s="88" t="str">
        <f>VLOOKUP($B1875,[1]DG!A:D,[1]DG!$B$2,)</f>
        <v>04.4203</v>
      </c>
      <c r="F1875" s="89" t="str">
        <f>VLOOKUP($B1875,[1]DG!A:D,[1]DG!$C$2,)&amp;":"</f>
        <v>Lắp cáp đồng xuống thiết bị D &gt; 150mm2:</v>
      </c>
      <c r="G1875" s="88" t="str">
        <f>VLOOKUP($B1875,[1]DG!A:D,[1]DG!$D$2,)</f>
        <v>m</v>
      </c>
      <c r="H1875" s="145">
        <f>H1858+H1859</f>
        <v>0</v>
      </c>
      <c r="I1875" s="91">
        <f t="shared" si="78"/>
        <v>0</v>
      </c>
      <c r="J1875" s="146"/>
      <c r="K1875" s="146"/>
      <c r="L1875" s="96"/>
      <c r="M1875" s="56">
        <v>400</v>
      </c>
    </row>
    <row r="1876" spans="1:13" s="51" customFormat="1" ht="25.2" hidden="1" customHeight="1">
      <c r="A1876" s="68">
        <f t="shared" si="77"/>
        <v>0</v>
      </c>
      <c r="B1876" s="86"/>
      <c r="C1876" s="86"/>
      <c r="D1876" s="220">
        <f>IF(H1876&gt;0,D1856+1,D1856)</f>
        <v>0</v>
      </c>
      <c r="E1876" s="238"/>
      <c r="F1876" s="247" t="s">
        <v>327</v>
      </c>
      <c r="G1876" s="220" t="s">
        <v>67</v>
      </c>
      <c r="H1876" s="337"/>
      <c r="I1876" s="91">
        <f t="shared" si="78"/>
        <v>0</v>
      </c>
      <c r="J1876" s="146"/>
      <c r="K1876" s="146"/>
      <c r="L1876" s="96"/>
      <c r="M1876" s="56">
        <v>400</v>
      </c>
    </row>
    <row r="1877" spans="1:13" s="147" customFormat="1" ht="25.2" hidden="1" customHeight="1">
      <c r="A1877" s="68">
        <f>IF(A1876&gt;0,1,0)</f>
        <v>0</v>
      </c>
      <c r="B1877" s="338"/>
      <c r="C1877" s="338"/>
      <c r="D1877" s="111"/>
      <c r="E1877" s="242"/>
      <c r="F1877" s="248" t="s">
        <v>68</v>
      </c>
      <c r="G1877" s="111"/>
      <c r="H1877" s="244"/>
      <c r="I1877" s="91">
        <f t="shared" si="78"/>
        <v>0</v>
      </c>
      <c r="J1877" s="146"/>
      <c r="K1877" s="146"/>
      <c r="L1877" s="96"/>
      <c r="M1877" s="56">
        <v>400</v>
      </c>
    </row>
    <row r="1878" spans="1:13" s="51" customFormat="1" ht="25.2" hidden="1" customHeight="1">
      <c r="A1878" s="68">
        <f t="shared" si="77"/>
        <v>0</v>
      </c>
      <c r="B1878" s="69" t="s">
        <v>273</v>
      </c>
      <c r="C1878" s="69"/>
      <c r="D1878" s="96"/>
      <c r="E1878" s="88" t="str">
        <f>VLOOKUP($B1878,[1]DG!A:D,[1]DG!$B$2,)</f>
        <v>03.1401</v>
      </c>
      <c r="F1878" s="92" t="str">
        <f>VLOOKUP($B1878,[1]DG!A:D,[1]DG!$C$2,)</f>
        <v xml:space="preserve">Cáp CVV 4x2,5mm2  </v>
      </c>
      <c r="G1878" s="339" t="str">
        <f>VLOOKUP($B1878,[1]DG!A:D,[1]DG!$D$2,)</f>
        <v>mét</v>
      </c>
      <c r="H1878" s="145">
        <f>H1876*26</f>
        <v>0</v>
      </c>
      <c r="I1878" s="91">
        <f t="shared" si="78"/>
        <v>0</v>
      </c>
      <c r="J1878" s="95"/>
      <c r="K1878" s="95"/>
      <c r="L1878" s="96"/>
      <c r="M1878" s="56">
        <v>400</v>
      </c>
    </row>
    <row r="1879" spans="1:13" s="51" customFormat="1" ht="25.2" hidden="1" customHeight="1">
      <c r="A1879" s="68">
        <f t="shared" si="77"/>
        <v>0</v>
      </c>
      <c r="B1879" s="69" t="s">
        <v>440</v>
      </c>
      <c r="C1879" s="69"/>
      <c r="D1879" s="96"/>
      <c r="E1879" s="88" t="str">
        <f>VLOOKUP($B1879,[1]DG!A:D,[1]DG!$B$2,)</f>
        <v>05.6101</v>
      </c>
      <c r="F1879" s="92" t="str">
        <f>VLOOKUP($B1879,[1]DG!A:D,[1]DG!$C$2,)</f>
        <v>Xà kẹp TU, TI U50x32x4 350</v>
      </c>
      <c r="G1879" s="339" t="str">
        <f>VLOOKUP($B1879,[1]DG!A:D,[1]DG!$D$2,)</f>
        <v>Bộ</v>
      </c>
      <c r="H1879" s="145">
        <f>H1876*24</f>
        <v>0</v>
      </c>
      <c r="I1879" s="91">
        <f t="shared" si="78"/>
        <v>0</v>
      </c>
      <c r="J1879" s="95"/>
      <c r="K1879" s="95"/>
      <c r="L1879" s="96"/>
      <c r="M1879" s="56">
        <v>400</v>
      </c>
    </row>
    <row r="1880" spans="1:13" s="51" customFormat="1" ht="25.2" hidden="1" customHeight="1">
      <c r="A1880" s="68">
        <f t="shared" si="77"/>
        <v>0</v>
      </c>
      <c r="B1880" s="69" t="s">
        <v>126</v>
      </c>
      <c r="C1880" s="69"/>
      <c r="D1880" s="96"/>
      <c r="E1880" s="88" t="str">
        <f>VLOOKUP($B1880,[1]DG!A:D,[1]DG!$B$2,)</f>
        <v>05.6401</v>
      </c>
      <c r="F1880" s="92" t="str">
        <f>VLOOKUP($B1880,[1]DG!A:D,[1]DG!$C$2,)</f>
        <v>Lắp xà đỡ ≤ 25kg</v>
      </c>
      <c r="G1880" s="339" t="str">
        <f>VLOOKUP($B1880,[1]DG!A:D,[1]DG!$D$2,)</f>
        <v>bộ</v>
      </c>
      <c r="H1880" s="145">
        <f>H1876</f>
        <v>0</v>
      </c>
      <c r="I1880" s="91">
        <f t="shared" si="78"/>
        <v>0</v>
      </c>
      <c r="J1880" s="95"/>
      <c r="K1880" s="95"/>
      <c r="L1880" s="96"/>
      <c r="M1880" s="56">
        <v>400</v>
      </c>
    </row>
    <row r="1881" spans="1:13" s="51" customFormat="1" ht="25.2" hidden="1" customHeight="1">
      <c r="A1881" s="68">
        <f t="shared" si="77"/>
        <v>0</v>
      </c>
      <c r="B1881" s="69" t="s">
        <v>441</v>
      </c>
      <c r="C1881" s="69"/>
      <c r="D1881" s="87"/>
      <c r="E1881" s="88" t="str">
        <f>VLOOKUP($B1881,[1]DG!A:D,[1]DG!$B$2,)</f>
        <v>03.4001</v>
      </c>
      <c r="F1881" s="92" t="str">
        <f>VLOOKUP($B1881,[1]DG!A:D,[1]DG!$C$2,)</f>
        <v xml:space="preserve">Đầu cosse ép Cu 2,5mm2 + bao PVC </v>
      </c>
      <c r="G1881" s="339" t="str">
        <f>VLOOKUP($B1881,[1]DG!A:D,[1]DG!$D$2,)</f>
        <v>cái</v>
      </c>
      <c r="H1881" s="145">
        <f>H1876*16</f>
        <v>0</v>
      </c>
      <c r="I1881" s="91">
        <f t="shared" si="78"/>
        <v>0</v>
      </c>
      <c r="J1881" s="95"/>
      <c r="K1881" s="95"/>
      <c r="L1881" s="96"/>
      <c r="M1881" s="56">
        <v>400</v>
      </c>
    </row>
    <row r="1882" spans="1:13" s="51" customFormat="1" ht="25.2" hidden="1" customHeight="1">
      <c r="A1882" s="68">
        <f t="shared" si="77"/>
        <v>0</v>
      </c>
      <c r="B1882" s="69" t="s">
        <v>442</v>
      </c>
      <c r="C1882" s="69"/>
      <c r="D1882" s="87"/>
      <c r="E1882" s="88">
        <f>VLOOKUP($B1882,[1]DG!A:D,[1]DG!$B$2,)</f>
        <v>0</v>
      </c>
      <c r="F1882" s="92" t="str">
        <f>VLOOKUP($B1882,[1]DG!A:D,[1]DG!$C$2,)</f>
        <v>Dây điện đôi 16/10</v>
      </c>
      <c r="G1882" s="339" t="str">
        <f>VLOOKUP($B1882,[1]DG!A:D,[1]DG!$D$2,)</f>
        <v>mét</v>
      </c>
      <c r="H1882" s="145">
        <f>2*H1876</f>
        <v>0</v>
      </c>
      <c r="I1882" s="91">
        <f t="shared" si="78"/>
        <v>0</v>
      </c>
      <c r="J1882" s="95"/>
      <c r="K1882" s="95"/>
      <c r="L1882" s="96"/>
      <c r="M1882" s="56">
        <v>400</v>
      </c>
    </row>
    <row r="1883" spans="1:13" s="51" customFormat="1" ht="25.2" hidden="1" customHeight="1">
      <c r="A1883" s="68">
        <f t="shared" si="77"/>
        <v>0</v>
      </c>
      <c r="B1883" s="69" t="s">
        <v>85</v>
      </c>
      <c r="C1883" s="69"/>
      <c r="D1883" s="87"/>
      <c r="E1883" s="88">
        <f>VLOOKUP($B1883,[1]DG!A:D,[1]DG!$B$2,)</f>
        <v>0</v>
      </c>
      <c r="F1883" s="92" t="str">
        <f>VLOOKUP($B1883,[1]DG!A:D,[1]DG!$C$2,)&amp;" (ñaáu TU )"</f>
        <v>Kẹp ép cỡ dây 25mm2 (ñaáu TU )</v>
      </c>
      <c r="G1883" s="339" t="str">
        <f>VLOOKUP($B1883,[1]DG!A:D,[1]DG!$D$2,)</f>
        <v>cái</v>
      </c>
      <c r="H1883" s="145">
        <f>+H1876*3</f>
        <v>0</v>
      </c>
      <c r="I1883" s="91">
        <f t="shared" si="78"/>
        <v>0</v>
      </c>
      <c r="J1883" s="95"/>
      <c r="K1883" s="95"/>
      <c r="L1883" s="96"/>
      <c r="M1883" s="56">
        <v>400</v>
      </c>
    </row>
    <row r="1884" spans="1:13" s="51" customFormat="1" ht="25.2" hidden="1" customHeight="1">
      <c r="A1884" s="68">
        <f t="shared" si="77"/>
        <v>0</v>
      </c>
      <c r="B1884" s="69" t="s">
        <v>426</v>
      </c>
      <c r="C1884" s="69"/>
      <c r="D1884" s="87"/>
      <c r="E1884" s="88" t="str">
        <f>VLOOKUP($B1884,[1]DG!A:D,[1]DG!$B$2,)</f>
        <v>07.2403</v>
      </c>
      <c r="F1884" s="92" t="str">
        <f>VLOOKUP($B1884,[1]DG!A:D,[1]DG!$C$2,)</f>
        <v>Ống PVC D42x2,1mm</v>
      </c>
      <c r="G1884" s="339" t="str">
        <f>VLOOKUP($B1884,[1]DG!A:D,[1]DG!$D$2,)</f>
        <v>m</v>
      </c>
      <c r="H1884" s="145">
        <f>H1876*16</f>
        <v>0</v>
      </c>
      <c r="I1884" s="91">
        <f t="shared" si="78"/>
        <v>0</v>
      </c>
      <c r="J1884" s="95"/>
      <c r="K1884" s="95"/>
      <c r="L1884" s="96"/>
      <c r="M1884" s="56">
        <v>400</v>
      </c>
    </row>
    <row r="1885" spans="1:13" s="51" customFormat="1" ht="25.2" hidden="1" customHeight="1">
      <c r="A1885" s="68">
        <f t="shared" si="77"/>
        <v>0</v>
      </c>
      <c r="B1885" s="86" t="s">
        <v>443</v>
      </c>
      <c r="C1885" s="86"/>
      <c r="D1885" s="87"/>
      <c r="E1885" s="88" t="str">
        <f>VLOOKUP($B1885,[1]DG!A:D,[1]DG!$B$2,)</f>
        <v>06.3231</v>
      </c>
      <c r="F1885" s="92" t="str">
        <f>VLOOKUP($B1885,[1]DG!A:D,[1]DG!$C$2,)</f>
        <v>Cổ dê giữ ống PVC D42</v>
      </c>
      <c r="G1885" s="339" t="s">
        <v>375</v>
      </c>
      <c r="H1885" s="145">
        <f>3*H1876</f>
        <v>0</v>
      </c>
      <c r="I1885" s="91">
        <f t="shared" si="78"/>
        <v>0</v>
      </c>
      <c r="J1885" s="95"/>
      <c r="K1885" s="95"/>
      <c r="L1885" s="96"/>
      <c r="M1885" s="56">
        <v>400</v>
      </c>
    </row>
    <row r="1886" spans="1:13" s="51" customFormat="1" ht="25.2" hidden="1" customHeight="1">
      <c r="A1886" s="68">
        <f t="shared" si="77"/>
        <v>0</v>
      </c>
      <c r="B1886" s="69" t="s">
        <v>444</v>
      </c>
      <c r="C1886" s="69"/>
      <c r="D1886" s="87"/>
      <c r="E1886" s="88">
        <f>VLOOKUP($B1886,[1]DG!A:D,[1]DG!$B$2,)</f>
        <v>0</v>
      </c>
      <c r="F1886" s="92" t="str">
        <f>VLOOKUP($B1886,[1]DG!A:D,[1]DG!$C$2,)</f>
        <v>Co 90 độ PVC 42</v>
      </c>
      <c r="G1886" s="339" t="str">
        <f>VLOOKUP($B1886,[1]DG!A:D,[1]DG!$D$2,)</f>
        <v>cái</v>
      </c>
      <c r="H1886" s="145">
        <f>H1876*5</f>
        <v>0</v>
      </c>
      <c r="I1886" s="91">
        <f t="shared" si="78"/>
        <v>0</v>
      </c>
      <c r="J1886" s="95"/>
      <c r="K1886" s="95"/>
      <c r="L1886" s="96"/>
      <c r="M1886" s="56">
        <v>400</v>
      </c>
    </row>
    <row r="1887" spans="1:13" s="51" customFormat="1" ht="25.2" hidden="1" customHeight="1">
      <c r="A1887" s="68">
        <f t="shared" ref="A1887:A1950" si="79">IF(I1887&gt;0,1,0)</f>
        <v>0</v>
      </c>
      <c r="B1887" s="69" t="s">
        <v>427</v>
      </c>
      <c r="C1887" s="69"/>
      <c r="D1887" s="87"/>
      <c r="E1887" s="88">
        <f>VLOOKUP($B1887,[1]DG!A:D,[1]DG!$B$2,)</f>
        <v>0</v>
      </c>
      <c r="F1887" s="92" t="str">
        <f>VLOOKUP($B1887,[1]DG!A:D,[1]DG!$C$2,)</f>
        <v>Co chữ T ống PVC 42</v>
      </c>
      <c r="G1887" s="339" t="str">
        <f>VLOOKUP($B1887,[1]DG!A:D,[1]DG!$D$2,)</f>
        <v>cái</v>
      </c>
      <c r="H1887" s="145">
        <f>H1876*5</f>
        <v>0</v>
      </c>
      <c r="I1887" s="91">
        <f t="shared" si="78"/>
        <v>0</v>
      </c>
      <c r="J1887" s="95"/>
      <c r="K1887" s="95"/>
      <c r="L1887" s="96"/>
      <c r="M1887" s="56">
        <v>400</v>
      </c>
    </row>
    <row r="1888" spans="1:13" s="51" customFormat="1" ht="25.2" hidden="1" customHeight="1">
      <c r="A1888" s="68">
        <f t="shared" si="79"/>
        <v>0</v>
      </c>
      <c r="B1888" s="69" t="s">
        <v>445</v>
      </c>
      <c r="C1888" s="69"/>
      <c r="D1888" s="87"/>
      <c r="E1888" s="88">
        <f>VLOOKUP($B1888,[1]DG!A:D,[1]DG!$B$2,)</f>
        <v>0</v>
      </c>
      <c r="F1888" s="92" t="str">
        <f>VLOOKUP($B1888,[1]DG!A:D,[1]DG!$C$2,)</f>
        <v>Nối thẳng ống PVC 42</v>
      </c>
      <c r="G1888" s="339" t="str">
        <f>VLOOKUP($B1888,[1]DG!A:D,[1]DG!$D$2,)</f>
        <v>cái</v>
      </c>
      <c r="H1888" s="145">
        <f>H1876</f>
        <v>0</v>
      </c>
      <c r="I1888" s="91">
        <f t="shared" si="78"/>
        <v>0</v>
      </c>
      <c r="J1888" s="95"/>
      <c r="K1888" s="95"/>
      <c r="L1888" s="96"/>
      <c r="M1888" s="56">
        <v>400</v>
      </c>
    </row>
    <row r="1889" spans="1:13" s="51" customFormat="1" ht="25.2" hidden="1" customHeight="1">
      <c r="A1889" s="68">
        <f t="shared" si="79"/>
        <v>0</v>
      </c>
      <c r="B1889" s="69" t="s">
        <v>446</v>
      </c>
      <c r="C1889" s="69"/>
      <c r="D1889" s="87"/>
      <c r="E1889" s="88">
        <f>VLOOKUP($B1889,[1]DG!A:D,[1]DG!$B$2,)</f>
        <v>0</v>
      </c>
      <c r="F1889" s="92" t="str">
        <f>VLOOKUP($B1889,[1]DG!A:D,[1]DG!$C$2,)</f>
        <v>Keo dán ống PVC (500gr)</v>
      </c>
      <c r="G1889" s="339" t="str">
        <f>VLOOKUP($B1889,[1]DG!A:D,[1]DG!$D$2,)</f>
        <v>lon</v>
      </c>
      <c r="H1889" s="145">
        <f>H1876</f>
        <v>0</v>
      </c>
      <c r="I1889" s="91">
        <f t="shared" si="78"/>
        <v>0</v>
      </c>
      <c r="J1889" s="95"/>
      <c r="K1889" s="95"/>
      <c r="L1889" s="96"/>
      <c r="M1889" s="56">
        <v>400</v>
      </c>
    </row>
    <row r="1890" spans="1:13" s="51" customFormat="1" ht="25.2" hidden="1" customHeight="1">
      <c r="A1890" s="68">
        <f t="shared" si="79"/>
        <v>0</v>
      </c>
      <c r="B1890" s="86" t="s">
        <v>148</v>
      </c>
      <c r="C1890" s="86"/>
      <c r="D1890" s="87"/>
      <c r="E1890" s="88">
        <f>VLOOKUP($B1890,[1]DG!A:D,[1]DG!$B$2,)</f>
        <v>0</v>
      </c>
      <c r="F1890" s="92" t="str">
        <f>VLOOKUP($B1890,[1]DG!A:D,[1]DG!$C$2,)</f>
        <v>Băng keo cách điện</v>
      </c>
      <c r="G1890" s="339" t="str">
        <f>VLOOKUP($B1890,[1]DG!A:D,[1]DG!$D$2,)</f>
        <v>cuộn</v>
      </c>
      <c r="H1890" s="145">
        <f>H1876</f>
        <v>0</v>
      </c>
      <c r="I1890" s="91">
        <f t="shared" si="78"/>
        <v>0</v>
      </c>
      <c r="J1890" s="146"/>
      <c r="K1890" s="146"/>
      <c r="L1890" s="96"/>
      <c r="M1890" s="56">
        <v>400</v>
      </c>
    </row>
    <row r="1891" spans="1:13" s="51" customFormat="1" ht="25.2" hidden="1" customHeight="1">
      <c r="A1891" s="68">
        <f t="shared" si="79"/>
        <v>0</v>
      </c>
      <c r="B1891" s="69" t="s">
        <v>428</v>
      </c>
      <c r="C1891" s="69"/>
      <c r="D1891" s="87"/>
      <c r="E1891" s="88">
        <f>VLOOKUP($B1891,[1]DG!A:D,[1]DG!$B$2,)</f>
        <v>0</v>
      </c>
      <c r="F1891" s="92" t="str">
        <f>VLOOKUP($B1891,[1]DG!A:D,[1]DG!$C$2,)</f>
        <v>Khâu ven răng trong D42</v>
      </c>
      <c r="G1891" s="339" t="str">
        <f>VLOOKUP($B1891,[1]DG!A:D,[1]DG!$D$2,)</f>
        <v>cái</v>
      </c>
      <c r="H1891" s="145">
        <f>H1876</f>
        <v>0</v>
      </c>
      <c r="I1891" s="91">
        <f t="shared" si="78"/>
        <v>0</v>
      </c>
      <c r="J1891" s="146"/>
      <c r="K1891" s="146"/>
      <c r="L1891" s="96"/>
      <c r="M1891" s="56">
        <v>400</v>
      </c>
    </row>
    <row r="1892" spans="1:13" s="51" customFormat="1" ht="25.2" hidden="1" customHeight="1">
      <c r="A1892" s="68">
        <f t="shared" si="79"/>
        <v>0</v>
      </c>
      <c r="B1892" s="86" t="s">
        <v>429</v>
      </c>
      <c r="C1892" s="86"/>
      <c r="D1892" s="87"/>
      <c r="E1892" s="88">
        <f>VLOOKUP($B1892,[1]DG!A:D,[1]DG!$B$2,)</f>
        <v>0</v>
      </c>
      <c r="F1892" s="92" t="str">
        <f>VLOOKUP($B1892,[1]DG!A:D,[1]DG!$C$2,)</f>
        <v>Khâu ven răng ngoài D42</v>
      </c>
      <c r="G1892" s="339" t="str">
        <f>VLOOKUP($B1892,[1]DG!A:D,[1]DG!$D$2,)</f>
        <v>cái</v>
      </c>
      <c r="H1892" s="145">
        <f>H1876</f>
        <v>0</v>
      </c>
      <c r="I1892" s="91">
        <f t="shared" si="78"/>
        <v>0</v>
      </c>
      <c r="J1892" s="146"/>
      <c r="K1892" s="146"/>
      <c r="L1892" s="96"/>
      <c r="M1892" s="56">
        <v>400</v>
      </c>
    </row>
    <row r="1893" spans="1:13" s="51" customFormat="1" ht="25.2" hidden="1" customHeight="1">
      <c r="A1893" s="68">
        <f t="shared" si="79"/>
        <v>0</v>
      </c>
      <c r="B1893" s="86" t="s">
        <v>317</v>
      </c>
      <c r="C1893" s="86"/>
      <c r="D1893" s="87"/>
      <c r="E1893" s="88" t="str">
        <f>VLOOKUP($B1893,[1]DG!A:D,[1]DG!$B$2,)</f>
        <v>06.3231</v>
      </c>
      <c r="F1893" s="92" t="str">
        <f>VLOOKUP($B1893,[1]DG!A:D,[1]DG!$C$2,)</f>
        <v>Cổ dê CDĐKĐT( bắt thùng điện kế)</v>
      </c>
      <c r="G1893" s="339" t="s">
        <v>375</v>
      </c>
      <c r="H1893" s="340">
        <f>H1876*2</f>
        <v>0</v>
      </c>
      <c r="I1893" s="91">
        <f t="shared" si="78"/>
        <v>0</v>
      </c>
      <c r="J1893" s="146"/>
      <c r="K1893" s="146"/>
      <c r="L1893" s="117"/>
      <c r="M1893" s="56">
        <v>400</v>
      </c>
    </row>
    <row r="1894" spans="1:13" s="51" customFormat="1" ht="25.2" hidden="1" customHeight="1">
      <c r="A1894" s="68">
        <f t="shared" si="79"/>
        <v>0</v>
      </c>
      <c r="B1894" s="86" t="s">
        <v>447</v>
      </c>
      <c r="C1894" s="86"/>
      <c r="D1894" s="87"/>
      <c r="E1894" s="88" t="str">
        <f>VLOOKUP($B1894,[1]DG!A:D,[1]DG!$B$2,)</f>
        <v>05.1101</v>
      </c>
      <c r="F1894" s="92" t="str">
        <f>VLOOKUP($B1894,[1]DG!A:D,[1]DG!$C$2,)</f>
        <v>Thùng điện kế 450x300x200mm đo đếm trung thế</v>
      </c>
      <c r="G1894" s="339" t="str">
        <f>VLOOKUP($B1894,[1]DG!A:D,[1]DG!$D$2,)</f>
        <v>cái</v>
      </c>
      <c r="H1894" s="145">
        <f>H1876</f>
        <v>0</v>
      </c>
      <c r="I1894" s="91">
        <f t="shared" si="78"/>
        <v>0</v>
      </c>
      <c r="J1894" s="146"/>
      <c r="K1894" s="146"/>
      <c r="L1894" s="96"/>
      <c r="M1894" s="56">
        <v>400</v>
      </c>
    </row>
    <row r="1895" spans="1:13" s="51" customFormat="1" ht="25.2" hidden="1" customHeight="1">
      <c r="A1895" s="68">
        <f t="shared" si="79"/>
        <v>0</v>
      </c>
      <c r="B1895" s="86" t="s">
        <v>436</v>
      </c>
      <c r="C1895" s="86"/>
      <c r="D1895" s="87"/>
      <c r="E1895" s="88">
        <f>VLOOKUP($B1895,[1]DG!A:D,[1]DG!$B$2,)</f>
        <v>0</v>
      </c>
      <c r="F1895" s="92" t="str">
        <f>VLOOKUP($B1895,[1]DG!A:D,[1]DG!$C$2,)</f>
        <v>Keo silicon bít miệng ống</v>
      </c>
      <c r="G1895" s="339" t="str">
        <f>VLOOKUP($B1895,[1]DG!A:D,[1]DG!$D$2,)</f>
        <v>ống</v>
      </c>
      <c r="H1895" s="145">
        <f>H1876</f>
        <v>0</v>
      </c>
      <c r="I1895" s="91">
        <f t="shared" si="78"/>
        <v>0</v>
      </c>
      <c r="J1895" s="146"/>
      <c r="K1895" s="146"/>
      <c r="L1895" s="96"/>
      <c r="M1895" s="56">
        <v>400</v>
      </c>
    </row>
    <row r="1896" spans="1:13" s="51" customFormat="1" ht="25.2" hidden="1" customHeight="1">
      <c r="A1896" s="68">
        <f t="shared" si="79"/>
        <v>0</v>
      </c>
      <c r="B1896" s="86" t="s">
        <v>448</v>
      </c>
      <c r="C1896" s="86"/>
      <c r="D1896" s="87"/>
      <c r="E1896" s="88">
        <f>VLOOKUP($B1896,[1]DG!A:D,[1]DG!$B$2,)</f>
        <v>0</v>
      </c>
      <c r="F1896" s="92" t="str">
        <f>VLOOKUP($B1896,[1]DG!A:D,[1]DG!$C$2,)</f>
        <v>Dây đồng trần mềm dẹt</v>
      </c>
      <c r="G1896" s="339" t="str">
        <f>VLOOKUP($B1896,[1]DG!A:D,[1]DG!$D$2,)</f>
        <v>mét</v>
      </c>
      <c r="H1896" s="145">
        <f>H1876*4</f>
        <v>0</v>
      </c>
      <c r="I1896" s="91">
        <f t="shared" si="78"/>
        <v>0</v>
      </c>
      <c r="J1896" s="146"/>
      <c r="K1896" s="146"/>
      <c r="L1896" s="96"/>
      <c r="M1896" s="56">
        <v>400</v>
      </c>
    </row>
    <row r="1897" spans="1:13" s="51" customFormat="1" ht="25.2" hidden="1" customHeight="1">
      <c r="A1897" s="68">
        <f t="shared" si="79"/>
        <v>0</v>
      </c>
      <c r="B1897" s="86" t="s">
        <v>449</v>
      </c>
      <c r="C1897" s="86"/>
      <c r="D1897" s="87"/>
      <c r="E1897" s="88" t="str">
        <f>VLOOKUP($B1897,[1]DG!A:D,[1]DG!$B$2,)</f>
        <v>06.3191</v>
      </c>
      <c r="F1897" s="92" t="str">
        <f>VLOOKUP($B1897,[1]DG!A:D,[1]DG!$C$2,)</f>
        <v>Bảng tên trạm, bảng báo nguy hiểm + đinh vít</v>
      </c>
      <c r="G1897" s="339" t="str">
        <f>VLOOKUP($B1897,[1]DG!A:D,[1]DG!$D$2,)</f>
        <v>bộ</v>
      </c>
      <c r="H1897" s="145">
        <f>H1876</f>
        <v>0</v>
      </c>
      <c r="I1897" s="91">
        <f t="shared" si="78"/>
        <v>0</v>
      </c>
      <c r="J1897" s="146"/>
      <c r="K1897" s="146"/>
      <c r="L1897" s="96"/>
      <c r="M1897" s="56">
        <v>400</v>
      </c>
    </row>
    <row r="1898" spans="1:13" s="51" customFormat="1" ht="25.2" hidden="1" customHeight="1">
      <c r="A1898" s="68">
        <f t="shared" si="79"/>
        <v>0</v>
      </c>
      <c r="B1898" s="86" t="s">
        <v>157</v>
      </c>
      <c r="C1898" s="86"/>
      <c r="D1898" s="87"/>
      <c r="E1898" s="88">
        <f>VLOOKUP($B1898,[1]DG!A:D,[1]DG!$B$2,)</f>
        <v>0</v>
      </c>
      <c r="F1898" s="92" t="str">
        <f>VLOOKUP($B1898,[1]DG!A:D,[1]DG!$C$2,)&amp;" baét thuøng ÑKÑT"</f>
        <v>Boulon 12x60+ 2 long đền vuông D14-50x50x3/Zn baét thuøng ÑKÑT</v>
      </c>
      <c r="G1898" s="339" t="str">
        <f>VLOOKUP($B1898,[1]DG!A:D,[1]DG!$D$2,)</f>
        <v>bộ</v>
      </c>
      <c r="H1898" s="145">
        <f>4*H1876*0</f>
        <v>0</v>
      </c>
      <c r="I1898" s="91">
        <f t="shared" si="78"/>
        <v>0</v>
      </c>
      <c r="J1898" s="146"/>
      <c r="K1898" s="146"/>
      <c r="L1898" s="96"/>
      <c r="M1898" s="56">
        <v>400</v>
      </c>
    </row>
    <row r="1899" spans="1:13" s="51" customFormat="1" ht="25.2" hidden="1" customHeight="1">
      <c r="A1899" s="68">
        <f t="shared" si="79"/>
        <v>0</v>
      </c>
      <c r="B1899" s="86"/>
      <c r="C1899" s="86"/>
      <c r="D1899" s="276"/>
      <c r="E1899" s="277"/>
      <c r="F1899" s="267" t="s">
        <v>450</v>
      </c>
      <c r="G1899" s="267"/>
      <c r="H1899" s="191"/>
      <c r="I1899" s="91">
        <f t="shared" si="78"/>
        <v>0</v>
      </c>
      <c r="J1899" s="267"/>
      <c r="K1899" s="267"/>
      <c r="L1899" s="133"/>
      <c r="M1899" s="56">
        <v>400</v>
      </c>
    </row>
    <row r="1900" spans="1:13" s="51" customFormat="1" ht="25.2" hidden="1" customHeight="1">
      <c r="A1900" s="68">
        <f t="shared" si="79"/>
        <v>0</v>
      </c>
      <c r="B1900" s="86" t="s">
        <v>451</v>
      </c>
      <c r="C1900" s="86"/>
      <c r="D1900" s="87"/>
      <c r="E1900" s="88" t="str">
        <f>VLOOKUP($B1900,[1]DG!A:D,[1]DG!$B$2,)</f>
        <v>02.5114</v>
      </c>
      <c r="F1900" s="92" t="s">
        <v>452</v>
      </c>
      <c r="G1900" s="339" t="str">
        <f>VLOOKUP($B1900,[1]DG!A:D,[1]DG!$D$2,)</f>
        <v>cái</v>
      </c>
      <c r="H1900" s="145"/>
      <c r="I1900" s="91">
        <f t="shared" si="78"/>
        <v>0</v>
      </c>
      <c r="J1900" s="146"/>
      <c r="K1900" s="146"/>
      <c r="L1900" s="96" t="s">
        <v>453</v>
      </c>
      <c r="M1900" s="56">
        <v>400</v>
      </c>
    </row>
    <row r="1901" spans="1:13" s="51" customFormat="1" ht="25.2" hidden="1" customHeight="1">
      <c r="A1901" s="68">
        <f t="shared" si="79"/>
        <v>0</v>
      </c>
      <c r="B1901" s="86" t="s">
        <v>454</v>
      </c>
      <c r="C1901" s="86"/>
      <c r="D1901" s="87"/>
      <c r="E1901" s="88" t="str">
        <f>VLOOKUP($B1901,[1]DG!A:D,[1]DG!$B$2,)</f>
        <v>05.6011</v>
      </c>
      <c r="F1901" s="92" t="s">
        <v>455</v>
      </c>
      <c r="G1901" s="339" t="str">
        <f>VLOOKUP($B1901,[1]DG!A:D,[1]DG!$D$2,)</f>
        <v>bộ</v>
      </c>
      <c r="H1901" s="145"/>
      <c r="I1901" s="91">
        <f t="shared" si="78"/>
        <v>0</v>
      </c>
      <c r="J1901" s="146"/>
      <c r="K1901" s="146"/>
      <c r="L1901" s="117"/>
      <c r="M1901" s="56">
        <v>400</v>
      </c>
    </row>
    <row r="1902" spans="1:13" s="51" customFormat="1" ht="25.2" hidden="1" customHeight="1">
      <c r="A1902" s="68">
        <f t="shared" si="79"/>
        <v>0</v>
      </c>
      <c r="B1902" s="86"/>
      <c r="C1902" s="86"/>
      <c r="D1902" s="341"/>
      <c r="E1902" s="296"/>
      <c r="F1902" s="267"/>
      <c r="G1902" s="297"/>
      <c r="H1902" s="298"/>
      <c r="I1902" s="91">
        <f t="shared" si="78"/>
        <v>0</v>
      </c>
      <c r="J1902" s="342"/>
      <c r="K1902" s="343"/>
      <c r="L1902" s="100"/>
      <c r="M1902" s="56"/>
    </row>
    <row r="1903" spans="1:13" s="51" customFormat="1" ht="25.2" hidden="1" customHeight="1">
      <c r="A1903" s="68">
        <f t="shared" si="79"/>
        <v>0</v>
      </c>
      <c r="B1903" s="86"/>
      <c r="C1903" s="86"/>
      <c r="F1903" s="344"/>
      <c r="H1903" s="66"/>
      <c r="I1903" s="91">
        <f t="shared" si="78"/>
        <v>0</v>
      </c>
      <c r="M1903" s="56"/>
    </row>
    <row r="1904" spans="1:13" s="51" customFormat="1" ht="25.2" hidden="1" customHeight="1">
      <c r="A1904" s="68">
        <f t="shared" si="79"/>
        <v>0</v>
      </c>
      <c r="B1904" s="262"/>
      <c r="C1904" s="262"/>
      <c r="D1904" s="263" t="e">
        <f>"BAÛNG TOÅNG HÔÏP VAÄT LIEÄU, NHAÂN COÂNG, MAÙY THI COÂNG : "&amp;#REF!&amp;" TRAÏM 3P_560KVA ÑO ÑEÁM TRUNG THEÁ"</f>
        <v>#REF!</v>
      </c>
      <c r="E1904" s="263"/>
      <c r="F1904" s="263"/>
      <c r="G1904" s="263"/>
      <c r="H1904" s="264"/>
      <c r="I1904" s="91">
        <f t="shared" si="78"/>
        <v>0</v>
      </c>
      <c r="J1904" s="345"/>
      <c r="K1904" s="345"/>
      <c r="L1904" s="346"/>
      <c r="M1904" s="56"/>
    </row>
    <row r="1905" spans="1:13" s="51" customFormat="1" ht="25.2" hidden="1" customHeight="1">
      <c r="A1905" s="68">
        <f t="shared" si="79"/>
        <v>0</v>
      </c>
      <c r="B1905" s="69"/>
      <c r="C1905" s="69"/>
      <c r="D1905" s="265"/>
      <c r="E1905" s="266"/>
      <c r="F1905" s="267" t="s">
        <v>53</v>
      </c>
      <c r="G1905" s="268"/>
      <c r="H1905" s="305"/>
      <c r="I1905" s="91">
        <f t="shared" si="78"/>
        <v>0</v>
      </c>
      <c r="J1905" s="268"/>
      <c r="K1905" s="268"/>
      <c r="L1905" s="100"/>
      <c r="M1905" s="56">
        <v>560</v>
      </c>
    </row>
    <row r="1906" spans="1:13" s="51" customFormat="1" ht="25.2" hidden="1" customHeight="1">
      <c r="A1906" s="68">
        <f t="shared" si="79"/>
        <v>0</v>
      </c>
      <c r="B1906" s="86" t="s">
        <v>523</v>
      </c>
      <c r="C1906" s="86"/>
      <c r="D1906" s="87">
        <f>IF(H1906&gt;0,1,0)</f>
        <v>0</v>
      </c>
      <c r="E1906" s="88" t="str">
        <f>VLOOKUP($B1906,[1]DG!A:D,[1]DG!$B$2,)</f>
        <v>01.1146</v>
      </c>
      <c r="F1906" s="89" t="str">
        <f>VLOOKUP($B1906,[1]DG!A:D,[1]DG!$C$2,)</f>
        <v>Máy biến áp 22/0,4kV- 560kVA</v>
      </c>
      <c r="G1906" s="88" t="str">
        <f>VLOOKUP($B1906,[1]DG!A:D,[1]DG!$D$2,)</f>
        <v>máy</v>
      </c>
      <c r="H1906" s="306">
        <f>L14</f>
        <v>0</v>
      </c>
      <c r="I1906" s="91">
        <f t="shared" si="78"/>
        <v>0</v>
      </c>
      <c r="J1906" s="92"/>
      <c r="K1906" s="92"/>
      <c r="L1906" s="307"/>
      <c r="M1906" s="56">
        <v>560</v>
      </c>
    </row>
    <row r="1907" spans="1:13" s="51" customFormat="1" ht="25.2" hidden="1" customHeight="1">
      <c r="A1907" s="68">
        <f t="shared" si="79"/>
        <v>0</v>
      </c>
      <c r="B1907" s="86" t="s">
        <v>56</v>
      </c>
      <c r="C1907" s="86"/>
      <c r="D1907" s="87">
        <f>IF(H1907&gt;0,D1906+1,D1906)</f>
        <v>0</v>
      </c>
      <c r="E1907" s="88" t="str">
        <f>VLOOKUP($B1907,[1]DG!A:D,[1]DG!$B$2,)</f>
        <v>02.3155</v>
      </c>
      <c r="F1907" s="89" t="str">
        <f>VLOOKUP($B1907,[1]DG!A:D,[1]DG!$C$2,)</f>
        <v>FCO 27kV - 100A</v>
      </c>
      <c r="G1907" s="88" t="str">
        <f>VLOOKUP($B1907,[1]DG!A:D,[1]DG!$D$2,)</f>
        <v>cái</v>
      </c>
      <c r="H1907" s="145">
        <f>H1906*3</f>
        <v>0</v>
      </c>
      <c r="I1907" s="91">
        <f t="shared" si="78"/>
        <v>0</v>
      </c>
      <c r="J1907" s="146"/>
      <c r="K1907" s="146"/>
      <c r="L1907" s="96"/>
      <c r="M1907" s="56">
        <v>560</v>
      </c>
    </row>
    <row r="1908" spans="1:13" s="51" customFormat="1" ht="25.2" hidden="1" customHeight="1">
      <c r="A1908" s="68">
        <f t="shared" si="79"/>
        <v>0</v>
      </c>
      <c r="B1908" s="86" t="s">
        <v>524</v>
      </c>
      <c r="C1908" s="86"/>
      <c r="D1908" s="87">
        <f t="shared" ref="D1908:D1918" si="80">IF(H1908&gt;0,D1907+1,D1907)</f>
        <v>0</v>
      </c>
      <c r="E1908" s="88">
        <f>VLOOKUP($B1908,[1]DG!A:D,[1]DG!$B$2,)</f>
        <v>0</v>
      </c>
      <c r="F1908" s="89" t="str">
        <f>VLOOKUP($B1908,[1]DG!A:D,[1]DG!$C$2,)</f>
        <v>Dây chảy 25K</v>
      </c>
      <c r="G1908" s="88" t="str">
        <f>VLOOKUP($B1908,[1]DG!A:D,[1]DG!$D$2,)</f>
        <v>Sợi</v>
      </c>
      <c r="H1908" s="145">
        <f>H1907</f>
        <v>0</v>
      </c>
      <c r="I1908" s="91">
        <f t="shared" si="78"/>
        <v>0</v>
      </c>
      <c r="J1908" s="146"/>
      <c r="K1908" s="146"/>
      <c r="L1908" s="96"/>
      <c r="M1908" s="56">
        <v>560</v>
      </c>
    </row>
    <row r="1909" spans="1:13" s="51" customFormat="1" ht="25.2" hidden="1" customHeight="1">
      <c r="A1909" s="68">
        <f t="shared" si="79"/>
        <v>0</v>
      </c>
      <c r="B1909" s="69" t="s">
        <v>58</v>
      </c>
      <c r="C1909" s="69"/>
      <c r="D1909" s="87">
        <f t="shared" si="80"/>
        <v>0</v>
      </c>
      <c r="E1909" s="88" t="str">
        <f>VLOOKUP($B1909,[1]DG!A:D,[1]DG!$B$2,)</f>
        <v>02.5114</v>
      </c>
      <c r="F1909" s="89" t="str">
        <f>VLOOKUP($B1909,[1]DG!A:D,[1]DG!$C$2,)</f>
        <v>Chống sét van LA-18KV-10KA</v>
      </c>
      <c r="G1909" s="88" t="str">
        <f>VLOOKUP($B1909,[1]DG!A:D,[1]DG!$D$2,)</f>
        <v>cái</v>
      </c>
      <c r="H1909" s="145">
        <f>H1907</f>
        <v>0</v>
      </c>
      <c r="I1909" s="91">
        <f t="shared" si="78"/>
        <v>0</v>
      </c>
      <c r="J1909" s="146"/>
      <c r="K1909" s="146"/>
      <c r="L1909" s="96"/>
      <c r="M1909" s="56">
        <v>560</v>
      </c>
    </row>
    <row r="1910" spans="1:13" s="51" customFormat="1" ht="25.2" hidden="1" customHeight="1">
      <c r="A1910" s="68">
        <f t="shared" si="79"/>
        <v>0</v>
      </c>
      <c r="B1910" s="86" t="s">
        <v>525</v>
      </c>
      <c r="C1910" s="86"/>
      <c r="D1910" s="87">
        <f t="shared" si="80"/>
        <v>0</v>
      </c>
      <c r="E1910" s="88" t="str">
        <f>VLOOKUP($B1910,[1]DG!A:D,[1]DG!$B$2,)</f>
        <v>02.8404</v>
      </c>
      <c r="F1910" s="89" t="str">
        <f>VLOOKUP($B1910,[1]DG!A:D,[1]DG!$C$2,)&amp;": bao gồm giaù nôùi"</f>
        <v>MCCB 3 cực 400V -1000A - 50KA: bao gồm giaù nôùi</v>
      </c>
      <c r="G1910" s="88" t="str">
        <f>VLOOKUP($B1910,[1]DG!A:D,[1]DG!$D$2,)</f>
        <v>cái</v>
      </c>
      <c r="H1910" s="145">
        <f>H1906</f>
        <v>0</v>
      </c>
      <c r="I1910" s="91">
        <f t="shared" si="78"/>
        <v>0</v>
      </c>
      <c r="J1910" s="146"/>
      <c r="K1910" s="146"/>
      <c r="L1910" s="96"/>
      <c r="M1910" s="56">
        <v>560</v>
      </c>
    </row>
    <row r="1911" spans="1:13" s="51" customFormat="1" ht="25.2" hidden="1" customHeight="1">
      <c r="A1911" s="68">
        <f t="shared" si="79"/>
        <v>0</v>
      </c>
      <c r="B1911" s="86" t="s">
        <v>526</v>
      </c>
      <c r="C1911" s="86"/>
      <c r="D1911" s="87">
        <f>IF(H1911&gt;0,D1910+1,D1910)</f>
        <v>0</v>
      </c>
      <c r="E1911" s="88" t="str">
        <f>VLOOKUP($B1911,[1]DG!A:D,[1]DG!$B$2,)</f>
        <v>02.8403</v>
      </c>
      <c r="F1911" s="89" t="str">
        <f>VLOOKUP($B1911,[1]DG!A:D,[1]DG!$C$2,)&amp;": bao gồm giaù nôùi"</f>
        <v>MCCB 3 cực 400V -800A - 50KA: bao gồm giaù nôùi</v>
      </c>
      <c r="G1911" s="88" t="str">
        <f>VLOOKUP($B1911,[1]DG!A:D,[1]DG!$D$2,)</f>
        <v>cái</v>
      </c>
      <c r="H1911" s="145">
        <f>H1906</f>
        <v>0</v>
      </c>
      <c r="I1911" s="91">
        <f t="shared" si="78"/>
        <v>0</v>
      </c>
      <c r="J1911" s="146"/>
      <c r="K1911" s="146"/>
      <c r="L1911" s="96"/>
      <c r="M1911" s="56">
        <v>560</v>
      </c>
    </row>
    <row r="1912" spans="1:13" s="51" customFormat="1" ht="25.2" hidden="1" customHeight="1">
      <c r="A1912" s="68">
        <f t="shared" si="79"/>
        <v>0</v>
      </c>
      <c r="B1912" s="86" t="s">
        <v>527</v>
      </c>
      <c r="C1912" s="86"/>
      <c r="D1912" s="87">
        <f>IF(H1912&gt;0,D1911+1,D1911)</f>
        <v>0</v>
      </c>
      <c r="E1912" s="88" t="str">
        <f>VLOOKUP($B1912,[1]DG!A:D,[1]DG!$B$2,)</f>
        <v>02.8401</v>
      </c>
      <c r="F1912" s="89" t="str">
        <f>VLOOKUP($B1912,[1]DG!A:D,[1]DG!$C$2,)</f>
        <v>MCCB 3 cực 400V-100A - 30KA</v>
      </c>
      <c r="G1912" s="88" t="str">
        <f>VLOOKUP($B1912,[1]DG!A:D,[1]DG!$D$2,)</f>
        <v>cái</v>
      </c>
      <c r="H1912" s="145">
        <f>H1906*2</f>
        <v>0</v>
      </c>
      <c r="I1912" s="91">
        <f t="shared" si="78"/>
        <v>0</v>
      </c>
      <c r="J1912" s="146"/>
      <c r="K1912" s="146"/>
      <c r="L1912" s="96"/>
      <c r="M1912" s="56">
        <v>560</v>
      </c>
    </row>
    <row r="1913" spans="1:13" s="51" customFormat="1" ht="25.2" hidden="1" customHeight="1">
      <c r="A1913" s="68">
        <f t="shared" si="79"/>
        <v>0</v>
      </c>
      <c r="B1913" s="86" t="s">
        <v>528</v>
      </c>
      <c r="C1913" s="86"/>
      <c r="D1913" s="87">
        <f>IF(H1913&gt;0,D1912+1,D1912)</f>
        <v>0</v>
      </c>
      <c r="E1913" s="88" t="str">
        <f>VLOOKUP($B1913,[1]DG!A:D,[1]DG!$B$2,)</f>
        <v>02.8401</v>
      </c>
      <c r="F1913" s="89" t="str">
        <f>VLOOKUP($B1913,[1]DG!A:D,[1]DG!$C$2,)</f>
        <v>MCCB 3 cực 400V-75A - 10KA</v>
      </c>
      <c r="G1913" s="88" t="str">
        <f>VLOOKUP($B1913,[1]DG!A:D,[1]DG!$D$2,)</f>
        <v>cái</v>
      </c>
      <c r="H1913" s="145">
        <f>H1906</f>
        <v>0</v>
      </c>
      <c r="I1913" s="91">
        <f t="shared" si="78"/>
        <v>0</v>
      </c>
      <c r="J1913" s="146"/>
      <c r="K1913" s="146"/>
      <c r="L1913" s="96"/>
      <c r="M1913" s="56">
        <v>560</v>
      </c>
    </row>
    <row r="1914" spans="1:13" s="51" customFormat="1" ht="25.2" hidden="1" customHeight="1">
      <c r="A1914" s="68">
        <f t="shared" si="79"/>
        <v>0</v>
      </c>
      <c r="B1914" s="86" t="s">
        <v>529</v>
      </c>
      <c r="C1914" s="86"/>
      <c r="D1914" s="87">
        <f>IF(H1914&gt;0,D1913+1,D1913)</f>
        <v>0</v>
      </c>
      <c r="E1914" s="88" t="str">
        <f>VLOOKUP($B1914,[1]DG!A:D,[1]DG!$B$2,)</f>
        <v>02.8401</v>
      </c>
      <c r="F1914" s="89" t="str">
        <f>VLOOKUP($B1914,[1]DG!A:D,[1]DG!$C$2,)</f>
        <v xml:space="preserve">MCCB - 3P-400V-63A-25KA  Icu=Ics </v>
      </c>
      <c r="G1914" s="88" t="str">
        <f>VLOOKUP($B1914,[1]DG!A:D,[1]DG!$D$2,)</f>
        <v>cái</v>
      </c>
      <c r="H1914" s="145">
        <f>H1906</f>
        <v>0</v>
      </c>
      <c r="I1914" s="91">
        <f t="shared" ref="I1914:I1977" si="81">IF(M1914=$M$23,H1914+J1914-K1914,0)</f>
        <v>0</v>
      </c>
      <c r="J1914" s="146"/>
      <c r="K1914" s="146"/>
      <c r="L1914" s="96"/>
      <c r="M1914" s="56">
        <v>560</v>
      </c>
    </row>
    <row r="1915" spans="1:13" s="51" customFormat="1" ht="25.2" hidden="1" customHeight="1">
      <c r="A1915" s="68">
        <f t="shared" si="79"/>
        <v>0</v>
      </c>
      <c r="B1915" s="86" t="s">
        <v>530</v>
      </c>
      <c r="C1915" s="86"/>
      <c r="D1915" s="87">
        <f>IF(H1915&gt;0,D1910+1,D1910)</f>
        <v>0</v>
      </c>
      <c r="E1915" s="88" t="str">
        <f>VLOOKUP($B1915,[1]DG!A:D,[1]DG!$B$2,)</f>
        <v>02.8534</v>
      </c>
      <c r="F1915" s="89" t="str">
        <f>VLOOKUP($B1915,[1]DG!A:D,[1]DG!$C$2,)</f>
        <v>Tủ tụ bù hạ thế 250kVAr</v>
      </c>
      <c r="G1915" s="88" t="str">
        <f>VLOOKUP($B1915,[1]DG!A:D,[1]DG!$D$2,)</f>
        <v>tủ</v>
      </c>
      <c r="H1915" s="145">
        <f>H1906</f>
        <v>0</v>
      </c>
      <c r="I1915" s="91">
        <f t="shared" si="81"/>
        <v>0</v>
      </c>
      <c r="J1915" s="146"/>
      <c r="K1915" s="146"/>
      <c r="L1915" s="96"/>
      <c r="M1915" s="56">
        <v>560</v>
      </c>
    </row>
    <row r="1916" spans="1:13" s="51" customFormat="1" ht="25.2" hidden="1" customHeight="1">
      <c r="A1916" s="68">
        <f t="shared" si="79"/>
        <v>0</v>
      </c>
      <c r="B1916" s="86" t="s">
        <v>531</v>
      </c>
      <c r="C1916" s="86"/>
      <c r="D1916" s="87">
        <f t="shared" si="80"/>
        <v>0</v>
      </c>
      <c r="E1916" s="88" t="str">
        <f>VLOOKUP($B1916,[1]DG!A:D,[1]DG!$B$2,)</f>
        <v>02.1124</v>
      </c>
      <c r="F1916" s="89" t="str">
        <f>VLOOKUP($B1916,[1]DG!A:D,[1]DG!$C$2,)</f>
        <v>Biến dòng 24kV  15/5A</v>
      </c>
      <c r="G1916" s="88" t="str">
        <f>VLOOKUP($B1916,[1]DG!A:D,[1]DG!$D$2,)</f>
        <v>cái</v>
      </c>
      <c r="H1916" s="308">
        <f>H1906*3</f>
        <v>0</v>
      </c>
      <c r="I1916" s="91">
        <f t="shared" si="81"/>
        <v>0</v>
      </c>
      <c r="J1916" s="146"/>
      <c r="K1916" s="146"/>
      <c r="L1916" s="309" t="s">
        <v>61</v>
      </c>
      <c r="M1916" s="56">
        <v>560</v>
      </c>
    </row>
    <row r="1917" spans="1:13" s="51" customFormat="1" ht="25.2" hidden="1" customHeight="1">
      <c r="A1917" s="68">
        <f t="shared" si="79"/>
        <v>0</v>
      </c>
      <c r="B1917" s="86" t="s">
        <v>516</v>
      </c>
      <c r="C1917" s="86"/>
      <c r="D1917" s="87">
        <f t="shared" si="80"/>
        <v>0</v>
      </c>
      <c r="E1917" s="88" t="str">
        <f>VLOOKUP($B1917,[1]DG!A:D,[1]DG!$B$2,)</f>
        <v>02.1114</v>
      </c>
      <c r="F1917" s="89" t="str">
        <f>VLOOKUP($B1917,[1]DG!A:D,[1]DG!$C$2,)</f>
        <v>Biến điện áp 12000/120(60)V</v>
      </c>
      <c r="G1917" s="88" t="str">
        <f>VLOOKUP($B1917,[1]DG!A:D,[1]DG!$D$2,)</f>
        <v>cái</v>
      </c>
      <c r="H1917" s="308">
        <f>H1916</f>
        <v>0</v>
      </c>
      <c r="I1917" s="91">
        <f t="shared" si="81"/>
        <v>0</v>
      </c>
      <c r="J1917" s="146"/>
      <c r="K1917" s="146"/>
      <c r="L1917" s="309" t="s">
        <v>61</v>
      </c>
      <c r="M1917" s="56">
        <v>560</v>
      </c>
    </row>
    <row r="1918" spans="1:13" s="51" customFormat="1" ht="25.2" hidden="1" customHeight="1">
      <c r="A1918" s="68">
        <f t="shared" si="79"/>
        <v>0</v>
      </c>
      <c r="B1918" s="86" t="s">
        <v>495</v>
      </c>
      <c r="C1918" s="86"/>
      <c r="D1918" s="87">
        <f t="shared" si="80"/>
        <v>0</v>
      </c>
      <c r="E1918" s="88">
        <f>VLOOKUP($B1918,[1]DG!A:D,[1]DG!$B$2,)</f>
        <v>0</v>
      </c>
      <c r="F1918" s="89" t="str">
        <f>VLOOKUP($B1918,[1]DG!A:D,[1]DG!$C$2,)</f>
        <v>Điện kế 3 pha điện tử 600V-5A</v>
      </c>
      <c r="G1918" s="88" t="str">
        <f>VLOOKUP($B1918,[1]DG!A:D,[1]DG!$D$2,)</f>
        <v>cái</v>
      </c>
      <c r="H1918" s="308">
        <f>H1906</f>
        <v>0</v>
      </c>
      <c r="I1918" s="91">
        <f t="shared" si="81"/>
        <v>0</v>
      </c>
      <c r="J1918" s="146"/>
      <c r="K1918" s="146"/>
      <c r="L1918" s="311" t="s">
        <v>61</v>
      </c>
      <c r="M1918" s="56">
        <v>560</v>
      </c>
    </row>
    <row r="1919" spans="1:13" s="51" customFormat="1" ht="25.2" hidden="1" customHeight="1">
      <c r="A1919" s="68">
        <f t="shared" si="79"/>
        <v>0</v>
      </c>
      <c r="B1919" s="69"/>
      <c r="C1919" s="69"/>
      <c r="D1919" s="272"/>
      <c r="E1919" s="273"/>
      <c r="F1919" s="274"/>
      <c r="G1919" s="272"/>
      <c r="H1919" s="207"/>
      <c r="I1919" s="91">
        <f t="shared" si="81"/>
        <v>0</v>
      </c>
      <c r="J1919" s="274"/>
      <c r="K1919" s="272"/>
      <c r="L1919" s="100"/>
      <c r="M1919" s="56">
        <v>560</v>
      </c>
    </row>
    <row r="1920" spans="1:13" s="51" customFormat="1" ht="25.2" hidden="1" customHeight="1">
      <c r="A1920" s="68">
        <f t="shared" si="79"/>
        <v>0</v>
      </c>
      <c r="B1920" s="69"/>
      <c r="C1920" s="69"/>
      <c r="D1920" s="276"/>
      <c r="E1920" s="277"/>
      <c r="F1920" s="267" t="s">
        <v>64</v>
      </c>
      <c r="G1920" s="267"/>
      <c r="H1920" s="191"/>
      <c r="I1920" s="91">
        <f t="shared" si="81"/>
        <v>0</v>
      </c>
      <c r="J1920" s="267"/>
      <c r="K1920" s="267"/>
      <c r="L1920" s="100"/>
      <c r="M1920" s="56">
        <v>560</v>
      </c>
    </row>
    <row r="1921" spans="1:13" s="51" customFormat="1" ht="25.2" hidden="1" customHeight="1">
      <c r="A1921" s="68">
        <f t="shared" si="79"/>
        <v>0</v>
      </c>
      <c r="B1921" s="313"/>
      <c r="C1921" s="313"/>
      <c r="D1921" s="314">
        <f>IF(H1921&gt;0,1,0)</f>
        <v>0</v>
      </c>
      <c r="E1921" s="315"/>
      <c r="F1921" s="316" t="s">
        <v>338</v>
      </c>
      <c r="G1921" s="317" t="s">
        <v>339</v>
      </c>
      <c r="H1921" s="317">
        <f>H1906*2*0</f>
        <v>0</v>
      </c>
      <c r="I1921" s="91">
        <f t="shared" si="81"/>
        <v>0</v>
      </c>
      <c r="J1921" s="318"/>
      <c r="K1921" s="318"/>
      <c r="L1921" s="96"/>
      <c r="M1921" s="56">
        <v>560</v>
      </c>
    </row>
    <row r="1922" spans="1:13" s="51" customFormat="1" ht="25.2" hidden="1" customHeight="1">
      <c r="A1922" s="68">
        <f t="shared" si="79"/>
        <v>0</v>
      </c>
      <c r="B1922" s="86" t="s">
        <v>69</v>
      </c>
      <c r="C1922" s="86"/>
      <c r="D1922" s="319"/>
      <c r="E1922" s="88"/>
      <c r="F1922" s="320" t="str">
        <f>VLOOKUP($B1922,[1]DG!A:D,[1]DG!$C$2,)</f>
        <v>Trụ BTLT 12m F350 dự ứng lực</v>
      </c>
      <c r="G1922" s="88" t="str">
        <f>VLOOKUP($B1922,[1]DG!A:D,[1]DG!$D$2,)</f>
        <v>trụ</v>
      </c>
      <c r="H1922" s="321">
        <f>H1921</f>
        <v>0</v>
      </c>
      <c r="I1922" s="91">
        <f t="shared" si="81"/>
        <v>0</v>
      </c>
      <c r="J1922" s="92"/>
      <c r="K1922" s="111"/>
      <c r="L1922" s="96"/>
      <c r="M1922" s="56">
        <v>560</v>
      </c>
    </row>
    <row r="1923" spans="1:13" s="51" customFormat="1" ht="25.2" hidden="1" customHeight="1">
      <c r="A1923" s="68">
        <f t="shared" si="79"/>
        <v>0</v>
      </c>
      <c r="B1923" s="86" t="s">
        <v>70</v>
      </c>
      <c r="C1923" s="86"/>
      <c r="D1923" s="319"/>
      <c r="E1923" s="88"/>
      <c r="F1923" s="320" t="str">
        <f>VLOOKUP($B1923,[1]DG!A:D,[1]DG!$C$2,)</f>
        <v>Vật liệu dựng trụ</v>
      </c>
      <c r="G1923" s="88" t="str">
        <f>VLOOKUP($B1923,[1]DG!A:D,[1]DG!$D$2,)</f>
        <v>trụ</v>
      </c>
      <c r="H1923" s="321">
        <f>H1922</f>
        <v>0</v>
      </c>
      <c r="I1923" s="91">
        <f t="shared" si="81"/>
        <v>0</v>
      </c>
      <c r="J1923" s="111"/>
      <c r="K1923" s="111"/>
      <c r="L1923" s="96"/>
      <c r="M1923" s="56">
        <v>560</v>
      </c>
    </row>
    <row r="1924" spans="1:13" s="51" customFormat="1" ht="25.2" hidden="1" customHeight="1">
      <c r="A1924" s="68">
        <f t="shared" si="79"/>
        <v>0</v>
      </c>
      <c r="B1924" s="86" t="s">
        <v>340</v>
      </c>
      <c r="C1924" s="86"/>
      <c r="D1924" s="319"/>
      <c r="E1924" s="88" t="str">
        <f>VLOOKUP($B1924,[1]DG!A:D,[1]DG!$B$2,)</f>
        <v>04.9203</v>
      </c>
      <c r="F1924" s="320" t="str">
        <f>VLOOKUP($B1924,[1]DG!A:D,[1]DG!$C$2,)</f>
        <v>Dựng trụ BTLT 12m trong TBA bằng thủ công + cơ giới</v>
      </c>
      <c r="G1924" s="88" t="str">
        <f>VLOOKUP($B1924,[1]DG!A:D,[1]DG!$D$2,)</f>
        <v>trụ</v>
      </c>
      <c r="H1924" s="321">
        <f>H1922</f>
        <v>0</v>
      </c>
      <c r="I1924" s="91">
        <f t="shared" si="81"/>
        <v>0</v>
      </c>
      <c r="J1924" s="92"/>
      <c r="K1924" s="92"/>
      <c r="L1924" s="96"/>
      <c r="M1924" s="56">
        <v>560</v>
      </c>
    </row>
    <row r="1925" spans="1:13" s="51" customFormat="1" ht="25.2" hidden="1" customHeight="1">
      <c r="A1925" s="68">
        <f t="shared" si="79"/>
        <v>0</v>
      </c>
      <c r="B1925" s="313"/>
      <c r="C1925" s="313"/>
      <c r="D1925" s="314">
        <f>IF(H1925&gt;0,1,0)</f>
        <v>0</v>
      </c>
      <c r="E1925" s="315"/>
      <c r="F1925" s="316" t="s">
        <v>341</v>
      </c>
      <c r="G1925" s="317" t="s">
        <v>339</v>
      </c>
      <c r="H1925" s="317">
        <f>H1906*2*0</f>
        <v>0</v>
      </c>
      <c r="I1925" s="91">
        <f t="shared" si="81"/>
        <v>0</v>
      </c>
      <c r="J1925" s="318"/>
      <c r="K1925" s="318"/>
      <c r="L1925" s="117"/>
      <c r="M1925" s="56">
        <v>560</v>
      </c>
    </row>
    <row r="1926" spans="1:13" s="51" customFormat="1" ht="25.2" hidden="1" customHeight="1">
      <c r="A1926" s="68">
        <f t="shared" si="79"/>
        <v>0</v>
      </c>
      <c r="B1926" s="86" t="s">
        <v>342</v>
      </c>
      <c r="C1926" s="86"/>
      <c r="D1926" s="319"/>
      <c r="E1926" s="88"/>
      <c r="F1926" s="320" t="str">
        <f>VLOOKUP($B1926,[1]DG!A:D,[1]DG!$C$2,)</f>
        <v>Trụ BTLT 10,5m F350 dự ứng lực</v>
      </c>
      <c r="G1926" s="88" t="str">
        <f>VLOOKUP($B1926,[1]DG!A:D,[1]DG!$D$2,)</f>
        <v>trụ</v>
      </c>
      <c r="H1926" s="321">
        <f>H1925</f>
        <v>0</v>
      </c>
      <c r="I1926" s="91">
        <f t="shared" si="81"/>
        <v>0</v>
      </c>
      <c r="J1926" s="92"/>
      <c r="K1926" s="111"/>
      <c r="L1926" s="117"/>
      <c r="M1926" s="56">
        <v>560</v>
      </c>
    </row>
    <row r="1927" spans="1:13" s="51" customFormat="1" ht="25.2" hidden="1" customHeight="1">
      <c r="A1927" s="68">
        <f t="shared" si="79"/>
        <v>0</v>
      </c>
      <c r="B1927" s="86" t="s">
        <v>70</v>
      </c>
      <c r="C1927" s="86"/>
      <c r="D1927" s="319"/>
      <c r="E1927" s="88"/>
      <c r="F1927" s="320" t="str">
        <f>VLOOKUP($B1927,[1]DG!A:D,[1]DG!$C$2,)</f>
        <v>Vật liệu dựng trụ</v>
      </c>
      <c r="G1927" s="88" t="str">
        <f>VLOOKUP($B1927,[1]DG!A:D,[1]DG!$D$2,)</f>
        <v>trụ</v>
      </c>
      <c r="H1927" s="321">
        <f>H1926</f>
        <v>0</v>
      </c>
      <c r="I1927" s="91">
        <f t="shared" si="81"/>
        <v>0</v>
      </c>
      <c r="J1927" s="111"/>
      <c r="K1927" s="111"/>
      <c r="L1927" s="117"/>
      <c r="M1927" s="56">
        <v>560</v>
      </c>
    </row>
    <row r="1928" spans="1:13" s="51" customFormat="1" ht="25.2" hidden="1" customHeight="1">
      <c r="A1928" s="68">
        <f t="shared" si="79"/>
        <v>0</v>
      </c>
      <c r="B1928" s="86" t="s">
        <v>343</v>
      </c>
      <c r="C1928" s="86"/>
      <c r="D1928" s="319"/>
      <c r="E1928" s="88" t="str">
        <f>VLOOKUP($B1928,[1]DG!A:D,[1]DG!$B$2,)</f>
        <v>04.9203</v>
      </c>
      <c r="F1928" s="320" t="str">
        <f>VLOOKUP($B1928,[1]DG!A:D,[1]DG!$C$2,)</f>
        <v>Dựng trụ BTLT 10,5m trong TBA bằng thủ công + cơ giới</v>
      </c>
      <c r="G1928" s="88" t="str">
        <f>VLOOKUP($B1928,[1]DG!A:D,[1]DG!$D$2,)</f>
        <v>trụ</v>
      </c>
      <c r="H1928" s="321">
        <f>H1926</f>
        <v>0</v>
      </c>
      <c r="I1928" s="91">
        <f t="shared" si="81"/>
        <v>0</v>
      </c>
      <c r="J1928" s="92"/>
      <c r="K1928" s="92"/>
      <c r="L1928" s="117"/>
      <c r="M1928" s="56">
        <v>560</v>
      </c>
    </row>
    <row r="1929" spans="1:13" s="51" customFormat="1" ht="25.2" hidden="1" customHeight="1">
      <c r="A1929" s="68">
        <f t="shared" si="79"/>
        <v>0</v>
      </c>
      <c r="B1929" s="322"/>
      <c r="C1929" s="322"/>
      <c r="D1929" s="220">
        <f>IF(H1929&gt;0,D1921+1,D1921)</f>
        <v>0</v>
      </c>
      <c r="E1929" s="315"/>
      <c r="F1929" s="316" t="s">
        <v>72</v>
      </c>
      <c r="G1929" s="317" t="s">
        <v>344</v>
      </c>
      <c r="H1929" s="317">
        <f>H1921</f>
        <v>0</v>
      </c>
      <c r="I1929" s="91">
        <f t="shared" si="81"/>
        <v>0</v>
      </c>
      <c r="J1929" s="111"/>
      <c r="K1929" s="111"/>
      <c r="L1929" s="96"/>
      <c r="M1929" s="56">
        <v>560</v>
      </c>
    </row>
    <row r="1930" spans="1:13" s="51" customFormat="1" ht="25.2" hidden="1" customHeight="1">
      <c r="A1930" s="68">
        <f t="shared" si="79"/>
        <v>0</v>
      </c>
      <c r="B1930" s="86" t="s">
        <v>73</v>
      </c>
      <c r="C1930" s="86"/>
      <c r="D1930" s="319"/>
      <c r="E1930" s="88" t="str">
        <f>VLOOKUP($B1930,[1]DG!A:D,[1]DG!$B$2,)</f>
        <v>04.4001</v>
      </c>
      <c r="F1930" s="320" t="str">
        <f>VLOOKUP($B1930,[1]DG!A:D,[1]DG!$C$2,)</f>
        <v>Đà cản BTCT 1,2m</v>
      </c>
      <c r="G1930" s="88" t="str">
        <f>VLOOKUP($B1930,[1]DG!A:D,[1]DG!$D$2,)</f>
        <v>cái</v>
      </c>
      <c r="H1930" s="321">
        <f>H1929</f>
        <v>0</v>
      </c>
      <c r="I1930" s="91">
        <f t="shared" si="81"/>
        <v>0</v>
      </c>
      <c r="J1930" s="92"/>
      <c r="K1930" s="111"/>
      <c r="L1930" s="96"/>
      <c r="M1930" s="56">
        <v>560</v>
      </c>
    </row>
    <row r="1931" spans="1:13" s="51" customFormat="1" ht="25.2" hidden="1" customHeight="1">
      <c r="A1931" s="68">
        <f t="shared" si="79"/>
        <v>0</v>
      </c>
      <c r="B1931" s="86" t="s">
        <v>74</v>
      </c>
      <c r="C1931" s="86"/>
      <c r="D1931" s="319"/>
      <c r="E1931" s="88"/>
      <c r="F1931" s="320" t="str">
        <f>VLOOKUP($B1931,[1]DG!A:D,[1]DG!$C$2,)</f>
        <v>Boulon 22x650+ 2 long đền vuông D24-50x50x3/Zn</v>
      </c>
      <c r="G1931" s="88" t="str">
        <f>VLOOKUP($B1931,[1]DG!A:D,[1]DG!$D$2,)</f>
        <v>bộ</v>
      </c>
      <c r="H1931" s="321">
        <f>H1930</f>
        <v>0</v>
      </c>
      <c r="I1931" s="91">
        <f t="shared" si="81"/>
        <v>0</v>
      </c>
      <c r="J1931" s="320"/>
      <c r="K1931" s="111"/>
      <c r="L1931" s="96"/>
      <c r="M1931" s="56">
        <v>560</v>
      </c>
    </row>
    <row r="1932" spans="1:13" s="51" customFormat="1" ht="25.2" hidden="1" customHeight="1">
      <c r="A1932" s="68">
        <f t="shared" si="79"/>
        <v>0</v>
      </c>
      <c r="B1932" s="86" t="str">
        <f>IF(chitiet!G5=1,"MDD1",IF(chitiet!G5=2,"MDD2",IF(chitiet!G5=3,"MDD3",IF(chitiet!G5=4,"MDD4"))))</f>
        <v>MDD3</v>
      </c>
      <c r="C1932" s="86"/>
      <c r="D1932" s="319"/>
      <c r="E1932" s="88" t="str">
        <f>VLOOKUP($B1932,[1]DG!A:D,[1]DG!$B$2,)</f>
        <v>03.1013</v>
      </c>
      <c r="F1932" s="320" t="str">
        <f>VLOOKUP($B1932,[1]DG!A:D,[1]DG!$C$2,)</f>
        <v>Đào hố móng đất cấp 3 sâu &gt;1m</v>
      </c>
      <c r="G1932" s="88" t="str">
        <f>VLOOKUP($B1932,[1]DG!A:D,[1]DG!$D$2,)</f>
        <v>m3</v>
      </c>
      <c r="H1932" s="323">
        <f>1.45*H1930</f>
        <v>0</v>
      </c>
      <c r="I1932" s="91">
        <f t="shared" si="81"/>
        <v>0</v>
      </c>
      <c r="J1932" s="324"/>
      <c r="K1932" s="111"/>
      <c r="L1932" s="96"/>
      <c r="M1932" s="56">
        <v>560</v>
      </c>
    </row>
    <row r="1933" spans="1:13" s="51" customFormat="1" ht="25.2" hidden="1" customHeight="1">
      <c r="A1933" s="68">
        <f t="shared" si="79"/>
        <v>0</v>
      </c>
      <c r="B1933" s="86" t="str">
        <f>IF(chitiet!G5=1,"MDAP1",IF(chitiet!G5=2,"MDAP2",IF(chitiet!G5=3,"MDAP3",IF(chitiet!G5=4,"MDAP4"))))</f>
        <v>MDAP3</v>
      </c>
      <c r="C1933" s="86"/>
      <c r="D1933" s="319"/>
      <c r="E1933" s="88" t="str">
        <f>VLOOKUP($B1933,[1]DG!A:D,[1]DG!$B$2,)</f>
        <v>03.4113</v>
      </c>
      <c r="F1933" s="320" t="str">
        <f>VLOOKUP($B1933,[1]DG!A:D,[1]DG!$C$2,)</f>
        <v>Đắp đất hố móng, độ chặt k=0,95</v>
      </c>
      <c r="G1933" s="88" t="str">
        <f>VLOOKUP($B1933,[1]DG!A:D,[1]DG!$D$2,)</f>
        <v>m3</v>
      </c>
      <c r="H1933" s="323">
        <f>1.37*H1929</f>
        <v>0</v>
      </c>
      <c r="I1933" s="91">
        <f t="shared" si="81"/>
        <v>0</v>
      </c>
      <c r="J1933" s="324"/>
      <c r="K1933" s="111"/>
      <c r="L1933" s="96"/>
      <c r="M1933" s="56">
        <v>560</v>
      </c>
    </row>
    <row r="1934" spans="1:13" s="51" customFormat="1" ht="25.2" hidden="1" customHeight="1">
      <c r="A1934" s="68">
        <f t="shared" si="79"/>
        <v>0</v>
      </c>
      <c r="B1934" s="322"/>
      <c r="C1934" s="322"/>
      <c r="D1934" s="220">
        <f>IF(H1934&gt;0,D1926+1,D1926)</f>
        <v>0</v>
      </c>
      <c r="E1934" s="315"/>
      <c r="F1934" s="316" t="s">
        <v>345</v>
      </c>
      <c r="G1934" s="317" t="s">
        <v>344</v>
      </c>
      <c r="H1934" s="317">
        <f>H1925*0</f>
        <v>0</v>
      </c>
      <c r="I1934" s="91">
        <f t="shared" si="81"/>
        <v>0</v>
      </c>
      <c r="J1934" s="111"/>
      <c r="K1934" s="111"/>
      <c r="L1934" s="117"/>
      <c r="M1934" s="56">
        <v>560</v>
      </c>
    </row>
    <row r="1935" spans="1:13" s="51" customFormat="1" ht="25.2" hidden="1" customHeight="1">
      <c r="A1935" s="68">
        <f t="shared" si="79"/>
        <v>0</v>
      </c>
      <c r="B1935" s="86" t="s">
        <v>73</v>
      </c>
      <c r="C1935" s="86"/>
      <c r="D1935" s="319"/>
      <c r="E1935" s="88" t="str">
        <f>VLOOKUP($B1935,[1]DG!A:D,[1]DG!$B$2,)</f>
        <v>04.4001</v>
      </c>
      <c r="F1935" s="320" t="str">
        <f>VLOOKUP($B1935,[1]DG!A:D,[1]DG!$C$2,)</f>
        <v>Đà cản BTCT 1,2m</v>
      </c>
      <c r="G1935" s="88" t="str">
        <f>VLOOKUP($B1935,[1]DG!A:D,[1]DG!$D$2,)</f>
        <v>cái</v>
      </c>
      <c r="H1935" s="321">
        <f>H1934</f>
        <v>0</v>
      </c>
      <c r="I1935" s="91">
        <f t="shared" si="81"/>
        <v>0</v>
      </c>
      <c r="J1935" s="92"/>
      <c r="K1935" s="111"/>
      <c r="L1935" s="117"/>
      <c r="M1935" s="56">
        <v>560</v>
      </c>
    </row>
    <row r="1936" spans="1:13" s="51" customFormat="1" ht="25.2" hidden="1" customHeight="1">
      <c r="A1936" s="68">
        <f t="shared" si="79"/>
        <v>0</v>
      </c>
      <c r="B1936" s="86" t="s">
        <v>74</v>
      </c>
      <c r="C1936" s="86"/>
      <c r="D1936" s="319"/>
      <c r="E1936" s="88"/>
      <c r="F1936" s="320" t="str">
        <f>VLOOKUP($B1936,[1]DG!A:D,[1]DG!$C$2,)</f>
        <v>Boulon 22x650+ 2 long đền vuông D24-50x50x3/Zn</v>
      </c>
      <c r="G1936" s="88" t="str">
        <f>VLOOKUP($B1936,[1]DG!A:D,[1]DG!$D$2,)</f>
        <v>bộ</v>
      </c>
      <c r="H1936" s="321">
        <f>H1935</f>
        <v>0</v>
      </c>
      <c r="I1936" s="91">
        <f t="shared" si="81"/>
        <v>0</v>
      </c>
      <c r="J1936" s="320"/>
      <c r="K1936" s="111"/>
      <c r="L1936" s="117"/>
      <c r="M1936" s="56">
        <v>560</v>
      </c>
    </row>
    <row r="1937" spans="1:13" s="51" customFormat="1" ht="25.2" hidden="1" customHeight="1">
      <c r="A1937" s="68">
        <f t="shared" si="79"/>
        <v>0</v>
      </c>
      <c r="B1937" s="86" t="str">
        <f>IF(chitiet!G5=1,"MDD1",IF(chitiet!G5=2,"MDD2",IF(chitiet!G5=3,"MDD3",IF(chitiet!G5=4,"MDD4"))))</f>
        <v>MDD3</v>
      </c>
      <c r="C1937" s="86"/>
      <c r="D1937" s="319"/>
      <c r="E1937" s="88" t="str">
        <f>VLOOKUP($B1937,[1]DG!A:D,[1]DG!$B$2,)</f>
        <v>03.1013</v>
      </c>
      <c r="F1937" s="320" t="str">
        <f>VLOOKUP($B1937,[1]DG!A:D,[1]DG!$C$2,)</f>
        <v>Đào hố móng đất cấp 3 sâu &gt;1m</v>
      </c>
      <c r="G1937" s="88" t="str">
        <f>VLOOKUP($B1937,[1]DG!A:D,[1]DG!$D$2,)</f>
        <v>m3</v>
      </c>
      <c r="H1937" s="323">
        <f>1.48*H1935</f>
        <v>0</v>
      </c>
      <c r="I1937" s="91">
        <f t="shared" si="81"/>
        <v>0</v>
      </c>
      <c r="J1937" s="324"/>
      <c r="K1937" s="111"/>
      <c r="L1937" s="117"/>
      <c r="M1937" s="56">
        <v>560</v>
      </c>
    </row>
    <row r="1938" spans="1:13" s="51" customFormat="1" ht="25.2" hidden="1" customHeight="1">
      <c r="A1938" s="68">
        <f t="shared" si="79"/>
        <v>0</v>
      </c>
      <c r="B1938" s="86" t="str">
        <f>IF(chitiet!G5=1,"MDAP1",IF(chitiet!G5=2,"MDAP2",IF(chitiet!G5=3,"MDAP3",IF(chitiet!G5=4,"MDAP4"))))</f>
        <v>MDAP3</v>
      </c>
      <c r="C1938" s="86"/>
      <c r="D1938" s="319"/>
      <c r="E1938" s="88" t="str">
        <f>VLOOKUP($B1938,[1]DG!A:D,[1]DG!$B$2,)</f>
        <v>03.4113</v>
      </c>
      <c r="F1938" s="320" t="str">
        <f>VLOOKUP($B1938,[1]DG!A:D,[1]DG!$C$2,)</f>
        <v>Đắp đất hố móng, độ chặt k=0,95</v>
      </c>
      <c r="G1938" s="88" t="str">
        <f>VLOOKUP($B1938,[1]DG!A:D,[1]DG!$D$2,)</f>
        <v>m3</v>
      </c>
      <c r="H1938" s="323">
        <f>1.39*H1934</f>
        <v>0</v>
      </c>
      <c r="I1938" s="91">
        <f t="shared" si="81"/>
        <v>0</v>
      </c>
      <c r="J1938" s="324"/>
      <c r="K1938" s="111"/>
      <c r="L1938" s="117"/>
      <c r="M1938" s="56">
        <v>560</v>
      </c>
    </row>
    <row r="1939" spans="1:13" s="51" customFormat="1" ht="25.2" hidden="1" customHeight="1">
      <c r="A1939" s="68">
        <f t="shared" si="79"/>
        <v>0</v>
      </c>
      <c r="B1939" s="69"/>
      <c r="C1939" s="69"/>
      <c r="D1939" s="220">
        <f>IF(H1939&gt;0,D1929+1,D1929)</f>
        <v>0</v>
      </c>
      <c r="E1939" s="325"/>
      <c r="F1939" s="316" t="s">
        <v>464</v>
      </c>
      <c r="G1939" s="314" t="s">
        <v>67</v>
      </c>
      <c r="H1939" s="326">
        <f>H1906*1</f>
        <v>0</v>
      </c>
      <c r="I1939" s="91">
        <f t="shared" si="81"/>
        <v>0</v>
      </c>
      <c r="J1939" s="327"/>
      <c r="K1939" s="327"/>
      <c r="L1939" s="117"/>
      <c r="M1939" s="56">
        <v>560</v>
      </c>
    </row>
    <row r="1940" spans="1:13" s="51" customFormat="1" ht="25.2" hidden="1" customHeight="1">
      <c r="A1940" s="68">
        <f>IF(A1939&gt;0,1,0)</f>
        <v>0</v>
      </c>
      <c r="B1940" s="69"/>
      <c r="C1940" s="69"/>
      <c r="D1940" s="111"/>
      <c r="E1940" s="328"/>
      <c r="F1940" s="243" t="s">
        <v>68</v>
      </c>
      <c r="G1940" s="87"/>
      <c r="H1940" s="145"/>
      <c r="I1940" s="91">
        <f t="shared" si="81"/>
        <v>0</v>
      </c>
      <c r="J1940" s="282"/>
      <c r="K1940" s="282"/>
      <c r="L1940" s="117"/>
      <c r="M1940" s="56">
        <v>560</v>
      </c>
    </row>
    <row r="1941" spans="1:13" s="51" customFormat="1" ht="25.2" hidden="1" customHeight="1">
      <c r="A1941" s="68">
        <f t="shared" si="79"/>
        <v>0</v>
      </c>
      <c r="B1941" s="86" t="s">
        <v>517</v>
      </c>
      <c r="C1941" s="86"/>
      <c r="D1941" s="111"/>
      <c r="E1941" s="88" t="str">
        <f>VLOOKUP($B1941,[1]DG!A:D,[1]DG!$B$2,)</f>
        <v>05.6105</v>
      </c>
      <c r="F1941" s="89" t="str">
        <f>VLOOKUP($B1941,[1]DG!A:D,[1]DG!$C$2,)&amp;": 2 cái"</f>
        <v>Đà U200x80x5x2800 đỡ MBA: 2 cái</v>
      </c>
      <c r="G1941" s="88" t="str">
        <f>VLOOKUP($B1941,[1]DG!A:D,[1]DG!$D$2,)</f>
        <v>cái</v>
      </c>
      <c r="H1941" s="145">
        <f>52.049*H1939*2</f>
        <v>0</v>
      </c>
      <c r="I1941" s="91">
        <f t="shared" si="81"/>
        <v>0</v>
      </c>
      <c r="J1941" s="92"/>
      <c r="K1941" s="92"/>
      <c r="L1941" s="117"/>
      <c r="M1941" s="56">
        <v>560</v>
      </c>
    </row>
    <row r="1942" spans="1:13" s="51" customFormat="1" ht="25.2" hidden="1" customHeight="1">
      <c r="A1942" s="68">
        <f t="shared" si="79"/>
        <v>0</v>
      </c>
      <c r="B1942" s="86" t="s">
        <v>348</v>
      </c>
      <c r="C1942" s="86"/>
      <c r="D1942" s="111"/>
      <c r="E1942" s="88" t="str">
        <f>VLOOKUP($B1942,[1]DG!A:D,[1]DG!$B$2,)</f>
        <v>05.6101</v>
      </c>
      <c r="F1942" s="89" t="str">
        <f>VLOOKUP($B1942,[1]DG!A:D,[1]DG!$C$2,)&amp;": 4 cái"</f>
        <v>Đà U100x46x4.5x400 : 4 cái</v>
      </c>
      <c r="G1942" s="88" t="str">
        <f>VLOOKUP($B1942,[1]DG!A:D,[1]DG!$D$2,)</f>
        <v>cái</v>
      </c>
      <c r="H1942" s="145">
        <f>H1939*2.713*4</f>
        <v>0</v>
      </c>
      <c r="I1942" s="91">
        <f t="shared" si="81"/>
        <v>0</v>
      </c>
      <c r="J1942" s="92"/>
      <c r="K1942" s="92"/>
      <c r="L1942" s="117"/>
      <c r="M1942" s="56">
        <v>560</v>
      </c>
    </row>
    <row r="1943" spans="1:13" s="51" customFormat="1" ht="25.2" hidden="1" customHeight="1">
      <c r="A1943" s="68">
        <f t="shared" si="79"/>
        <v>0</v>
      </c>
      <c r="B1943" s="86" t="s">
        <v>349</v>
      </c>
      <c r="C1943" s="86"/>
      <c r="D1943" s="111"/>
      <c r="E1943" s="88" t="str">
        <f>VLOOKUP($B1943,[1]DG!A:D,[1]DG!$B$2,)</f>
        <v>05.6101</v>
      </c>
      <c r="F1943" s="89" t="str">
        <f>VLOOKUP($B1943,[1]DG!A:D,[1]DG!$C$2,)&amp;": 2 cái"</f>
        <v>Đà U100x46x5x800 : 2 cái</v>
      </c>
      <c r="G1943" s="88" t="str">
        <f>VLOOKUP($B1943,[1]DG!A:D,[1]DG!$D$2,)</f>
        <v>cái</v>
      </c>
      <c r="H1943" s="145">
        <f>H1939*5.426*2</f>
        <v>0</v>
      </c>
      <c r="I1943" s="91">
        <f t="shared" si="81"/>
        <v>0</v>
      </c>
      <c r="J1943" s="92"/>
      <c r="K1943" s="92"/>
      <c r="L1943" s="117"/>
      <c r="M1943" s="56">
        <v>560</v>
      </c>
    </row>
    <row r="1944" spans="1:13" s="51" customFormat="1" ht="25.2" hidden="1" customHeight="1">
      <c r="A1944" s="68">
        <f t="shared" si="79"/>
        <v>0</v>
      </c>
      <c r="B1944" s="69" t="s">
        <v>350</v>
      </c>
      <c r="C1944" s="69"/>
      <c r="D1944" s="111"/>
      <c r="E1944" s="88">
        <f>VLOOKUP($B1944,[1]DG!A:D,[1]DG!$B$2,)</f>
        <v>0</v>
      </c>
      <c r="F1944" s="89" t="str">
        <f>VLOOKUP($B1944,[1]DG!A:D,[1]DG!$C$2,)</f>
        <v>Boulon 16x400VRS+ 4 long đền vuông D18-50x50x3/Zn</v>
      </c>
      <c r="G1944" s="88" t="str">
        <f>VLOOKUP($B1944,[1]DG!A:D,[1]DG!$D$2,)</f>
        <v>bộ</v>
      </c>
      <c r="H1944" s="145">
        <f>H1939*10</f>
        <v>0</v>
      </c>
      <c r="I1944" s="91">
        <f t="shared" si="81"/>
        <v>0</v>
      </c>
      <c r="J1944" s="92"/>
      <c r="K1944" s="92"/>
      <c r="L1944" s="117"/>
      <c r="M1944" s="56">
        <v>560</v>
      </c>
    </row>
    <row r="1945" spans="1:13" s="51" customFormat="1" ht="25.2" hidden="1" customHeight="1">
      <c r="A1945" s="68">
        <f t="shared" si="79"/>
        <v>0</v>
      </c>
      <c r="B1945" s="69" t="s">
        <v>265</v>
      </c>
      <c r="C1945" s="69"/>
      <c r="D1945" s="111"/>
      <c r="E1945" s="88">
        <f>VLOOKUP($B1945,[1]DG!A:D,[1]DG!$B$2,)</f>
        <v>0</v>
      </c>
      <c r="F1945" s="89" t="str">
        <f>VLOOKUP($B1945,[1]DG!A:D,[1]DG!$C$2,)</f>
        <v>Boulon 16x400+ 2 long đền vuông D18-50x50x3/Zn</v>
      </c>
      <c r="G1945" s="88" t="str">
        <f>VLOOKUP($B1945,[1]DG!A:D,[1]DG!$D$2,)</f>
        <v>bộ</v>
      </c>
      <c r="H1945" s="145">
        <f>H1939*2</f>
        <v>0</v>
      </c>
      <c r="I1945" s="91">
        <f t="shared" si="81"/>
        <v>0</v>
      </c>
      <c r="J1945" s="92"/>
      <c r="K1945" s="92"/>
      <c r="L1945" s="117"/>
      <c r="M1945" s="56">
        <v>560</v>
      </c>
    </row>
    <row r="1946" spans="1:13" s="51" customFormat="1" ht="25.2" hidden="1" customHeight="1">
      <c r="A1946" s="68">
        <f t="shared" si="79"/>
        <v>0</v>
      </c>
      <c r="B1946" s="69" t="s">
        <v>123</v>
      </c>
      <c r="C1946" s="69"/>
      <c r="D1946" s="111"/>
      <c r="E1946" s="88">
        <f>VLOOKUP($B1946,[1]DG!A:D,[1]DG!$B$2,)</f>
        <v>0</v>
      </c>
      <c r="F1946" s="89" t="str">
        <f>VLOOKUP($B1946,[1]DG!A:D,[1]DG!$C$2,)</f>
        <v>Boulon 16x350+ 2 long đền vuông D18-50x50x3/Zn</v>
      </c>
      <c r="G1946" s="88" t="str">
        <f>VLOOKUP($B1946,[1]DG!A:D,[1]DG!$D$2,)</f>
        <v>bộ</v>
      </c>
      <c r="H1946" s="145">
        <f>H1939*12</f>
        <v>0</v>
      </c>
      <c r="I1946" s="91">
        <f t="shared" si="81"/>
        <v>0</v>
      </c>
      <c r="J1946" s="92"/>
      <c r="K1946" s="92"/>
      <c r="L1946" s="117"/>
      <c r="M1946" s="56">
        <v>560</v>
      </c>
    </row>
    <row r="1947" spans="1:13" s="51" customFormat="1" ht="25.2" hidden="1" customHeight="1">
      <c r="A1947" s="68">
        <f t="shared" si="79"/>
        <v>0</v>
      </c>
      <c r="B1947" s="69" t="s">
        <v>363</v>
      </c>
      <c r="C1947" s="69"/>
      <c r="D1947" s="111"/>
      <c r="E1947" s="88" t="str">
        <f>VLOOKUP($B1947,[1]DG!A:D,[1]DG!$B$2,)</f>
        <v>05.6044</v>
      </c>
      <c r="F1947" s="89" t="str">
        <f>VLOOKUP($B1947,[1]DG!A:D,[1]DG!$C$2,)</f>
        <v>Lắp xà cột Pi loại ≤140kg/xà</v>
      </c>
      <c r="G1947" s="88" t="str">
        <f>VLOOKUP($B1947,[1]DG!A:D,[1]DG!$D$2,)</f>
        <v>bộ</v>
      </c>
      <c r="H1947" s="145">
        <f>H1939</f>
        <v>0</v>
      </c>
      <c r="I1947" s="91">
        <f t="shared" si="81"/>
        <v>0</v>
      </c>
      <c r="J1947" s="92"/>
      <c r="K1947" s="92"/>
      <c r="L1947" s="117"/>
      <c r="M1947" s="56">
        <v>560</v>
      </c>
    </row>
    <row r="1948" spans="1:13" s="51" customFormat="1" ht="25.2" hidden="1" customHeight="1">
      <c r="A1948" s="68">
        <f t="shared" si="79"/>
        <v>0</v>
      </c>
      <c r="B1948" s="69"/>
      <c r="C1948" s="69"/>
      <c r="D1948" s="220">
        <f>IF(H1948&gt;0,D1939+1,D1939)</f>
        <v>0</v>
      </c>
      <c r="E1948" s="238"/>
      <c r="F1948" s="329" t="s">
        <v>532</v>
      </c>
      <c r="G1948" s="220" t="s">
        <v>67</v>
      </c>
      <c r="H1948" s="240">
        <f>H1939*2</f>
        <v>0</v>
      </c>
      <c r="I1948" s="91">
        <f t="shared" si="81"/>
        <v>0</v>
      </c>
      <c r="J1948" s="95"/>
      <c r="K1948" s="95"/>
      <c r="L1948" s="117"/>
      <c r="M1948" s="56">
        <v>560</v>
      </c>
    </row>
    <row r="1949" spans="1:13" s="51" customFormat="1" ht="25.2" hidden="1" customHeight="1">
      <c r="A1949" s="68">
        <f>IF(A1948&gt;0,1,0)</f>
        <v>0</v>
      </c>
      <c r="B1949" s="69"/>
      <c r="C1949" s="69"/>
      <c r="D1949" s="111"/>
      <c r="E1949" s="88"/>
      <c r="F1949" s="243" t="s">
        <v>68</v>
      </c>
      <c r="G1949" s="87"/>
      <c r="H1949" s="145"/>
      <c r="I1949" s="91">
        <f t="shared" si="81"/>
        <v>0</v>
      </c>
      <c r="J1949" s="95"/>
      <c r="K1949" s="95"/>
      <c r="L1949" s="117"/>
      <c r="M1949" s="56">
        <v>560</v>
      </c>
    </row>
    <row r="1950" spans="1:13" s="51" customFormat="1" ht="25.2" hidden="1" customHeight="1">
      <c r="A1950" s="68">
        <f t="shared" si="79"/>
        <v>0</v>
      </c>
      <c r="B1950" s="86" t="s">
        <v>367</v>
      </c>
      <c r="C1950" s="86"/>
      <c r="D1950" s="111"/>
      <c r="E1950" s="88">
        <f>VLOOKUP($B1950,[1]DG!A:D,[1]DG!$B$2,)</f>
        <v>0</v>
      </c>
      <c r="F1950" s="89" t="str">
        <f>VLOOKUP($B1950,[1]DG!A:D,[1]DG!$C$2,)</f>
        <v>Sắt góc L75 x75 x8</v>
      </c>
      <c r="G1950" s="88" t="str">
        <f>VLOOKUP($B1950,[1]DG!A:D,[1]DG!$D$2,)</f>
        <v>kg</v>
      </c>
      <c r="H1950" s="145">
        <f>H1948*9.42*(2.6+3*0.07)*2</f>
        <v>0</v>
      </c>
      <c r="I1950" s="91">
        <f t="shared" si="81"/>
        <v>0</v>
      </c>
      <c r="J1950" s="92"/>
      <c r="K1950" s="92"/>
      <c r="L1950" s="117"/>
      <c r="M1950" s="56">
        <v>560</v>
      </c>
    </row>
    <row r="1951" spans="1:13" s="51" customFormat="1" ht="25.2" hidden="1" customHeight="1">
      <c r="A1951" s="68">
        <f t="shared" ref="A1951:A2014" si="82">IF(I1951&gt;0,1,0)</f>
        <v>0</v>
      </c>
      <c r="B1951" s="69" t="s">
        <v>368</v>
      </c>
      <c r="C1951" s="69"/>
      <c r="D1951" s="111"/>
      <c r="E1951" s="88">
        <f>VLOOKUP($B1951,[1]DG!A:D,[1]DG!$B$2,)</f>
        <v>0</v>
      </c>
      <c r="F1951" s="89" t="str">
        <f>VLOOKUP($B1951,[1]DG!A:D,[1]DG!$C$2,)</f>
        <v>Boulon 16x300VRS+ 4 long đền vuông D18-50x50x3/Zn</v>
      </c>
      <c r="G1951" s="88" t="str">
        <f>VLOOKUP($B1951,[1]DG!A:D,[1]DG!$D$2,)</f>
        <v>bộ</v>
      </c>
      <c r="H1951" s="145">
        <f>H1948*2</f>
        <v>0</v>
      </c>
      <c r="I1951" s="91">
        <f t="shared" si="81"/>
        <v>0</v>
      </c>
      <c r="J1951" s="92"/>
      <c r="K1951" s="92"/>
      <c r="L1951" s="117"/>
      <c r="M1951" s="56">
        <v>560</v>
      </c>
    </row>
    <row r="1952" spans="1:13" s="51" customFormat="1" ht="25.2" hidden="1" customHeight="1">
      <c r="A1952" s="68">
        <f t="shared" si="82"/>
        <v>0</v>
      </c>
      <c r="B1952" s="69" t="s">
        <v>65</v>
      </c>
      <c r="C1952" s="69"/>
      <c r="D1952" s="111"/>
      <c r="E1952" s="88">
        <f>VLOOKUP($B1952,[1]DG!A:D,[1]DG!$B$2,)</f>
        <v>0</v>
      </c>
      <c r="F1952" s="89" t="str">
        <f>VLOOKUP($B1952,[1]DG!A:D,[1]DG!$C$2,)</f>
        <v>Boulon 16x300+ 2 long đền vuông D18-50x50x3/Zn</v>
      </c>
      <c r="G1952" s="88" t="str">
        <f>VLOOKUP($B1952,[1]DG!A:D,[1]DG!$D$2,)</f>
        <v>bộ</v>
      </c>
      <c r="H1952" s="145">
        <f>H1948*2</f>
        <v>0</v>
      </c>
      <c r="I1952" s="91">
        <f t="shared" si="81"/>
        <v>0</v>
      </c>
      <c r="J1952" s="92"/>
      <c r="K1952" s="92"/>
      <c r="L1952" s="117"/>
      <c r="M1952" s="56">
        <v>560</v>
      </c>
    </row>
    <row r="1953" spans="1:13" s="51" customFormat="1" ht="25.2" hidden="1" customHeight="1">
      <c r="A1953" s="68">
        <f t="shared" si="82"/>
        <v>0</v>
      </c>
      <c r="B1953" s="69" t="s">
        <v>237</v>
      </c>
      <c r="C1953" s="69"/>
      <c r="D1953" s="111"/>
      <c r="E1953" s="88">
        <f>VLOOKUP($B1953,[1]DG!A:D,[1]DG!$B$2,)</f>
        <v>0</v>
      </c>
      <c r="F1953" s="89" t="str">
        <f>VLOOKUP($B1953,[1]DG!A:D,[1]DG!$C$2,)</f>
        <v>Boulon 16x250+ 2 long đền vuông D18-50x50x3/Zn</v>
      </c>
      <c r="G1953" s="88" t="str">
        <f>VLOOKUP($B1953,[1]DG!A:D,[1]DG!$D$2,)</f>
        <v>bộ</v>
      </c>
      <c r="H1953" s="145">
        <f>H1952</f>
        <v>0</v>
      </c>
      <c r="I1953" s="91">
        <f t="shared" si="81"/>
        <v>0</v>
      </c>
      <c r="J1953" s="92"/>
      <c r="K1953" s="92"/>
      <c r="L1953" s="117"/>
      <c r="M1953" s="56">
        <v>560</v>
      </c>
    </row>
    <row r="1954" spans="1:13" s="51" customFormat="1" ht="25.2" hidden="1" customHeight="1">
      <c r="A1954" s="68">
        <f t="shared" si="82"/>
        <v>0</v>
      </c>
      <c r="B1954" s="69" t="s">
        <v>363</v>
      </c>
      <c r="C1954" s="69"/>
      <c r="D1954" s="111"/>
      <c r="E1954" s="88" t="str">
        <f>VLOOKUP($B1954,[1]DG!A:D,[1]DG!$B$2,)</f>
        <v>05.6044</v>
      </c>
      <c r="F1954" s="89" t="str">
        <f>VLOOKUP($B1954,[1]DG!A:D,[1]DG!$C$2,)</f>
        <v>Lắp xà cột Pi loại ≤140kg/xà</v>
      </c>
      <c r="G1954" s="88" t="str">
        <f>VLOOKUP($B1954,[1]DG!A:D,[1]DG!$D$2,)</f>
        <v>bộ</v>
      </c>
      <c r="H1954" s="145">
        <f>H1948/2</f>
        <v>0</v>
      </c>
      <c r="I1954" s="91">
        <f t="shared" si="81"/>
        <v>0</v>
      </c>
      <c r="J1954" s="92"/>
      <c r="K1954" s="92"/>
      <c r="L1954" s="117"/>
      <c r="M1954" s="56">
        <v>560</v>
      </c>
    </row>
    <row r="1955" spans="1:13" s="51" customFormat="1" ht="25.2" hidden="1" customHeight="1">
      <c r="A1955" s="68">
        <f t="shared" si="82"/>
        <v>0</v>
      </c>
      <c r="B1955" s="69"/>
      <c r="C1955" s="69"/>
      <c r="D1955" s="220">
        <f>IF(H1955&gt;0,D1948+1,D1948)</f>
        <v>0</v>
      </c>
      <c r="E1955" s="238"/>
      <c r="F1955" s="329" t="s">
        <v>533</v>
      </c>
      <c r="G1955" s="220" t="s">
        <v>67</v>
      </c>
      <c r="H1955" s="240">
        <f>H1906*1</f>
        <v>0</v>
      </c>
      <c r="I1955" s="91">
        <f t="shared" si="81"/>
        <v>0</v>
      </c>
      <c r="J1955" s="95"/>
      <c r="K1955" s="95"/>
      <c r="L1955" s="117"/>
      <c r="M1955" s="56">
        <v>560</v>
      </c>
    </row>
    <row r="1956" spans="1:13" s="51" customFormat="1" ht="25.2" hidden="1" customHeight="1">
      <c r="A1956" s="68">
        <f>IF(A1955&gt;0,1,0)</f>
        <v>0</v>
      </c>
      <c r="B1956" s="69"/>
      <c r="C1956" s="69"/>
      <c r="D1956" s="111"/>
      <c r="E1956" s="242"/>
      <c r="F1956" s="243" t="s">
        <v>68</v>
      </c>
      <c r="G1956" s="87"/>
      <c r="H1956" s="145"/>
      <c r="I1956" s="91">
        <f t="shared" si="81"/>
        <v>0</v>
      </c>
      <c r="J1956" s="95"/>
      <c r="K1956" s="95"/>
      <c r="L1956" s="117"/>
      <c r="M1956" s="56">
        <v>560</v>
      </c>
    </row>
    <row r="1957" spans="1:13" s="51" customFormat="1" ht="25.2" hidden="1" customHeight="1">
      <c r="A1957" s="68">
        <f t="shared" si="82"/>
        <v>0</v>
      </c>
      <c r="B1957" s="86" t="s">
        <v>367</v>
      </c>
      <c r="C1957" s="86"/>
      <c r="D1957" s="111"/>
      <c r="E1957" s="88">
        <f>VLOOKUP($B1957,[1]DG!A:D,[1]DG!$B$2,)</f>
        <v>0</v>
      </c>
      <c r="F1957" s="89" t="str">
        <f>VLOOKUP($B1957,[1]DG!A:D,[1]DG!$C$2,)</f>
        <v>Sắt góc L75 x75 x8</v>
      </c>
      <c r="G1957" s="88" t="str">
        <f>VLOOKUP($B1957,[1]DG!A:D,[1]DG!$D$2,)</f>
        <v>kg</v>
      </c>
      <c r="H1957" s="145">
        <f>H1955*9.42*(2.6+3*0.07)</f>
        <v>0</v>
      </c>
      <c r="I1957" s="91">
        <f t="shared" si="81"/>
        <v>0</v>
      </c>
      <c r="J1957" s="92"/>
      <c r="K1957" s="92"/>
      <c r="L1957" s="117"/>
      <c r="M1957" s="56">
        <v>560</v>
      </c>
    </row>
    <row r="1958" spans="1:13" s="51" customFormat="1" ht="25.2" hidden="1" customHeight="1">
      <c r="A1958" s="68">
        <f t="shared" si="82"/>
        <v>0</v>
      </c>
      <c r="B1958" s="69" t="s">
        <v>237</v>
      </c>
      <c r="C1958" s="69"/>
      <c r="D1958" s="111"/>
      <c r="E1958" s="88">
        <f>VLOOKUP($B1958,[1]DG!A:D,[1]DG!$B$2,)</f>
        <v>0</v>
      </c>
      <c r="F1958" s="89" t="str">
        <f>VLOOKUP($B1958,[1]DG!A:D,[1]DG!$C$2,)</f>
        <v>Boulon 16x250+ 2 long đền vuông D18-50x50x3/Zn</v>
      </c>
      <c r="G1958" s="88" t="str">
        <f>VLOOKUP($B1958,[1]DG!A:D,[1]DG!$D$2,)</f>
        <v>bộ</v>
      </c>
      <c r="H1958" s="145">
        <f>H1955</f>
        <v>0</v>
      </c>
      <c r="I1958" s="91">
        <f t="shared" si="81"/>
        <v>0</v>
      </c>
      <c r="J1958" s="92"/>
      <c r="K1958" s="92"/>
      <c r="L1958" s="117"/>
      <c r="M1958" s="56">
        <v>560</v>
      </c>
    </row>
    <row r="1959" spans="1:13" s="51" customFormat="1" ht="25.2" hidden="1" customHeight="1">
      <c r="A1959" s="68">
        <f t="shared" si="82"/>
        <v>0</v>
      </c>
      <c r="B1959" s="69" t="s">
        <v>65</v>
      </c>
      <c r="C1959" s="69"/>
      <c r="D1959" s="111"/>
      <c r="E1959" s="88">
        <f>VLOOKUP($B1959,[1]DG!A:D,[1]DG!$B$2,)</f>
        <v>0</v>
      </c>
      <c r="F1959" s="89" t="str">
        <f>VLOOKUP($B1959,[1]DG!A:D,[1]DG!$C$2,)</f>
        <v>Boulon 16x300+ 2 long đền vuông D18-50x50x3/Zn</v>
      </c>
      <c r="G1959" s="88" t="str">
        <f>VLOOKUP($B1959,[1]DG!A:D,[1]DG!$D$2,)</f>
        <v>bộ</v>
      </c>
      <c r="H1959" s="145">
        <f>H1955</f>
        <v>0</v>
      </c>
      <c r="I1959" s="91">
        <f t="shared" si="81"/>
        <v>0</v>
      </c>
      <c r="J1959" s="92"/>
      <c r="K1959" s="92"/>
      <c r="L1959" s="117"/>
      <c r="M1959" s="56">
        <v>560</v>
      </c>
    </row>
    <row r="1960" spans="1:13" s="51" customFormat="1" ht="25.2" hidden="1" customHeight="1">
      <c r="A1960" s="68">
        <f t="shared" si="82"/>
        <v>0</v>
      </c>
      <c r="B1960" s="69" t="s">
        <v>370</v>
      </c>
      <c r="C1960" s="69"/>
      <c r="D1960" s="111"/>
      <c r="E1960" s="88">
        <f>VLOOKUP($B1960,[1]DG!A:D,[1]DG!$B$2,)</f>
        <v>0</v>
      </c>
      <c r="F1960" s="89" t="str">
        <f>VLOOKUP($B1960,[1]DG!A:D,[1]DG!$C$2,)</f>
        <v>Bass LI bắt FCO</v>
      </c>
      <c r="G1960" s="88" t="str">
        <f>VLOOKUP($B1960,[1]DG!A:D,[1]DG!$D$2,)</f>
        <v>Bộ</v>
      </c>
      <c r="H1960" s="145">
        <f>H1907*2</f>
        <v>0</v>
      </c>
      <c r="I1960" s="91">
        <f t="shared" si="81"/>
        <v>0</v>
      </c>
      <c r="J1960" s="92"/>
      <c r="K1960" s="92"/>
      <c r="L1960" s="117"/>
      <c r="M1960" s="56">
        <v>560</v>
      </c>
    </row>
    <row r="1961" spans="1:13" s="51" customFormat="1" ht="25.2" hidden="1" customHeight="1">
      <c r="A1961" s="68">
        <f t="shared" si="82"/>
        <v>0</v>
      </c>
      <c r="B1961" s="69" t="s">
        <v>363</v>
      </c>
      <c r="C1961" s="69"/>
      <c r="D1961" s="111"/>
      <c r="E1961" s="88" t="str">
        <f>VLOOKUP($B1961,[1]DG!A:D,[1]DG!$B$2,)</f>
        <v>05.6044</v>
      </c>
      <c r="F1961" s="89" t="str">
        <f>VLOOKUP($B1961,[1]DG!A:D,[1]DG!$C$2,)</f>
        <v>Lắp xà cột Pi loại ≤140kg/xà</v>
      </c>
      <c r="G1961" s="88" t="str">
        <f>VLOOKUP($B1961,[1]DG!A:D,[1]DG!$D$2,)</f>
        <v>bộ</v>
      </c>
      <c r="H1961" s="145">
        <f>H1906</f>
        <v>0</v>
      </c>
      <c r="I1961" s="91">
        <f t="shared" si="81"/>
        <v>0</v>
      </c>
      <c r="J1961" s="92"/>
      <c r="K1961" s="92"/>
      <c r="L1961" s="117"/>
      <c r="M1961" s="56">
        <v>560</v>
      </c>
    </row>
    <row r="1962" spans="1:13" s="51" customFormat="1" ht="25.2" hidden="1" customHeight="1">
      <c r="A1962" s="68">
        <f t="shared" si="82"/>
        <v>0</v>
      </c>
      <c r="B1962" s="69"/>
      <c r="C1962" s="69"/>
      <c r="D1962" s="220">
        <f>IF(H1962&gt;0,D1955+1,D1955)</f>
        <v>0</v>
      </c>
      <c r="E1962" s="238"/>
      <c r="F1962" s="329" t="s">
        <v>373</v>
      </c>
      <c r="G1962" s="220" t="s">
        <v>67</v>
      </c>
      <c r="H1962" s="240">
        <f>H1906*2</f>
        <v>0</v>
      </c>
      <c r="I1962" s="91">
        <f t="shared" si="81"/>
        <v>0</v>
      </c>
      <c r="J1962" s="95"/>
      <c r="K1962" s="95"/>
      <c r="L1962" s="117"/>
      <c r="M1962" s="56">
        <v>560</v>
      </c>
    </row>
    <row r="1963" spans="1:13" s="51" customFormat="1" ht="25.2" hidden="1" customHeight="1">
      <c r="A1963" s="68">
        <f>IF(A1962&gt;0,1,0)</f>
        <v>0</v>
      </c>
      <c r="B1963" s="69"/>
      <c r="C1963" s="69"/>
      <c r="D1963" s="111"/>
      <c r="E1963" s="242"/>
      <c r="F1963" s="243" t="s">
        <v>68</v>
      </c>
      <c r="G1963" s="87"/>
      <c r="H1963" s="145"/>
      <c r="I1963" s="91">
        <f t="shared" si="81"/>
        <v>0</v>
      </c>
      <c r="J1963" s="95"/>
      <c r="K1963" s="95"/>
      <c r="L1963" s="117"/>
      <c r="M1963" s="56">
        <v>560</v>
      </c>
    </row>
    <row r="1964" spans="1:13" s="51" customFormat="1" ht="25.2" hidden="1" customHeight="1">
      <c r="A1964" s="68">
        <f t="shared" si="82"/>
        <v>0</v>
      </c>
      <c r="B1964" s="69" t="s">
        <v>367</v>
      </c>
      <c r="C1964" s="69"/>
      <c r="D1964" s="111"/>
      <c r="E1964" s="88">
        <f>VLOOKUP($B1964,[1]DG!A:D,[1]DG!$B$2,)</f>
        <v>0</v>
      </c>
      <c r="F1964" s="89" t="str">
        <f>VLOOKUP($B1964,[1]DG!A:D,[1]DG!$C$2,)</f>
        <v>Sắt góc L75 x75 x8</v>
      </c>
      <c r="G1964" s="88" t="str">
        <f>VLOOKUP($B1964,[1]DG!A:D,[1]DG!$D$2,)</f>
        <v>kg</v>
      </c>
      <c r="H1964" s="145">
        <f>H1962*9.42*2.6</f>
        <v>0</v>
      </c>
      <c r="I1964" s="91">
        <f t="shared" si="81"/>
        <v>0</v>
      </c>
      <c r="J1964" s="92"/>
      <c r="K1964" s="92"/>
      <c r="L1964" s="117"/>
      <c r="M1964" s="56">
        <v>560</v>
      </c>
    </row>
    <row r="1965" spans="1:13" s="51" customFormat="1" ht="25.2" hidden="1" customHeight="1">
      <c r="A1965" s="68">
        <f t="shared" si="82"/>
        <v>0</v>
      </c>
      <c r="B1965" s="69" t="s">
        <v>265</v>
      </c>
      <c r="C1965" s="69"/>
      <c r="D1965" s="111"/>
      <c r="E1965" s="88">
        <f>VLOOKUP($B1965,[1]DG!A:D,[1]DG!$B$2,)</f>
        <v>0</v>
      </c>
      <c r="F1965" s="89" t="str">
        <f>VLOOKUP($B1965,[1]DG!A:D,[1]DG!$C$2,)</f>
        <v>Boulon 16x400+ 2 long đền vuông D18-50x50x3/Zn</v>
      </c>
      <c r="G1965" s="88" t="str">
        <f>VLOOKUP($B1965,[1]DG!A:D,[1]DG!$D$2,)</f>
        <v>bộ</v>
      </c>
      <c r="H1965" s="145">
        <f>H1962*2</f>
        <v>0</v>
      </c>
      <c r="I1965" s="91">
        <f t="shared" si="81"/>
        <v>0</v>
      </c>
      <c r="J1965" s="92"/>
      <c r="K1965" s="92"/>
      <c r="L1965" s="117"/>
      <c r="M1965" s="56">
        <v>560</v>
      </c>
    </row>
    <row r="1966" spans="1:13" s="51" customFormat="1" ht="25.2" hidden="1" customHeight="1">
      <c r="A1966" s="68">
        <f t="shared" si="82"/>
        <v>0</v>
      </c>
      <c r="B1966" s="69" t="s">
        <v>131</v>
      </c>
      <c r="C1966" s="69"/>
      <c r="D1966" s="111"/>
      <c r="E1966" s="88">
        <f>VLOOKUP($B1966,[1]DG!A:D,[1]DG!$B$2,)</f>
        <v>0</v>
      </c>
      <c r="F1966" s="89" t="str">
        <f>VLOOKUP($B1966,[1]DG!A:D,[1]DG!$C$2,)</f>
        <v>Boulon 12x40+ 2 long đền vuông D14-50x50x3/Zn</v>
      </c>
      <c r="G1966" s="88" t="str">
        <f>VLOOKUP($B1966,[1]DG!A:D,[1]DG!$D$2,)</f>
        <v>bộ</v>
      </c>
      <c r="H1966" s="145">
        <f>H1962*2</f>
        <v>0</v>
      </c>
      <c r="I1966" s="91">
        <f t="shared" si="81"/>
        <v>0</v>
      </c>
      <c r="J1966" s="92"/>
      <c r="K1966" s="92"/>
      <c r="L1966" s="117"/>
      <c r="M1966" s="56">
        <v>560</v>
      </c>
    </row>
    <row r="1967" spans="1:13" s="51" customFormat="1" ht="25.2" hidden="1" customHeight="1">
      <c r="A1967" s="68">
        <f t="shared" si="82"/>
        <v>0</v>
      </c>
      <c r="B1967" s="69" t="s">
        <v>363</v>
      </c>
      <c r="C1967" s="69"/>
      <c r="D1967" s="111"/>
      <c r="E1967" s="88" t="str">
        <f>VLOOKUP($B1967,[1]DG!A:D,[1]DG!$B$2,)</f>
        <v>05.6044</v>
      </c>
      <c r="F1967" s="89" t="str">
        <f>VLOOKUP($B1967,[1]DG!A:D,[1]DG!$C$2,)</f>
        <v>Lắp xà cột Pi loại ≤140kg/xà</v>
      </c>
      <c r="G1967" s="88" t="str">
        <f>VLOOKUP($B1967,[1]DG!A:D,[1]DG!$D$2,)</f>
        <v>bộ</v>
      </c>
      <c r="H1967" s="145">
        <f>H1962/2</f>
        <v>0</v>
      </c>
      <c r="I1967" s="91">
        <f t="shared" si="81"/>
        <v>0</v>
      </c>
      <c r="J1967" s="92"/>
      <c r="K1967" s="92"/>
      <c r="L1967" s="117"/>
      <c r="M1967" s="56">
        <v>560</v>
      </c>
    </row>
    <row r="1968" spans="1:13" s="51" customFormat="1" ht="25.2" hidden="1" customHeight="1">
      <c r="A1968" s="68">
        <f t="shared" si="82"/>
        <v>0</v>
      </c>
      <c r="B1968" s="69" t="s">
        <v>374</v>
      </c>
      <c r="C1968" s="69"/>
      <c r="D1968" s="111"/>
      <c r="E1968" s="88" t="str">
        <f>VLOOKUP($B1968,[1]DG!A:D,[1]DG!$B$2,)</f>
        <v>02.1115</v>
      </c>
      <c r="F1968" s="89" t="str">
        <f>VLOOKUP($B1968,[1]DG!A:D,[1]DG!$C$2,)</f>
        <v>Bốc dỡ xà, thép thanh</v>
      </c>
      <c r="G1968" s="88" t="str">
        <f>VLOOKUP($B1968,[1]DG!A:D,[1]DG!$D$2,)</f>
        <v>tấn</v>
      </c>
      <c r="H1968" s="145">
        <f>0.05*0</f>
        <v>0</v>
      </c>
      <c r="I1968" s="91">
        <f t="shared" si="81"/>
        <v>0</v>
      </c>
      <c r="J1968" s="92"/>
      <c r="K1968" s="92"/>
      <c r="L1968" s="117"/>
      <c r="M1968" s="56">
        <v>560</v>
      </c>
    </row>
    <row r="1969" spans="1:13" s="51" customFormat="1" ht="25.2" hidden="1" customHeight="1">
      <c r="A1969" s="68">
        <f t="shared" si="82"/>
        <v>0</v>
      </c>
      <c r="B1969" s="69" t="s">
        <v>65</v>
      </c>
      <c r="C1969" s="69"/>
      <c r="D1969" s="111"/>
      <c r="E1969" s="88">
        <f>VLOOKUP($B1969,[1]DG!A:D,[1]DG!$B$2,)</f>
        <v>0</v>
      </c>
      <c r="F1969" s="89" t="str">
        <f>VLOOKUP($B1969,[1]DG!A:D,[1]DG!$C$2,)</f>
        <v>Boulon 16x300+ 2 long đền vuông D18-50x50x3/Zn</v>
      </c>
      <c r="G1969" s="88" t="s">
        <v>375</v>
      </c>
      <c r="H1969" s="145">
        <f>H1962*2*0</f>
        <v>0</v>
      </c>
      <c r="I1969" s="91">
        <f t="shared" si="81"/>
        <v>0</v>
      </c>
      <c r="J1969" s="92"/>
      <c r="K1969" s="92"/>
      <c r="L1969" s="117"/>
      <c r="M1969" s="56">
        <v>560</v>
      </c>
    </row>
    <row r="1970" spans="1:13" s="51" customFormat="1" ht="25.2" hidden="1" customHeight="1">
      <c r="A1970" s="68">
        <f t="shared" si="82"/>
        <v>0</v>
      </c>
      <c r="B1970" s="69" t="s">
        <v>237</v>
      </c>
      <c r="C1970" s="69"/>
      <c r="D1970" s="111"/>
      <c r="E1970" s="88">
        <f>VLOOKUP($B1970,[1]DG!A:D,[1]DG!$B$2,)</f>
        <v>0</v>
      </c>
      <c r="F1970" s="89" t="str">
        <f>VLOOKUP($B1970,[1]DG!A:D,[1]DG!$C$2,)</f>
        <v>Boulon 16x250+ 2 long đền vuông D18-50x50x3/Zn</v>
      </c>
      <c r="G1970" s="88" t="s">
        <v>375</v>
      </c>
      <c r="H1970" s="145">
        <f>2*H1962*2*0</f>
        <v>0</v>
      </c>
      <c r="I1970" s="91">
        <f t="shared" si="81"/>
        <v>0</v>
      </c>
      <c r="J1970" s="92"/>
      <c r="K1970" s="92"/>
      <c r="L1970" s="117"/>
      <c r="M1970" s="56">
        <v>560</v>
      </c>
    </row>
    <row r="1971" spans="1:13" s="51" customFormat="1" ht="25.2" hidden="1" customHeight="1" collapsed="1">
      <c r="A1971" s="68">
        <f t="shared" si="82"/>
        <v>0</v>
      </c>
      <c r="B1971" s="69"/>
      <c r="C1971" s="69"/>
      <c r="D1971" s="220">
        <f>IF(H1971&gt;0,D1962+1,D1962)</f>
        <v>0</v>
      </c>
      <c r="E1971" s="238"/>
      <c r="F1971" s="329" t="s">
        <v>534</v>
      </c>
      <c r="G1971" s="220" t="s">
        <v>67</v>
      </c>
      <c r="H1971" s="240">
        <f>H1906*2*0</f>
        <v>0</v>
      </c>
      <c r="I1971" s="91">
        <f t="shared" si="81"/>
        <v>0</v>
      </c>
      <c r="J1971" s="146"/>
      <c r="K1971" s="146"/>
      <c r="L1971" s="96"/>
      <c r="M1971" s="56">
        <v>560</v>
      </c>
    </row>
    <row r="1972" spans="1:13" s="51" customFormat="1" ht="25.2" hidden="1" customHeight="1">
      <c r="A1972" s="68">
        <f>IF(A1971&gt;0,1,0)</f>
        <v>0</v>
      </c>
      <c r="B1972" s="69"/>
      <c r="C1972" s="69"/>
      <c r="D1972" s="111"/>
      <c r="E1972" s="242"/>
      <c r="F1972" s="243" t="s">
        <v>68</v>
      </c>
      <c r="G1972" s="87"/>
      <c r="H1972" s="145"/>
      <c r="I1972" s="91">
        <f t="shared" si="81"/>
        <v>0</v>
      </c>
      <c r="J1972" s="146"/>
      <c r="K1972" s="146"/>
      <c r="L1972" s="96"/>
      <c r="M1972" s="56">
        <v>560</v>
      </c>
    </row>
    <row r="1973" spans="1:13" s="51" customFormat="1" ht="25.2" hidden="1" customHeight="1">
      <c r="A1973" s="68">
        <f t="shared" si="82"/>
        <v>0</v>
      </c>
      <c r="B1973" s="69" t="s">
        <v>367</v>
      </c>
      <c r="C1973" s="69"/>
      <c r="D1973" s="111"/>
      <c r="E1973" s="88">
        <f>VLOOKUP($B1973,[1]DG!A:D,[1]DG!$B$2,)</f>
        <v>0</v>
      </c>
      <c r="F1973" s="89" t="str">
        <f>VLOOKUP($B1973,[1]DG!A:D,[1]DG!$C$2,)</f>
        <v>Sắt góc L75 x75 x8</v>
      </c>
      <c r="G1973" s="88" t="s">
        <v>377</v>
      </c>
      <c r="H1973" s="145">
        <f>H1971*9.02*(2.2+4*0.07)*2</f>
        <v>0</v>
      </c>
      <c r="I1973" s="91">
        <f t="shared" si="81"/>
        <v>0</v>
      </c>
      <c r="J1973" s="146"/>
      <c r="K1973" s="146"/>
      <c r="L1973" s="96"/>
      <c r="M1973" s="56">
        <v>560</v>
      </c>
    </row>
    <row r="1974" spans="1:13" s="51" customFormat="1" ht="25.2" hidden="1" customHeight="1">
      <c r="A1974" s="68">
        <f t="shared" si="82"/>
        <v>0</v>
      </c>
      <c r="B1974" s="69" t="s">
        <v>378</v>
      </c>
      <c r="C1974" s="69"/>
      <c r="D1974" s="111"/>
      <c r="E1974" s="88">
        <f>VLOOKUP($B1974,[1]DG!A:D,[1]DG!$B$2,)</f>
        <v>0</v>
      </c>
      <c r="F1974" s="89" t="str">
        <f>VLOOKUP($B1974,[1]DG!A:D,[1]DG!$C$2,)&amp;" (Thanh choáng 810)"</f>
        <v>Sắt góc L50 x50 x5 (Thanh choáng 810)</v>
      </c>
      <c r="G1974" s="88" t="s">
        <v>377</v>
      </c>
      <c r="H1974" s="145">
        <f>H1971*3.77*0.81*4</f>
        <v>0</v>
      </c>
      <c r="I1974" s="91">
        <f t="shared" si="81"/>
        <v>0</v>
      </c>
      <c r="J1974" s="146"/>
      <c r="K1974" s="146"/>
      <c r="L1974" s="96"/>
      <c r="M1974" s="56">
        <v>560</v>
      </c>
    </row>
    <row r="1975" spans="1:13" s="51" customFormat="1" ht="25.2" hidden="1" customHeight="1">
      <c r="A1975" s="68">
        <f t="shared" si="82"/>
        <v>0</v>
      </c>
      <c r="B1975" s="69" t="s">
        <v>65</v>
      </c>
      <c r="C1975" s="69"/>
      <c r="D1975" s="111"/>
      <c r="E1975" s="88">
        <f>VLOOKUP($B1975,[1]DG!A:D,[1]DG!$B$2,)</f>
        <v>0</v>
      </c>
      <c r="F1975" s="89" t="str">
        <f>VLOOKUP($B1975,[1]DG!A:D,[1]DG!$C$2,)</f>
        <v>Boulon 16x300+ 2 long đền vuông D18-50x50x3/Zn</v>
      </c>
      <c r="G1975" s="88" t="s">
        <v>375</v>
      </c>
      <c r="H1975" s="145">
        <f>H1971*2</f>
        <v>0</v>
      </c>
      <c r="I1975" s="91">
        <f t="shared" si="81"/>
        <v>0</v>
      </c>
      <c r="J1975" s="146"/>
      <c r="K1975" s="146"/>
      <c r="L1975" s="96"/>
      <c r="M1975" s="56">
        <v>560</v>
      </c>
    </row>
    <row r="1976" spans="1:13" s="51" customFormat="1" ht="25.2" hidden="1" customHeight="1">
      <c r="A1976" s="68">
        <f t="shared" si="82"/>
        <v>0</v>
      </c>
      <c r="B1976" s="69" t="s">
        <v>231</v>
      </c>
      <c r="C1976" s="69"/>
      <c r="D1976" s="111"/>
      <c r="E1976" s="88">
        <f>VLOOKUP($B1976,[1]DG!A:D,[1]DG!$B$2,)</f>
        <v>0</v>
      </c>
      <c r="F1976" s="89" t="str">
        <f>VLOOKUP($B1976,[1]DG!A:D,[1]DG!$C$2,)</f>
        <v>Boulon 16x50+ 2 long đền vuông D18-50x50x3/Zn</v>
      </c>
      <c r="G1976" s="88" t="s">
        <v>375</v>
      </c>
      <c r="H1976" s="145">
        <f>H1971*4</f>
        <v>0</v>
      </c>
      <c r="I1976" s="91">
        <f t="shared" si="81"/>
        <v>0</v>
      </c>
      <c r="J1976" s="146"/>
      <c r="K1976" s="146"/>
      <c r="L1976" s="96"/>
      <c r="M1976" s="56">
        <v>560</v>
      </c>
    </row>
    <row r="1977" spans="1:13" s="51" customFormat="1" ht="25.2" hidden="1" customHeight="1">
      <c r="A1977" s="68">
        <f t="shared" si="82"/>
        <v>0</v>
      </c>
      <c r="B1977" s="69" t="s">
        <v>368</v>
      </c>
      <c r="C1977" s="69"/>
      <c r="D1977" s="111"/>
      <c r="E1977" s="88">
        <f>VLOOKUP($B1977,[1]DG!A:D,[1]DG!$B$2,)</f>
        <v>0</v>
      </c>
      <c r="F1977" s="89" t="str">
        <f>VLOOKUP($B1977,[1]DG!A:D,[1]DG!$C$2,)</f>
        <v>Boulon 16x300VRS+ 4 long đền vuông D18-50x50x3/Zn</v>
      </c>
      <c r="G1977" s="88" t="s">
        <v>375</v>
      </c>
      <c r="H1977" s="145">
        <f>H1971*4</f>
        <v>0</v>
      </c>
      <c r="I1977" s="91">
        <f t="shared" si="81"/>
        <v>0</v>
      </c>
      <c r="J1977" s="146"/>
      <c r="K1977" s="146"/>
      <c r="L1977" s="96"/>
      <c r="M1977" s="56">
        <v>560</v>
      </c>
    </row>
    <row r="1978" spans="1:13" s="51" customFormat="1" ht="25.2" hidden="1" customHeight="1">
      <c r="A1978" s="68">
        <f t="shared" si="82"/>
        <v>0</v>
      </c>
      <c r="B1978" s="69" t="s">
        <v>379</v>
      </c>
      <c r="C1978" s="69"/>
      <c r="D1978" s="111"/>
      <c r="E1978" s="88" t="str">
        <f>VLOOKUP($B1978,[1]DG!A:D,[1]DG!$B$2,)</f>
        <v>05.6203</v>
      </c>
      <c r="F1978" s="89" t="str">
        <f>VLOOKUP($B1978,[1]DG!A:D,[1]DG!$C$2,)</f>
        <v>Lắp xà néo ≤ 100kg</v>
      </c>
      <c r="G1978" s="88" t="s">
        <v>375</v>
      </c>
      <c r="H1978" s="145">
        <f>H1971</f>
        <v>0</v>
      </c>
      <c r="I1978" s="91">
        <f t="shared" ref="I1978:I2041" si="83">IF(M1978=$M$23,H1978+J1978-K1978,0)</f>
        <v>0</v>
      </c>
      <c r="J1978" s="146"/>
      <c r="K1978" s="146"/>
      <c r="L1978" s="96"/>
      <c r="M1978" s="56">
        <v>560</v>
      </c>
    </row>
    <row r="1979" spans="1:13" s="51" customFormat="1" ht="25.2" hidden="1" customHeight="1">
      <c r="A1979" s="68">
        <f t="shared" si="82"/>
        <v>0</v>
      </c>
      <c r="B1979" s="69"/>
      <c r="C1979" s="69"/>
      <c r="D1979" s="220">
        <f>IF(H1979&gt;0,D1971+1,D1971)</f>
        <v>0</v>
      </c>
      <c r="E1979" s="238"/>
      <c r="F1979" s="329" t="s">
        <v>380</v>
      </c>
      <c r="G1979" s="220" t="s">
        <v>67</v>
      </c>
      <c r="H1979" s="240">
        <f>H1906*1*0</f>
        <v>0</v>
      </c>
      <c r="I1979" s="91">
        <f t="shared" si="83"/>
        <v>0</v>
      </c>
      <c r="J1979" s="146"/>
      <c r="K1979" s="146"/>
      <c r="L1979" s="96"/>
      <c r="M1979" s="56">
        <v>560</v>
      </c>
    </row>
    <row r="1980" spans="1:13" s="51" customFormat="1" ht="25.2" hidden="1" customHeight="1">
      <c r="A1980" s="68">
        <f>IF(A1979&gt;0,1,0)</f>
        <v>0</v>
      </c>
      <c r="B1980" s="69"/>
      <c r="C1980" s="69"/>
      <c r="D1980" s="111"/>
      <c r="E1980" s="242"/>
      <c r="F1980" s="243" t="s">
        <v>68</v>
      </c>
      <c r="G1980" s="87"/>
      <c r="H1980" s="145"/>
      <c r="I1980" s="91">
        <f t="shared" si="83"/>
        <v>0</v>
      </c>
      <c r="J1980" s="146"/>
      <c r="K1980" s="146"/>
      <c r="L1980" s="96"/>
      <c r="M1980" s="56">
        <v>560</v>
      </c>
    </row>
    <row r="1981" spans="1:13" s="51" customFormat="1" ht="25.2" hidden="1" customHeight="1">
      <c r="A1981" s="68">
        <f t="shared" si="82"/>
        <v>0</v>
      </c>
      <c r="B1981" s="69" t="s">
        <v>367</v>
      </c>
      <c r="C1981" s="69"/>
      <c r="D1981" s="111"/>
      <c r="E1981" s="88">
        <f>VLOOKUP($B1981,[1]DG!A:D,[1]DG!$B$2,)</f>
        <v>0</v>
      </c>
      <c r="F1981" s="89" t="str">
        <f>VLOOKUP($B1981,[1]DG!A:D,[1]DG!$C$2,)</f>
        <v>Sắt góc L75 x75 x8</v>
      </c>
      <c r="G1981" s="88" t="s">
        <v>377</v>
      </c>
      <c r="H1981" s="145">
        <f>H1979*9.02*(2.4+4*0.07)</f>
        <v>0</v>
      </c>
      <c r="I1981" s="91">
        <f t="shared" si="83"/>
        <v>0</v>
      </c>
      <c r="J1981" s="146"/>
      <c r="K1981" s="146"/>
      <c r="L1981" s="96"/>
      <c r="M1981" s="56">
        <v>560</v>
      </c>
    </row>
    <row r="1982" spans="1:13" s="51" customFormat="1" ht="25.2" hidden="1" customHeight="1">
      <c r="A1982" s="68">
        <f t="shared" si="82"/>
        <v>0</v>
      </c>
      <c r="B1982" s="69" t="s">
        <v>378</v>
      </c>
      <c r="C1982" s="69"/>
      <c r="D1982" s="111"/>
      <c r="E1982" s="88">
        <f>VLOOKUP($B1982,[1]DG!A:D,[1]DG!$B$2,)</f>
        <v>0</v>
      </c>
      <c r="F1982" s="89" t="str">
        <f>VLOOKUP($B1982,[1]DG!A:D,[1]DG!$C$2,)&amp;" (Thanh choáng 810)"</f>
        <v>Sắt góc L50 x50 x5 (Thanh choáng 810)</v>
      </c>
      <c r="G1982" s="88" t="s">
        <v>377</v>
      </c>
      <c r="H1982" s="145">
        <f>H1979*3.77*0.81*2</f>
        <v>0</v>
      </c>
      <c r="I1982" s="91">
        <f t="shared" si="83"/>
        <v>0</v>
      </c>
      <c r="J1982" s="146"/>
      <c r="K1982" s="146"/>
      <c r="L1982" s="96"/>
      <c r="M1982" s="56">
        <v>560</v>
      </c>
    </row>
    <row r="1983" spans="1:13" s="51" customFormat="1" ht="25.2" hidden="1" customHeight="1">
      <c r="A1983" s="68">
        <f t="shared" si="82"/>
        <v>0</v>
      </c>
      <c r="B1983" s="69" t="s">
        <v>123</v>
      </c>
      <c r="C1983" s="69"/>
      <c r="D1983" s="111"/>
      <c r="E1983" s="88">
        <f>VLOOKUP($B1983,[1]DG!A:D,[1]DG!$B$2,)</f>
        <v>0</v>
      </c>
      <c r="F1983" s="89" t="str">
        <f>VLOOKUP($B1983,[1]DG!A:D,[1]DG!$C$2,)</f>
        <v>Boulon 16x350+ 2 long đền vuông D18-50x50x3/Zn</v>
      </c>
      <c r="G1983" s="88" t="s">
        <v>375</v>
      </c>
      <c r="H1983" s="145">
        <f>H1979*2</f>
        <v>0</v>
      </c>
      <c r="I1983" s="91">
        <f t="shared" si="83"/>
        <v>0</v>
      </c>
      <c r="J1983" s="146"/>
      <c r="K1983" s="146"/>
      <c r="L1983" s="96"/>
      <c r="M1983" s="56">
        <v>560</v>
      </c>
    </row>
    <row r="1984" spans="1:13" s="51" customFormat="1" ht="25.2" hidden="1" customHeight="1">
      <c r="A1984" s="68">
        <f t="shared" si="82"/>
        <v>0</v>
      </c>
      <c r="B1984" s="69" t="s">
        <v>231</v>
      </c>
      <c r="C1984" s="69"/>
      <c r="D1984" s="111"/>
      <c r="E1984" s="88">
        <f>VLOOKUP($B1984,[1]DG!A:D,[1]DG!$B$2,)</f>
        <v>0</v>
      </c>
      <c r="F1984" s="89" t="str">
        <f>VLOOKUP($B1984,[1]DG!A:D,[1]DG!$C$2,)</f>
        <v>Boulon 16x50+ 2 long đền vuông D18-50x50x3/Zn</v>
      </c>
      <c r="G1984" s="88" t="s">
        <v>375</v>
      </c>
      <c r="H1984" s="145">
        <f>H1979*2</f>
        <v>0</v>
      </c>
      <c r="I1984" s="91">
        <f t="shared" si="83"/>
        <v>0</v>
      </c>
      <c r="J1984" s="146"/>
      <c r="K1984" s="146"/>
      <c r="L1984" s="96"/>
      <c r="M1984" s="56">
        <v>560</v>
      </c>
    </row>
    <row r="1985" spans="1:13" s="51" customFormat="1" ht="25.2" hidden="1" customHeight="1">
      <c r="A1985" s="68">
        <f t="shared" si="82"/>
        <v>0</v>
      </c>
      <c r="B1985" s="69" t="s">
        <v>381</v>
      </c>
      <c r="C1985" s="69"/>
      <c r="D1985" s="111"/>
      <c r="E1985" s="88">
        <f>VLOOKUP($B1985,[1]DG!A:D,[1]DG!$B$2,)</f>
        <v>0</v>
      </c>
      <c r="F1985" s="89" t="str">
        <f>VLOOKUP($B1985,[1]DG!A:D,[1]DG!$C$2,)</f>
        <v>Bass LI bắt FCO</v>
      </c>
      <c r="G1985" s="88" t="s">
        <v>375</v>
      </c>
      <c r="H1985" s="145">
        <f>IF(H1979&gt;0,3,)</f>
        <v>0</v>
      </c>
      <c r="I1985" s="91">
        <f t="shared" si="83"/>
        <v>0</v>
      </c>
      <c r="J1985" s="146"/>
      <c r="K1985" s="146"/>
      <c r="L1985" s="96"/>
      <c r="M1985" s="56">
        <v>560</v>
      </c>
    </row>
    <row r="1986" spans="1:13" s="51" customFormat="1" ht="25.2" hidden="1" customHeight="1">
      <c r="A1986" s="68">
        <f t="shared" si="82"/>
        <v>0</v>
      </c>
      <c r="B1986" s="69" t="s">
        <v>382</v>
      </c>
      <c r="C1986" s="69"/>
      <c r="D1986" s="111"/>
      <c r="E1986" s="88" t="str">
        <f>VLOOKUP($B1986,[1]DG!A:D,[1]DG!$B$2,)</f>
        <v>06.3231</v>
      </c>
      <c r="F1986" s="89" t="str">
        <f>VLOOKUP($B1986,[1]DG!A:D,[1]DG!$C$2,)</f>
        <v xml:space="preserve">Cổ dê chống lắc 8x80x800 </v>
      </c>
      <c r="G1986" s="88" t="s">
        <v>375</v>
      </c>
      <c r="H1986" s="145">
        <f>H1979*0</f>
        <v>0</v>
      </c>
      <c r="I1986" s="91">
        <f t="shared" si="83"/>
        <v>0</v>
      </c>
      <c r="J1986" s="146"/>
      <c r="K1986" s="146"/>
      <c r="L1986" s="96"/>
      <c r="M1986" s="56">
        <v>560</v>
      </c>
    </row>
    <row r="1987" spans="1:13" s="51" customFormat="1" ht="25.2" hidden="1" customHeight="1">
      <c r="A1987" s="68">
        <f t="shared" si="82"/>
        <v>0</v>
      </c>
      <c r="B1987" s="69" t="s">
        <v>383</v>
      </c>
      <c r="C1987" s="69"/>
      <c r="D1987" s="111"/>
      <c r="E1987" s="88" t="str">
        <f>VLOOKUP($B1987,[1]DG!A:D,[1]DG!$B$2,)</f>
        <v>05.6102</v>
      </c>
      <c r="F1987" s="89" t="str">
        <f>VLOOKUP($B1987,[1]DG!A:D,[1]DG!$C$2,)</f>
        <v>Lắp xà đỡ ≤ 50kg</v>
      </c>
      <c r="G1987" s="88" t="s">
        <v>375</v>
      </c>
      <c r="H1987" s="145">
        <f>H1979</f>
        <v>0</v>
      </c>
      <c r="I1987" s="91">
        <f t="shared" si="83"/>
        <v>0</v>
      </c>
      <c r="J1987" s="146"/>
      <c r="K1987" s="146"/>
      <c r="L1987" s="96"/>
      <c r="M1987" s="56">
        <v>560</v>
      </c>
    </row>
    <row r="1988" spans="1:13" s="51" customFormat="1" ht="25.2" hidden="1" customHeight="1">
      <c r="A1988" s="68">
        <f t="shared" si="82"/>
        <v>0</v>
      </c>
      <c r="B1988" s="69"/>
      <c r="C1988" s="69"/>
      <c r="D1988" s="220">
        <f>IF(H1988&gt;0,D1979+1,D1979)</f>
        <v>0</v>
      </c>
      <c r="E1988" s="238"/>
      <c r="F1988" s="329" t="s">
        <v>384</v>
      </c>
      <c r="G1988" s="220" t="s">
        <v>67</v>
      </c>
      <c r="H1988" s="240">
        <f>H1906</f>
        <v>0</v>
      </c>
      <c r="I1988" s="91">
        <f t="shared" si="83"/>
        <v>0</v>
      </c>
      <c r="J1988" s="146"/>
      <c r="K1988" s="146"/>
      <c r="L1988" s="96"/>
      <c r="M1988" s="56">
        <v>560</v>
      </c>
    </row>
    <row r="1989" spans="1:13" s="51" customFormat="1" ht="25.2" hidden="1" customHeight="1">
      <c r="A1989" s="68">
        <f>IF(A1988&gt;0,1,0)</f>
        <v>0</v>
      </c>
      <c r="B1989" s="330"/>
      <c r="C1989" s="330"/>
      <c r="D1989" s="111"/>
      <c r="E1989" s="242"/>
      <c r="F1989" s="243" t="s">
        <v>68</v>
      </c>
      <c r="G1989" s="87"/>
      <c r="H1989" s="145"/>
      <c r="I1989" s="91">
        <f t="shared" si="83"/>
        <v>0</v>
      </c>
      <c r="J1989" s="146"/>
      <c r="K1989" s="146"/>
      <c r="L1989" s="96"/>
      <c r="M1989" s="56">
        <v>560</v>
      </c>
    </row>
    <row r="1990" spans="1:13" s="51" customFormat="1" ht="25.2" hidden="1" customHeight="1">
      <c r="A1990" s="68">
        <f t="shared" si="82"/>
        <v>0</v>
      </c>
      <c r="B1990" s="69" t="s">
        <v>81</v>
      </c>
      <c r="C1990" s="69"/>
      <c r="D1990" s="111"/>
      <c r="E1990" s="88">
        <f>VLOOKUP($B1990,[1]DG!A:D,[1]DG!$B$2,)</f>
        <v>0</v>
      </c>
      <c r="F1990" s="89" t="str">
        <f>VLOOKUP($B1990,[1]DG!A:D,[1]DG!$C$2,)</f>
        <v>Cáp đồng trần M25mm2</v>
      </c>
      <c r="G1990" s="88" t="str">
        <f>VLOOKUP($B1990,[1]DG!A:D,[1]DG!$D$2,)</f>
        <v>kg</v>
      </c>
      <c r="H1990" s="145">
        <f>I3*0.224*H1988</f>
        <v>0</v>
      </c>
      <c r="I1990" s="91">
        <f t="shared" si="83"/>
        <v>0</v>
      </c>
      <c r="J1990" s="146"/>
      <c r="K1990" s="146"/>
      <c r="L1990" s="96"/>
      <c r="M1990" s="56">
        <v>560</v>
      </c>
    </row>
    <row r="1991" spans="1:13" s="51" customFormat="1" ht="25.2" hidden="1" customHeight="1">
      <c r="A1991" s="68">
        <f t="shared" si="82"/>
        <v>0</v>
      </c>
      <c r="B1991" s="69" t="s">
        <v>81</v>
      </c>
      <c r="C1991" s="69"/>
      <c r="D1991" s="111"/>
      <c r="E1991" s="88">
        <f>VLOOKUP($B1991,[1]DG!A:D,[1]DG!$B$2,)</f>
        <v>0</v>
      </c>
      <c r="F1991" s="89" t="str">
        <f>VLOOKUP($B1991,[1]DG!A:D,[1]DG!$C$2,)&amp;": 17m noái leân voû caùc thieát bò"</f>
        <v>Cáp đồng trần M25mm2: 17m noái leân voû caùc thieát bò</v>
      </c>
      <c r="G1991" s="88" t="str">
        <f>VLOOKUP($B1991,[1]DG!A:D,[1]DG!$D$2,)</f>
        <v>kg</v>
      </c>
      <c r="H1991" s="145">
        <f>17*0.224*H1988*0</f>
        <v>0</v>
      </c>
      <c r="I1991" s="91">
        <f t="shared" si="83"/>
        <v>0</v>
      </c>
      <c r="J1991" s="146"/>
      <c r="K1991" s="146"/>
      <c r="L1991" s="96"/>
      <c r="M1991" s="56">
        <v>560</v>
      </c>
    </row>
    <row r="1992" spans="1:13" s="51" customFormat="1" ht="25.2" hidden="1" customHeight="1">
      <c r="A1992" s="68">
        <f t="shared" si="82"/>
        <v>0</v>
      </c>
      <c r="B1992" s="86" t="s">
        <v>82</v>
      </c>
      <c r="C1992" s="86"/>
      <c r="D1992" s="111"/>
      <c r="E1992" s="88">
        <f>VLOOKUP($B1992,[1]DG!A:D,[1]DG!$B$2,)</f>
        <v>0</v>
      </c>
      <c r="F1992" s="89" t="str">
        <f>VLOOKUP($B1992,[1]DG!A:D,[1]DG!$C$2,)</f>
        <v>Cọc tiếp đất Þ 16- 2,4m + kẹp cọc mạ đồng</v>
      </c>
      <c r="G1992" s="88" t="str">
        <f>VLOOKUP($B1992,[1]DG!A:D,[1]DG!$D$2,)</f>
        <v>bộ</v>
      </c>
      <c r="H1992" s="145">
        <f>I2*H1988</f>
        <v>0</v>
      </c>
      <c r="I1992" s="91">
        <f t="shared" si="83"/>
        <v>0</v>
      </c>
      <c r="J1992" s="146"/>
      <c r="K1992" s="146"/>
      <c r="L1992" s="96"/>
      <c r="M1992" s="56">
        <v>560</v>
      </c>
    </row>
    <row r="1993" spans="1:13" s="51" customFormat="1" ht="25.2" hidden="1" customHeight="1">
      <c r="A1993" s="68">
        <f t="shared" si="82"/>
        <v>0</v>
      </c>
      <c r="B1993" s="86" t="s">
        <v>83</v>
      </c>
      <c r="C1993" s="86"/>
      <c r="D1993" s="111"/>
      <c r="E1993" s="88" t="str">
        <f>VLOOKUP($B1993,[1]DG!A:D,[1]DG!$B$2,)</f>
        <v>07.2403</v>
      </c>
      <c r="F1993" s="89" t="str">
        <f>VLOOKUP($B1993,[1]DG!A:D,[1]DG!$C$2,)</f>
        <v xml:space="preserve">Ống PVC D21x1,6mm </v>
      </c>
      <c r="G1993" s="88" t="str">
        <f>VLOOKUP($B1993,[1]DG!A:D,[1]DG!$D$2,)</f>
        <v>m</v>
      </c>
      <c r="H1993" s="145">
        <f>H1988*12</f>
        <v>0</v>
      </c>
      <c r="I1993" s="91">
        <f t="shared" si="83"/>
        <v>0</v>
      </c>
      <c r="J1993" s="146"/>
      <c r="K1993" s="146"/>
      <c r="L1993" s="117"/>
      <c r="M1993" s="56">
        <v>560</v>
      </c>
    </row>
    <row r="1994" spans="1:13" s="51" customFormat="1" ht="25.2" hidden="1" customHeight="1">
      <c r="A1994" s="68">
        <f t="shared" si="82"/>
        <v>0</v>
      </c>
      <c r="B1994" s="69" t="s">
        <v>184</v>
      </c>
      <c r="C1994" s="69"/>
      <c r="D1994" s="111"/>
      <c r="E1994" s="88">
        <f>VLOOKUP($B1994,[1]DG!A:D,[1]DG!$B$2,)</f>
        <v>0</v>
      </c>
      <c r="F1994" s="89" t="str">
        <f>VLOOKUP($B1994,[1]DG!A:D,[1]DG!$C$2,)&amp; " bắt dây trung tính "</f>
        <v xml:space="preserve">Kẹp ép WR cỡ dây 50mm2 bắt dây trung tính </v>
      </c>
      <c r="G1994" s="88" t="str">
        <f>VLOOKUP($B1994,[1]DG!A:D,[1]DG!$D$2,)</f>
        <v>cái</v>
      </c>
      <c r="H1994" s="145">
        <f>2*H1988</f>
        <v>0</v>
      </c>
      <c r="I1994" s="91">
        <f t="shared" si="83"/>
        <v>0</v>
      </c>
      <c r="J1994" s="146"/>
      <c r="K1994" s="146"/>
      <c r="L1994" s="96"/>
      <c r="M1994" s="56">
        <v>560</v>
      </c>
    </row>
    <row r="1995" spans="1:13" s="51" customFormat="1" ht="25.2" hidden="1" customHeight="1">
      <c r="A1995" s="68">
        <f t="shared" si="82"/>
        <v>0</v>
      </c>
      <c r="B1995" s="69" t="s">
        <v>154</v>
      </c>
      <c r="C1995" s="69"/>
      <c r="D1995" s="331"/>
      <c r="E1995" s="88" t="str">
        <f>VLOOKUP($B1995,[1]DG!A:D,[1]DG!$B$2,)</f>
        <v>04.3107</v>
      </c>
      <c r="F1995" s="89" t="str">
        <f>VLOOKUP($B1995,[1]DG!A:D,[1]DG!$C$2,)&amp;":bắt lưới TĐ"</f>
        <v>Ốc siết cáp cỡ 25mm2:bắt lưới TĐ</v>
      </c>
      <c r="G1995" s="88" t="str">
        <f>VLOOKUP($B1995,[1]DG!A:D,[1]DG!$D$2,)</f>
        <v>cái</v>
      </c>
      <c r="H1995" s="145">
        <f>H1988*14</f>
        <v>0</v>
      </c>
      <c r="I1995" s="91">
        <f t="shared" si="83"/>
        <v>0</v>
      </c>
      <c r="J1995" s="146"/>
      <c r="K1995" s="146"/>
      <c r="L1995" s="96"/>
      <c r="M1995" s="56">
        <v>560</v>
      </c>
    </row>
    <row r="1996" spans="1:13" s="51" customFormat="1" ht="25.2" hidden="1" customHeight="1">
      <c r="A1996" s="68">
        <f t="shared" si="82"/>
        <v>0</v>
      </c>
      <c r="B1996" s="86" t="s">
        <v>535</v>
      </c>
      <c r="C1996" s="86"/>
      <c r="D1996" s="111"/>
      <c r="E1996" s="88">
        <f>VLOOKUP($B1996,[1]DG!A:D,[1]DG!$B$2,)</f>
        <v>0</v>
      </c>
      <c r="F1996" s="89" t="str">
        <f>VLOOKUP($B1996,[1]DG!A:D,[1]DG!$C$2,)</f>
        <v>Boulon 12x30+ 2 long đền vuông D14-50x50x3/Zn</v>
      </c>
      <c r="G1996" s="88" t="str">
        <f>VLOOKUP($B1996,[1]DG!A:D,[1]DG!$D$2,)</f>
        <v>bộ</v>
      </c>
      <c r="H1996" s="145">
        <f>H1988*1</f>
        <v>0</v>
      </c>
      <c r="I1996" s="91">
        <f t="shared" si="83"/>
        <v>0</v>
      </c>
      <c r="J1996" s="146"/>
      <c r="K1996" s="146"/>
      <c r="L1996" s="96"/>
      <c r="M1996" s="56">
        <v>560</v>
      </c>
    </row>
    <row r="1997" spans="1:13" s="51" customFormat="1" ht="25.2" hidden="1" customHeight="1">
      <c r="A1997" s="68">
        <f t="shared" si="82"/>
        <v>0</v>
      </c>
      <c r="B1997" s="86" t="s">
        <v>198</v>
      </c>
      <c r="C1997" s="86"/>
      <c r="D1997" s="111"/>
      <c r="E1997" s="88" t="str">
        <f>VLOOKUP($B1997,[1]DG!A:D,[1]DG!$B$2,)</f>
        <v>03.4001</v>
      </c>
      <c r="F1997" s="89" t="str">
        <f>VLOOKUP($B1997,[1]DG!A:D,[1]DG!$C$2,)</f>
        <v>Đầu cosse ép Cu 25mm2</v>
      </c>
      <c r="G1997" s="88" t="str">
        <f>VLOOKUP($B1997,[1]DG!A:D,[1]DG!$D$2,)</f>
        <v>cái</v>
      </c>
      <c r="H1997" s="145">
        <f>H1996*2</f>
        <v>0</v>
      </c>
      <c r="I1997" s="91">
        <f t="shared" si="83"/>
        <v>0</v>
      </c>
      <c r="J1997" s="146"/>
      <c r="K1997" s="146"/>
      <c r="L1997" s="96"/>
      <c r="M1997" s="56">
        <v>560</v>
      </c>
    </row>
    <row r="1998" spans="1:13" s="51" customFormat="1" ht="25.2" hidden="1" customHeight="1">
      <c r="A1998" s="68">
        <f t="shared" si="82"/>
        <v>0</v>
      </c>
      <c r="B1998" s="86" t="s">
        <v>86</v>
      </c>
      <c r="C1998" s="86"/>
      <c r="D1998" s="111"/>
      <c r="E1998" s="88" t="str">
        <f>VLOOKUP($B1998,[1]DG!A:D,[1]DG!$B$2,)</f>
        <v>06.3231</v>
      </c>
      <c r="F1998" s="89" t="str">
        <f>VLOOKUP($B1998,[1]DG!A:D,[1]DG!$C$2,)&amp;": CD-250 01 bộ"</f>
        <v>Cổ dê kẹp ống PVC  21: CD-250 01 bộ</v>
      </c>
      <c r="G1998" s="88" t="str">
        <f>VLOOKUP($B1998,[1]DG!A:D,[1]DG!$D$2,)</f>
        <v>bộ</v>
      </c>
      <c r="H1998" s="145">
        <f>H1988*0.415</f>
        <v>0</v>
      </c>
      <c r="I1998" s="91">
        <f t="shared" si="83"/>
        <v>0</v>
      </c>
      <c r="J1998" s="146"/>
      <c r="K1998" s="146"/>
      <c r="L1998" s="117"/>
      <c r="M1998" s="56">
        <v>560</v>
      </c>
    </row>
    <row r="1999" spans="1:13" s="51" customFormat="1" ht="25.2" hidden="1" customHeight="1">
      <c r="A1999" s="68">
        <f t="shared" si="82"/>
        <v>0</v>
      </c>
      <c r="B1999" s="86" t="s">
        <v>86</v>
      </c>
      <c r="C1999" s="86"/>
      <c r="D1999" s="111"/>
      <c r="E1999" s="88" t="str">
        <f>VLOOKUP($B1999,[1]DG!A:D,[1]DG!$B$2,)</f>
        <v>06.3231</v>
      </c>
      <c r="F1999" s="89" t="str">
        <f>VLOOKUP($B1999,[1]DG!A:D,[1]DG!$C$2,)&amp;": CD-280 01 bộ"</f>
        <v>Cổ dê kẹp ống PVC  21: CD-280 01 bộ</v>
      </c>
      <c r="G1999" s="88" t="str">
        <f>VLOOKUP($B1999,[1]DG!A:D,[1]DG!$D$2,)</f>
        <v>bộ</v>
      </c>
      <c r="H1999" s="145">
        <f>H1988*0.452</f>
        <v>0</v>
      </c>
      <c r="I1999" s="91">
        <f t="shared" si="83"/>
        <v>0</v>
      </c>
      <c r="J1999" s="146"/>
      <c r="K1999" s="146"/>
      <c r="L1999" s="117"/>
      <c r="M1999" s="56">
        <v>560</v>
      </c>
    </row>
    <row r="2000" spans="1:13" s="51" customFormat="1" ht="25.2" hidden="1" customHeight="1">
      <c r="A2000" s="68">
        <f t="shared" si="82"/>
        <v>0</v>
      </c>
      <c r="B2000" s="86" t="s">
        <v>86</v>
      </c>
      <c r="C2000" s="86"/>
      <c r="D2000" s="111"/>
      <c r="E2000" s="88" t="str">
        <f>VLOOKUP($B2000,[1]DG!A:D,[1]DG!$B$2,)</f>
        <v>06.3231</v>
      </c>
      <c r="F2000" s="89" t="str">
        <f>VLOOKUP($B2000,[1]DG!A:D,[1]DG!$C$2,)&amp;": CD-320 01 bộ"</f>
        <v>Cổ dê kẹp ống PVC  21: CD-320 01 bộ</v>
      </c>
      <c r="G2000" s="88" t="str">
        <f>VLOOKUP($B2000,[1]DG!A:D,[1]DG!$D$2,)</f>
        <v>bộ</v>
      </c>
      <c r="H2000" s="145">
        <f>H1988*0.501</f>
        <v>0</v>
      </c>
      <c r="I2000" s="91">
        <f t="shared" si="83"/>
        <v>0</v>
      </c>
      <c r="J2000" s="146"/>
      <c r="K2000" s="146"/>
      <c r="L2000" s="117"/>
      <c r="M2000" s="56">
        <v>560</v>
      </c>
    </row>
    <row r="2001" spans="1:16" s="51" customFormat="1" ht="25.2" hidden="1" customHeight="1">
      <c r="A2001" s="68">
        <f t="shared" si="82"/>
        <v>0</v>
      </c>
      <c r="B2001" s="86" t="s">
        <v>87</v>
      </c>
      <c r="C2001" s="86"/>
      <c r="D2001" s="111"/>
      <c r="E2001" s="88" t="str">
        <f>VLOOKUP($B2001,[1]DG!A:D,[1]DG!$B$2,)</f>
        <v>06.2110</v>
      </c>
      <c r="F2001" s="89" t="str">
        <f>VLOOKUP($B2001,[1]DG!A:D,[1]DG!$C$2,)</f>
        <v>Lắp cổ dề</v>
      </c>
      <c r="G2001" s="88" t="str">
        <f>VLOOKUP($B2001,[1]DG!A:D,[1]DG!$D$2,)</f>
        <v>bộ</v>
      </c>
      <c r="H2001" s="145">
        <f>H1988*3</f>
        <v>0</v>
      </c>
      <c r="I2001" s="91">
        <f t="shared" si="83"/>
        <v>0</v>
      </c>
      <c r="J2001" s="146"/>
      <c r="K2001" s="146"/>
      <c r="L2001" s="117"/>
      <c r="M2001" s="56">
        <v>560</v>
      </c>
    </row>
    <row r="2002" spans="1:16" s="51" customFormat="1" ht="25.2" hidden="1" customHeight="1">
      <c r="A2002" s="68">
        <f t="shared" si="82"/>
        <v>0</v>
      </c>
      <c r="B2002" s="86" t="s">
        <v>131</v>
      </c>
      <c r="C2002" s="86"/>
      <c r="D2002" s="111"/>
      <c r="E2002" s="88">
        <f>VLOOKUP($B2002,[1]DG!A:D,[1]DG!$B$2,)</f>
        <v>0</v>
      </c>
      <c r="F2002" s="89" t="str">
        <f>VLOOKUP($B2002,[1]DG!A:D,[1]DG!$C$2,)</f>
        <v>Boulon 12x40+ 2 long đền vuông D14-50x50x3/Zn</v>
      </c>
      <c r="G2002" s="88" t="str">
        <f>VLOOKUP($B2002,[1]DG!A:D,[1]DG!$D$2,)</f>
        <v>bộ</v>
      </c>
      <c r="H2002" s="145">
        <f>H1988*6</f>
        <v>0</v>
      </c>
      <c r="I2002" s="91">
        <f t="shared" si="83"/>
        <v>0</v>
      </c>
      <c r="J2002" s="146"/>
      <c r="K2002" s="146"/>
      <c r="L2002" s="117"/>
      <c r="M2002" s="56">
        <v>560</v>
      </c>
    </row>
    <row r="2003" spans="1:16" s="51" customFormat="1" ht="25.2" hidden="1" customHeight="1">
      <c r="A2003" s="68">
        <f t="shared" si="82"/>
        <v>0</v>
      </c>
      <c r="B2003" s="86" t="s">
        <v>157</v>
      </c>
      <c r="C2003" s="86"/>
      <c r="D2003" s="111"/>
      <c r="E2003" s="88">
        <f>VLOOKUP($B2003,[1]DG!A:D,[1]DG!$B$2,)</f>
        <v>0</v>
      </c>
      <c r="F2003" s="89" t="str">
        <f>VLOOKUP($B2003,[1]DG!A:D,[1]DG!$C$2,)</f>
        <v>Boulon 12x60+ 2 long đền vuông D14-50x50x3/Zn</v>
      </c>
      <c r="G2003" s="88" t="str">
        <f>VLOOKUP($B2003,[1]DG!A:D,[1]DG!$D$2,)</f>
        <v>bộ</v>
      </c>
      <c r="H2003" s="145">
        <f>H2002</f>
        <v>0</v>
      </c>
      <c r="I2003" s="91">
        <f t="shared" si="83"/>
        <v>0</v>
      </c>
      <c r="J2003" s="146"/>
      <c r="K2003" s="146"/>
      <c r="L2003" s="117"/>
      <c r="M2003" s="56">
        <v>560</v>
      </c>
    </row>
    <row r="2004" spans="1:16" s="51" customFormat="1" ht="25.2" hidden="1" customHeight="1">
      <c r="A2004" s="68">
        <f t="shared" si="82"/>
        <v>0</v>
      </c>
      <c r="B2004" s="86" t="s">
        <v>290</v>
      </c>
      <c r="C2004" s="86"/>
      <c r="D2004" s="111"/>
      <c r="E2004" s="88">
        <f>VLOOKUP($B2004,[1]DG!A:D,[1]DG!$B$2,)</f>
        <v>0</v>
      </c>
      <c r="F2004" s="89" t="str">
        <f>VLOOKUP($B2004,[1]DG!A:D,[1]DG!$C$2,)</f>
        <v>Giếng tiếp địa khoan đất</v>
      </c>
      <c r="G2004" s="88" t="str">
        <f>VLOOKUP($B2004,[1]DG!A:D,[1]DG!$D$2,)</f>
        <v>Cái</v>
      </c>
      <c r="H2004" s="145">
        <f>L3*H1988</f>
        <v>0</v>
      </c>
      <c r="I2004" s="91">
        <f t="shared" si="83"/>
        <v>0</v>
      </c>
      <c r="J2004" s="146"/>
      <c r="K2004" s="146"/>
      <c r="L2004" s="96"/>
      <c r="M2004" s="56">
        <v>560</v>
      </c>
    </row>
    <row r="2005" spans="1:16" s="51" customFormat="1" ht="25.2" hidden="1" customHeight="1">
      <c r="A2005" s="68">
        <f t="shared" si="82"/>
        <v>0</v>
      </c>
      <c r="B2005" s="86" t="str">
        <f>"DTD"&amp;chitiet!G5</f>
        <v>DTD3</v>
      </c>
      <c r="C2005" s="86"/>
      <c r="D2005" s="87"/>
      <c r="E2005" s="88" t="str">
        <f>VLOOKUP($B2005,[1]DG!A:D,[1]DG!$B$2,)</f>
        <v>03.3123</v>
      </c>
      <c r="F2005" s="89" t="str">
        <f>VLOOKUP($B2005,[1]DG!A:D,[1]DG!$C$2,)</f>
        <v>Đào rãnh tiếp địa đất cấp 3</v>
      </c>
      <c r="G2005" s="88" t="str">
        <f>VLOOKUP($B2005,[1]DG!A:D,[1]DG!$D$2,)</f>
        <v>m3</v>
      </c>
      <c r="H2005" s="94">
        <f>I3*H1988</f>
        <v>0</v>
      </c>
      <c r="I2005" s="91">
        <f t="shared" si="83"/>
        <v>0</v>
      </c>
      <c r="J2005" s="146"/>
      <c r="K2005" s="146"/>
      <c r="L2005" s="96"/>
      <c r="M2005" s="56">
        <v>560</v>
      </c>
    </row>
    <row r="2006" spans="1:16" s="51" customFormat="1" ht="25.2" hidden="1" customHeight="1">
      <c r="A2006" s="68">
        <f t="shared" si="82"/>
        <v>0</v>
      </c>
      <c r="B2006" s="86" t="str">
        <f>"DATD"&amp;chitiet!G5</f>
        <v>DATD3</v>
      </c>
      <c r="C2006" s="86"/>
      <c r="D2006" s="87"/>
      <c r="E2006" s="88" t="str">
        <f>VLOOKUP($B2006,[1]DG!A:D,[1]DG!$B$2,)</f>
        <v>03.4123</v>
      </c>
      <c r="F2006" s="89" t="str">
        <f>VLOOKUP($B2006,[1]DG!A:D,[1]DG!$C$2,)</f>
        <v>Đắp đất rãnh tiếp độ chặt k=0,85</v>
      </c>
      <c r="G2006" s="88" t="str">
        <f>VLOOKUP($B2006,[1]DG!A:D,[1]DG!$D$2,)</f>
        <v>m3</v>
      </c>
      <c r="H2006" s="94">
        <f>H2005</f>
        <v>0</v>
      </c>
      <c r="I2006" s="91">
        <f t="shared" si="83"/>
        <v>0</v>
      </c>
      <c r="J2006" s="146"/>
      <c r="K2006" s="146"/>
      <c r="L2006" s="96"/>
      <c r="M2006" s="56">
        <v>560</v>
      </c>
    </row>
    <row r="2007" spans="1:16" s="51" customFormat="1" ht="25.2" hidden="1" customHeight="1">
      <c r="A2007" s="68">
        <f t="shared" si="82"/>
        <v>0</v>
      </c>
      <c r="B2007" s="86" t="s">
        <v>89</v>
      </c>
      <c r="C2007" s="86"/>
      <c r="D2007" s="87"/>
      <c r="E2007" s="88" t="str">
        <f>VLOOKUP($B2007,[1]DG!A:D,[1]DG!$B$2,)</f>
        <v>04.7001</v>
      </c>
      <c r="F2007" s="89" t="str">
        <f>VLOOKUP($B2007,[1]DG!A:D,[1]DG!$C$2,)</f>
        <v>Đóng cọc tiếp địa trong TBA</v>
      </c>
      <c r="G2007" s="88" t="str">
        <f>VLOOKUP($B2007,[1]DG!A:D,[1]DG!$D$2,)</f>
        <v>cọc</v>
      </c>
      <c r="H2007" s="94">
        <f>H1992</f>
        <v>0</v>
      </c>
      <c r="I2007" s="91">
        <f t="shared" si="83"/>
        <v>0</v>
      </c>
      <c r="J2007" s="146"/>
      <c r="K2007" s="146"/>
      <c r="L2007" s="96"/>
      <c r="M2007" s="56">
        <v>560</v>
      </c>
    </row>
    <row r="2008" spans="1:16" s="51" customFormat="1" ht="25.2" hidden="1" customHeight="1">
      <c r="A2008" s="68">
        <f t="shared" si="82"/>
        <v>0</v>
      </c>
      <c r="B2008" s="86" t="s">
        <v>387</v>
      </c>
      <c r="C2008" s="86"/>
      <c r="D2008" s="111"/>
      <c r="E2008" s="88" t="str">
        <f>VLOOKUP($B2008,[1]DG!A:D,[1]DG!$B$2,)</f>
        <v>04.7002</v>
      </c>
      <c r="F2008" s="89" t="str">
        <f>VLOOKUP($B2008,[1]DG!A:D,[1]DG!$C$2,)</f>
        <v>Kéo dây tiếp địa trong TBA</v>
      </c>
      <c r="G2008" s="88" t="str">
        <f>VLOOKUP($B2008,[1]DG!A:D,[1]DG!$D$2,)</f>
        <v>mét</v>
      </c>
      <c r="H2008" s="145">
        <f>H1988*I3</f>
        <v>0</v>
      </c>
      <c r="I2008" s="91">
        <f t="shared" si="83"/>
        <v>0</v>
      </c>
      <c r="J2008" s="146"/>
      <c r="K2008" s="146"/>
      <c r="L2008" s="96"/>
      <c r="M2008" s="56">
        <v>560</v>
      </c>
    </row>
    <row r="2009" spans="1:16" s="51" customFormat="1" ht="25.2" hidden="1" customHeight="1">
      <c r="A2009" s="68">
        <f t="shared" si="82"/>
        <v>0</v>
      </c>
      <c r="B2009" s="69"/>
      <c r="C2009" s="69"/>
      <c r="D2009" s="220">
        <f>IF(H2009&gt;0,D1988+1,D1988)</f>
        <v>0</v>
      </c>
      <c r="E2009" s="238"/>
      <c r="F2009" s="239" t="s">
        <v>536</v>
      </c>
      <c r="G2009" s="220" t="s">
        <v>67</v>
      </c>
      <c r="H2009" s="240">
        <f>H1915</f>
        <v>0</v>
      </c>
      <c r="I2009" s="91">
        <f t="shared" si="83"/>
        <v>0</v>
      </c>
      <c r="J2009" s="146"/>
      <c r="K2009" s="146"/>
      <c r="L2009" s="117"/>
      <c r="M2009" s="56">
        <v>560</v>
      </c>
    </row>
    <row r="2010" spans="1:16" s="51" customFormat="1" ht="25.2" hidden="1" customHeight="1">
      <c r="A2010" s="68">
        <f>IF(A2009&gt;0,1,0)</f>
        <v>0</v>
      </c>
      <c r="B2010" s="69"/>
      <c r="C2010" s="69"/>
      <c r="D2010" s="111"/>
      <c r="E2010" s="242"/>
      <c r="F2010" s="243" t="s">
        <v>68</v>
      </c>
      <c r="G2010" s="87"/>
      <c r="H2010" s="145"/>
      <c r="I2010" s="91">
        <f t="shared" si="83"/>
        <v>0</v>
      </c>
      <c r="J2010" s="146"/>
      <c r="K2010" s="146"/>
      <c r="L2010" s="117"/>
      <c r="M2010" s="56">
        <v>560</v>
      </c>
    </row>
    <row r="2011" spans="1:16" s="51" customFormat="1" ht="25.2" hidden="1" customHeight="1">
      <c r="A2011" s="68">
        <f t="shared" si="82"/>
        <v>0</v>
      </c>
      <c r="B2011" s="69" t="s">
        <v>293</v>
      </c>
      <c r="C2011" s="69"/>
      <c r="D2011" s="87"/>
      <c r="E2011" s="88">
        <f>VLOOKUP($B2011,[1]DG!A:D,[1]DG!$B$2,)</f>
        <v>0</v>
      </c>
      <c r="F2011" s="89" t="str">
        <f>VLOOKUP($B2011,[1]DG!A:D,[1]DG!$C$2,)</f>
        <v>Ximăng (PC40)</v>
      </c>
      <c r="G2011" s="88" t="str">
        <f>VLOOKUP($B2011,[1]DG!A:D,[1]DG!$D$2,)</f>
        <v>kg</v>
      </c>
      <c r="H2011" s="145">
        <f>H2009*M2014</f>
        <v>0</v>
      </c>
      <c r="I2011" s="91">
        <f t="shared" si="83"/>
        <v>0</v>
      </c>
      <c r="J2011" s="146"/>
      <c r="K2011" s="146"/>
      <c r="L2011" s="117"/>
      <c r="M2011" s="56">
        <v>560</v>
      </c>
    </row>
    <row r="2012" spans="1:16" s="51" customFormat="1" ht="25.2" hidden="1" customHeight="1">
      <c r="A2012" s="68">
        <f t="shared" si="82"/>
        <v>0</v>
      </c>
      <c r="B2012" s="69" t="s">
        <v>389</v>
      </c>
      <c r="C2012" s="69"/>
      <c r="D2012" s="111"/>
      <c r="E2012" s="88">
        <f>VLOOKUP($B2012,[1]DG!A:D,[1]DG!$B$2,)</f>
        <v>0</v>
      </c>
      <c r="F2012" s="89" t="str">
        <f>VLOOKUP($B2012,[1]DG!A:D,[1]DG!$C$2,)</f>
        <v>Cát vàng</v>
      </c>
      <c r="G2012" s="88" t="str">
        <f>VLOOKUP($B2012,[1]DG!A:D,[1]DG!$D$2,)</f>
        <v>m3</v>
      </c>
      <c r="H2012" s="145">
        <f>H2009*N2014</f>
        <v>0</v>
      </c>
      <c r="I2012" s="91">
        <f t="shared" si="83"/>
        <v>0</v>
      </c>
      <c r="J2012" s="146"/>
      <c r="K2012" s="146"/>
      <c r="L2012" s="117"/>
      <c r="M2012" s="56">
        <v>560</v>
      </c>
    </row>
    <row r="2013" spans="1:16" s="51" customFormat="1" ht="25.2" hidden="1" customHeight="1">
      <c r="A2013" s="68">
        <f t="shared" si="82"/>
        <v>0</v>
      </c>
      <c r="B2013" s="69" t="s">
        <v>295</v>
      </c>
      <c r="C2013" s="69"/>
      <c r="D2013" s="111"/>
      <c r="E2013" s="88">
        <f>VLOOKUP($B2013,[1]DG!A:D,[1]DG!$B$2,)</f>
        <v>0</v>
      </c>
      <c r="F2013" s="89" t="str">
        <f>VLOOKUP($B2013,[1]DG!A:D,[1]DG!$C$2,)</f>
        <v>Đá 1x2</v>
      </c>
      <c r="G2013" s="88" t="str">
        <f>VLOOKUP($B2013,[1]DG!A:D,[1]DG!$D$2,)</f>
        <v>m3</v>
      </c>
      <c r="H2013" s="145">
        <f>H2009*O2014</f>
        <v>0</v>
      </c>
      <c r="I2013" s="91">
        <f t="shared" si="83"/>
        <v>0</v>
      </c>
      <c r="J2013" s="146"/>
      <c r="K2013" s="146"/>
      <c r="L2013" s="117"/>
      <c r="M2013" s="56">
        <v>560</v>
      </c>
    </row>
    <row r="2014" spans="1:16" s="51" customFormat="1" ht="25.2" hidden="1" customHeight="1">
      <c r="A2014" s="68">
        <f t="shared" si="82"/>
        <v>0</v>
      </c>
      <c r="B2014" s="69" t="s">
        <v>296</v>
      </c>
      <c r="C2014" s="69"/>
      <c r="D2014" s="87"/>
      <c r="E2014" s="88" t="str">
        <f>VLOOKUP($B2014,[1]DG!A:D,[1]DG!$B$2,)</f>
        <v>04.1203c</v>
      </c>
      <c r="F2014" s="89" t="str">
        <f>VLOOKUP($B2014,[1]DG!A:D,[1]DG!$C$2,)</f>
        <v>Đổ bê tông móng trụ &lt;=250cm-M200 đá 1x2</v>
      </c>
      <c r="G2014" s="88" t="str">
        <f>VLOOKUP($B2014,[1]DG!A:D,[1]DG!$D$2,)</f>
        <v>m3</v>
      </c>
      <c r="H2014" s="145">
        <f>H2009*(0.4*3*1-2*3.14*0.15^2*0.4)*1.025</f>
        <v>0</v>
      </c>
      <c r="I2014" s="91">
        <f t="shared" si="83"/>
        <v>0</v>
      </c>
      <c r="J2014" s="146"/>
      <c r="K2014" s="146"/>
      <c r="L2014" s="117"/>
      <c r="M2014" s="56">
        <v>560</v>
      </c>
      <c r="N2014" s="245">
        <f>1.025*0.45</f>
        <v>0.46124999999999999</v>
      </c>
      <c r="O2014" s="245">
        <f>1.025*0.866</f>
        <v>0.88764999999999994</v>
      </c>
      <c r="P2014" s="246"/>
    </row>
    <row r="2015" spans="1:16" s="51" customFormat="1" ht="25.2" hidden="1" customHeight="1">
      <c r="A2015" s="68">
        <f t="shared" ref="A2015:A2078" si="84">IF(I2015&gt;0,1,0)</f>
        <v>0</v>
      </c>
      <c r="B2015" s="69"/>
      <c r="C2015" s="69"/>
      <c r="D2015" s="220">
        <f>IF(H2015&gt;0,D2009+1,D2009)</f>
        <v>0</v>
      </c>
      <c r="E2015" s="238"/>
      <c r="F2015" s="239" t="s">
        <v>390</v>
      </c>
      <c r="G2015" s="220" t="s">
        <v>67</v>
      </c>
      <c r="H2015" s="240"/>
      <c r="I2015" s="91">
        <f t="shared" si="83"/>
        <v>0</v>
      </c>
      <c r="J2015" s="146"/>
      <c r="K2015" s="146"/>
      <c r="L2015" s="117"/>
      <c r="M2015" s="56">
        <v>560</v>
      </c>
    </row>
    <row r="2016" spans="1:16" s="51" customFormat="1" ht="25.2" hidden="1" customHeight="1">
      <c r="A2016" s="68">
        <f>IF(A2015&gt;0,1,0)</f>
        <v>0</v>
      </c>
      <c r="B2016" s="69"/>
      <c r="C2016" s="69"/>
      <c r="D2016" s="111"/>
      <c r="E2016" s="242"/>
      <c r="F2016" s="243" t="s">
        <v>68</v>
      </c>
      <c r="G2016" s="87"/>
      <c r="H2016" s="145"/>
      <c r="I2016" s="91">
        <f t="shared" si="83"/>
        <v>0</v>
      </c>
      <c r="J2016" s="146"/>
      <c r="K2016" s="146"/>
      <c r="L2016" s="117"/>
      <c r="M2016" s="56">
        <v>560</v>
      </c>
    </row>
    <row r="2017" spans="1:16" s="51" customFormat="1" ht="25.2" hidden="1" customHeight="1">
      <c r="A2017" s="68">
        <f t="shared" si="84"/>
        <v>0</v>
      </c>
      <c r="B2017" s="69" t="s">
        <v>293</v>
      </c>
      <c r="C2017" s="69"/>
      <c r="D2017" s="87"/>
      <c r="E2017" s="88">
        <f>VLOOKUP($B2017,[1]DG!A:D,[1]DG!$B$2,)</f>
        <v>0</v>
      </c>
      <c r="F2017" s="89" t="str">
        <f>VLOOKUP($B2017,[1]DG!A:D,[1]DG!$C$2,)</f>
        <v>Ximăng (PC40)</v>
      </c>
      <c r="G2017" s="88" t="str">
        <f>VLOOKUP($B2017,[1]DG!A:D,[1]DG!$D$2,)</f>
        <v>kg</v>
      </c>
      <c r="H2017" s="145">
        <f>H2020*M2020</f>
        <v>0</v>
      </c>
      <c r="I2017" s="91">
        <f t="shared" si="83"/>
        <v>0</v>
      </c>
      <c r="J2017" s="146"/>
      <c r="K2017" s="146"/>
      <c r="L2017" s="117"/>
      <c r="M2017" s="56">
        <v>560</v>
      </c>
    </row>
    <row r="2018" spans="1:16" s="51" customFormat="1" ht="25.2" hidden="1" customHeight="1">
      <c r="A2018" s="68">
        <f t="shared" si="84"/>
        <v>0</v>
      </c>
      <c r="B2018" s="69" t="s">
        <v>389</v>
      </c>
      <c r="C2018" s="69"/>
      <c r="D2018" s="111"/>
      <c r="E2018" s="88">
        <f>VLOOKUP($B2018,[1]DG!A:D,[1]DG!$B$2,)</f>
        <v>0</v>
      </c>
      <c r="F2018" s="89" t="str">
        <f>VLOOKUP($B2018,[1]DG!A:D,[1]DG!$C$2,)</f>
        <v>Cát vàng</v>
      </c>
      <c r="G2018" s="88" t="str">
        <f>VLOOKUP($B2018,[1]DG!A:D,[1]DG!$D$2,)</f>
        <v>m3</v>
      </c>
      <c r="H2018" s="244">
        <f>H2020*N2020</f>
        <v>0</v>
      </c>
      <c r="I2018" s="91">
        <f t="shared" si="83"/>
        <v>0</v>
      </c>
      <c r="J2018" s="146"/>
      <c r="K2018" s="146"/>
      <c r="L2018" s="117"/>
      <c r="M2018" s="56">
        <v>560</v>
      </c>
    </row>
    <row r="2019" spans="1:16" s="51" customFormat="1" ht="25.2" hidden="1" customHeight="1">
      <c r="A2019" s="68">
        <f t="shared" si="84"/>
        <v>0</v>
      </c>
      <c r="B2019" s="69" t="s">
        <v>295</v>
      </c>
      <c r="C2019" s="69"/>
      <c r="D2019" s="111"/>
      <c r="E2019" s="88">
        <f>VLOOKUP($B2019,[1]DG!A:D,[1]DG!$B$2,)</f>
        <v>0</v>
      </c>
      <c r="F2019" s="89" t="str">
        <f>VLOOKUP($B2019,[1]DG!A:D,[1]DG!$C$2,)</f>
        <v>Đá 1x2</v>
      </c>
      <c r="G2019" s="88" t="str">
        <f>VLOOKUP($B2019,[1]DG!A:D,[1]DG!$D$2,)</f>
        <v>m3</v>
      </c>
      <c r="H2019" s="244">
        <f>H2020*O2020</f>
        <v>0</v>
      </c>
      <c r="I2019" s="91">
        <f t="shared" si="83"/>
        <v>0</v>
      </c>
      <c r="J2019" s="146"/>
      <c r="K2019" s="146"/>
      <c r="L2019" s="117"/>
      <c r="M2019" s="56">
        <v>560</v>
      </c>
    </row>
    <row r="2020" spans="1:16" s="51" customFormat="1" ht="25.2" hidden="1" customHeight="1">
      <c r="A2020" s="68">
        <f t="shared" si="84"/>
        <v>0</v>
      </c>
      <c r="B2020" s="69" t="s">
        <v>296</v>
      </c>
      <c r="C2020" s="69"/>
      <c r="D2020" s="87"/>
      <c r="E2020" s="88" t="str">
        <f>VLOOKUP($B2020,[1]DG!A:D,[1]DG!$B$2,)</f>
        <v>04.1203c</v>
      </c>
      <c r="F2020" s="89" t="str">
        <f>VLOOKUP($B2020,[1]DG!A:D,[1]DG!$C$2,)</f>
        <v>Đổ bê tông móng trụ &lt;=250cm-M200 đá 1x2</v>
      </c>
      <c r="G2020" s="88" t="str">
        <f>VLOOKUP($B2020,[1]DG!A:D,[1]DG!$D$2,)</f>
        <v>m3</v>
      </c>
      <c r="H2020" s="145">
        <f>H2015*0.2*0.2*(0.2+0.2+0.8+0.8+2*4)</f>
        <v>0</v>
      </c>
      <c r="I2020" s="91">
        <f t="shared" si="83"/>
        <v>0</v>
      </c>
      <c r="J2020" s="146"/>
      <c r="K2020" s="146"/>
      <c r="L2020" s="117"/>
      <c r="M2020" s="56">
        <v>560</v>
      </c>
      <c r="N2020" s="245">
        <f>1.025*0.45</f>
        <v>0.46124999999999999</v>
      </c>
      <c r="O2020" s="245">
        <f>1.025*0.866</f>
        <v>0.88764999999999994</v>
      </c>
      <c r="P2020" s="246"/>
    </row>
    <row r="2021" spans="1:16" s="51" customFormat="1" ht="25.2" hidden="1" customHeight="1">
      <c r="A2021" s="68">
        <f t="shared" si="84"/>
        <v>0</v>
      </c>
      <c r="B2021" s="69"/>
      <c r="C2021" s="69"/>
      <c r="D2021" s="220">
        <f>IF(H2021&gt;0,D2015+1,D2015)</f>
        <v>0</v>
      </c>
      <c r="E2021" s="238"/>
      <c r="F2021" s="239" t="s">
        <v>470</v>
      </c>
      <c r="G2021" s="220" t="s">
        <v>67</v>
      </c>
      <c r="H2021" s="240">
        <f>H1906</f>
        <v>0</v>
      </c>
      <c r="I2021" s="91">
        <f t="shared" si="83"/>
        <v>0</v>
      </c>
      <c r="J2021" s="146"/>
      <c r="K2021" s="146"/>
      <c r="L2021" s="96"/>
      <c r="M2021" s="56">
        <v>560</v>
      </c>
    </row>
    <row r="2022" spans="1:16" s="51" customFormat="1" ht="25.2" hidden="1" customHeight="1">
      <c r="A2022" s="68">
        <f>IF(A2021&gt;0,1,0)</f>
        <v>0</v>
      </c>
      <c r="B2022" s="69"/>
      <c r="C2022" s="69"/>
      <c r="D2022" s="111"/>
      <c r="E2022" s="242"/>
      <c r="F2022" s="243" t="s">
        <v>68</v>
      </c>
      <c r="G2022" s="87"/>
      <c r="H2022" s="145"/>
      <c r="I2022" s="91">
        <f t="shared" si="83"/>
        <v>0</v>
      </c>
      <c r="J2022" s="146"/>
      <c r="K2022" s="146"/>
      <c r="L2022" s="96"/>
      <c r="M2022" s="56">
        <v>560</v>
      </c>
    </row>
    <row r="2023" spans="1:16" s="51" customFormat="1" ht="25.2" hidden="1" customHeight="1">
      <c r="A2023" s="68">
        <f t="shared" si="84"/>
        <v>0</v>
      </c>
      <c r="B2023" s="69" t="s">
        <v>247</v>
      </c>
      <c r="C2023" s="69"/>
      <c r="D2023" s="87"/>
      <c r="E2023" s="88" t="str">
        <f>VLOOKUP($B2023,[1]DG!A:D,[1]DG!$B$2,)</f>
        <v>05.1102</v>
      </c>
      <c r="F2023" s="89" t="str">
        <f>VLOOKUP($B2023,[1]DG!A:D,[1]DG!$C$2,)</f>
        <v>Vỏ tủ + khóa tủ</v>
      </c>
      <c r="G2023" s="88" t="str">
        <f>VLOOKUP($B2023,[1]DG!A:D,[1]DG!$D$2,)</f>
        <v>cái</v>
      </c>
      <c r="H2023" s="145">
        <f>H2021</f>
        <v>0</v>
      </c>
      <c r="I2023" s="91">
        <f t="shared" si="83"/>
        <v>0</v>
      </c>
      <c r="J2023" s="146"/>
      <c r="K2023" s="146"/>
      <c r="L2023" s="96"/>
      <c r="M2023" s="56">
        <v>560</v>
      </c>
    </row>
    <row r="2024" spans="1:16" s="51" customFormat="1" ht="25.2" hidden="1" customHeight="1">
      <c r="A2024" s="68">
        <f t="shared" si="84"/>
        <v>0</v>
      </c>
      <c r="B2024" s="334" t="s">
        <v>500</v>
      </c>
      <c r="C2024" s="334"/>
      <c r="D2024" s="87"/>
      <c r="E2024" s="88" t="str">
        <f>VLOOKUP($B2024,[1]DG!A:D,[1]DG!$B$2,)</f>
        <v>05.1102</v>
      </c>
      <c r="F2024" s="89" t="str">
        <f>VLOOKUP($B2024,[1]DG!A:D,[1]DG!$C$2,)</f>
        <v>Khung đỡ tủ MCCB và tủ bù</v>
      </c>
      <c r="G2024" s="88" t="str">
        <f>VLOOKUP($B2024,[1]DG!A:D,[1]DG!$D$2,)</f>
        <v>trọn bộ</v>
      </c>
      <c r="H2024" s="145"/>
      <c r="I2024" s="91">
        <f t="shared" si="83"/>
        <v>0</v>
      </c>
      <c r="J2024" s="146"/>
      <c r="K2024" s="146"/>
      <c r="L2024" s="96"/>
      <c r="M2024" s="56">
        <v>560</v>
      </c>
    </row>
    <row r="2025" spans="1:16" s="51" customFormat="1" ht="25.2" hidden="1" customHeight="1">
      <c r="A2025" s="68">
        <f t="shared" si="84"/>
        <v>0</v>
      </c>
      <c r="B2025" s="69" t="s">
        <v>394</v>
      </c>
      <c r="C2025" s="69"/>
      <c r="D2025" s="111"/>
      <c r="E2025" s="88">
        <f>VLOOKUP($B2025,[1]DG!A:D,[1]DG!$B$2,)</f>
        <v>0</v>
      </c>
      <c r="F2025" s="89" t="s">
        <v>537</v>
      </c>
      <c r="G2025" s="88" t="str">
        <f>VLOOKUP($B2025,[1]DG!A:D,[1]DG!$D$2,)</f>
        <v>bộ</v>
      </c>
      <c r="H2025" s="244">
        <f>H2021</f>
        <v>0</v>
      </c>
      <c r="I2025" s="91">
        <f t="shared" si="83"/>
        <v>0</v>
      </c>
      <c r="J2025" s="146"/>
      <c r="K2025" s="146"/>
      <c r="L2025" s="96"/>
      <c r="M2025" s="56">
        <v>560</v>
      </c>
    </row>
    <row r="2026" spans="1:16" s="51" customFormat="1" ht="25.2" hidden="1" customHeight="1">
      <c r="A2026" s="68">
        <f t="shared" si="84"/>
        <v>0</v>
      </c>
      <c r="B2026" s="69" t="s">
        <v>96</v>
      </c>
      <c r="C2026" s="69"/>
      <c r="D2026" s="111"/>
      <c r="E2026" s="88">
        <f>VLOOKUP($B2026,[1]DG!A:D,[1]DG!$B$2,)</f>
        <v>0</v>
      </c>
      <c r="F2026" s="89" t="str">
        <f>VLOOKUP($B2026,[1]DG!A:D,[1]DG!$C$2,)</f>
        <v xml:space="preserve">Bakelit 550x450 dầy 10mm </v>
      </c>
      <c r="G2026" s="88" t="str">
        <f>VLOOKUP($B2026,[1]DG!A:D,[1]DG!$D$2,)</f>
        <v>cái</v>
      </c>
      <c r="H2026" s="244">
        <f>H2021*1*0</f>
        <v>0</v>
      </c>
      <c r="I2026" s="91">
        <f t="shared" si="83"/>
        <v>0</v>
      </c>
      <c r="J2026" s="146"/>
      <c r="K2026" s="146"/>
      <c r="L2026" s="96"/>
      <c r="M2026" s="56">
        <v>560</v>
      </c>
    </row>
    <row r="2027" spans="1:16" s="51" customFormat="1" ht="25.2" hidden="1" customHeight="1">
      <c r="A2027" s="68">
        <f t="shared" si="84"/>
        <v>0</v>
      </c>
      <c r="B2027" s="69" t="s">
        <v>117</v>
      </c>
      <c r="C2027" s="69"/>
      <c r="D2027" s="87"/>
      <c r="E2027" s="88" t="str">
        <f>VLOOKUP($B2027,[1]DG!A:D,[1]DG!$B$2,)</f>
        <v>06.3191</v>
      </c>
      <c r="F2027" s="89" t="str">
        <f>VLOOKUP($B2027,[1]DG!A:D,[1]DG!$C$2,)</f>
        <v>Bảng tên trạm, bảng báo nguy hiểm + đinh vít</v>
      </c>
      <c r="G2027" s="88" t="str">
        <f>VLOOKUP($B2027,[1]DG!A:D,[1]DG!$D$2,)</f>
        <v>bộ</v>
      </c>
      <c r="H2027" s="145">
        <f>H2023</f>
        <v>0</v>
      </c>
      <c r="I2027" s="91">
        <f t="shared" si="83"/>
        <v>0</v>
      </c>
      <c r="J2027" s="146"/>
      <c r="K2027" s="146"/>
      <c r="L2027" s="96"/>
      <c r="M2027" s="56">
        <v>560</v>
      </c>
    </row>
    <row r="2028" spans="1:16" s="51" customFormat="1" ht="25.2" hidden="1" customHeight="1">
      <c r="A2028" s="68">
        <f t="shared" si="84"/>
        <v>0</v>
      </c>
      <c r="B2028" s="69"/>
      <c r="C2028" s="69"/>
      <c r="D2028" s="220">
        <f>IF(H2028&gt;0,D2021+1,D2021)</f>
        <v>0</v>
      </c>
      <c r="E2028" s="238"/>
      <c r="F2028" s="239" t="s">
        <v>395</v>
      </c>
      <c r="G2028" s="220" t="s">
        <v>396</v>
      </c>
      <c r="H2028" s="240">
        <f>H1906*0</f>
        <v>0</v>
      </c>
      <c r="I2028" s="91">
        <f t="shared" si="83"/>
        <v>0</v>
      </c>
      <c r="J2028" s="146"/>
      <c r="K2028" s="146"/>
      <c r="L2028" s="117"/>
      <c r="M2028" s="56">
        <v>560</v>
      </c>
    </row>
    <row r="2029" spans="1:16" s="51" customFormat="1" ht="25.2" hidden="1" customHeight="1">
      <c r="A2029" s="68">
        <f>IF(A2028&gt;0,1,0)</f>
        <v>0</v>
      </c>
      <c r="B2029" s="69"/>
      <c r="C2029" s="69"/>
      <c r="D2029" s="111"/>
      <c r="E2029" s="242"/>
      <c r="F2029" s="243" t="s">
        <v>68</v>
      </c>
      <c r="G2029" s="87"/>
      <c r="H2029" s="145"/>
      <c r="I2029" s="91">
        <f t="shared" si="83"/>
        <v>0</v>
      </c>
      <c r="J2029" s="146"/>
      <c r="K2029" s="146"/>
      <c r="L2029" s="117"/>
      <c r="M2029" s="56">
        <v>560</v>
      </c>
    </row>
    <row r="2030" spans="1:16" s="51" customFormat="1" ht="25.2" hidden="1" customHeight="1">
      <c r="A2030" s="68">
        <f t="shared" si="84"/>
        <v>0</v>
      </c>
      <c r="B2030" s="69" t="s">
        <v>389</v>
      </c>
      <c r="C2030" s="69"/>
      <c r="D2030" s="87"/>
      <c r="E2030" s="88">
        <f>VLOOKUP($B2030,[1]DG!A:D,[1]DG!$B$2,)</f>
        <v>0</v>
      </c>
      <c r="F2030" s="92" t="str">
        <f>VLOOKUP($B2030,[1]DG!A:D,[1]DG!$C$2,)&amp;": 0,315m3/m"</f>
        <v>Cát vàng: 0,315m3/m</v>
      </c>
      <c r="G2030" s="88" t="str">
        <f>VLOOKUP($B2030,[1]DG!A:D,[1]DG!$D$2,)</f>
        <v>m3</v>
      </c>
      <c r="H2030" s="145">
        <f>H2028*0.315</f>
        <v>0</v>
      </c>
      <c r="I2030" s="91">
        <f t="shared" si="83"/>
        <v>0</v>
      </c>
      <c r="J2030" s="146"/>
      <c r="K2030" s="146"/>
      <c r="L2030" s="117"/>
      <c r="M2030" s="56">
        <v>560</v>
      </c>
    </row>
    <row r="2031" spans="1:16" s="51" customFormat="1" ht="25.2" hidden="1" customHeight="1">
      <c r="A2031" s="68">
        <f t="shared" si="84"/>
        <v>0</v>
      </c>
      <c r="B2031" s="98" t="s">
        <v>397</v>
      </c>
      <c r="C2031" s="98"/>
      <c r="D2031" s="87"/>
      <c r="E2031" s="88">
        <f>VLOOKUP($B2031,[1]DG!A:D,[1]DG!$B$2,)</f>
        <v>0</v>
      </c>
      <c r="F2031" s="92" t="str">
        <f>VLOOKUP($B2031,[1]DG!A:D,[1]DG!$C$2,)&amp;": 0,092m3/m"</f>
        <v>Đá 2x4: 0,092m3/m</v>
      </c>
      <c r="G2031" s="88" t="str">
        <f>VLOOKUP($B2031,[1]DG!A:D,[1]DG!$D$2,)</f>
        <v>m3</v>
      </c>
      <c r="H2031" s="145">
        <f>0.092*H2028</f>
        <v>0</v>
      </c>
      <c r="I2031" s="91">
        <f t="shared" si="83"/>
        <v>0</v>
      </c>
      <c r="J2031" s="146"/>
      <c r="K2031" s="146"/>
      <c r="L2031" s="117"/>
      <c r="M2031" s="56">
        <v>560</v>
      </c>
    </row>
    <row r="2032" spans="1:16" s="51" customFormat="1" ht="25.2" hidden="1" customHeight="1">
      <c r="A2032" s="68">
        <f t="shared" si="84"/>
        <v>0</v>
      </c>
      <c r="B2032" s="98" t="s">
        <v>398</v>
      </c>
      <c r="C2032" s="98"/>
      <c r="D2032" s="87"/>
      <c r="E2032" s="88">
        <f>VLOOKUP($B2032,[1]DG!A:D,[1]DG!$B$2,)</f>
        <v>0</v>
      </c>
      <c r="F2032" s="92" t="str">
        <f>VLOOKUP($B2032,[1]DG!A:D,[1]DG!$C$2,)&amp;": 3,3vieân/m"</f>
        <v>Gạch tàu: 3,3vieân/m</v>
      </c>
      <c r="G2032" s="88" t="str">
        <f>VLOOKUP($B2032,[1]DG!A:D,[1]DG!$D$2,)</f>
        <v>viên</v>
      </c>
      <c r="H2032" s="145">
        <f>3.3*H2028</f>
        <v>0</v>
      </c>
      <c r="I2032" s="91">
        <f t="shared" si="83"/>
        <v>0</v>
      </c>
      <c r="J2032" s="146"/>
      <c r="K2032" s="146"/>
      <c r="L2032" s="117"/>
      <c r="M2032" s="56">
        <v>560</v>
      </c>
    </row>
    <row r="2033" spans="1:14" s="51" customFormat="1" ht="25.2" hidden="1" customHeight="1">
      <c r="A2033" s="68">
        <f t="shared" si="84"/>
        <v>0</v>
      </c>
      <c r="B2033" s="98" t="s">
        <v>399</v>
      </c>
      <c r="C2033" s="98"/>
      <c r="D2033" s="87"/>
      <c r="E2033" s="88">
        <f>VLOOKUP($B2033,[1]DG!A:D,[1]DG!$B$2,)</f>
        <v>0</v>
      </c>
      <c r="F2033" s="92" t="str">
        <f>VLOOKUP($B2033,[1]DG!A:D,[1]DG!$C$2,)&amp;": 0,4m2/m"</f>
        <v>Tấm nilông màu cảnh báo: 0,4m2/m</v>
      </c>
      <c r="G2033" s="88" t="str">
        <f>VLOOKUP($B2033,[1]DG!A:D,[1]DG!$D$2,)</f>
        <v>m2</v>
      </c>
      <c r="H2033" s="145">
        <f>0.4*H2028</f>
        <v>0</v>
      </c>
      <c r="I2033" s="91">
        <f t="shared" si="83"/>
        <v>0</v>
      </c>
      <c r="J2033" s="146"/>
      <c r="K2033" s="146"/>
      <c r="L2033" s="117"/>
      <c r="M2033" s="56">
        <v>560</v>
      </c>
    </row>
    <row r="2034" spans="1:14" s="51" customFormat="1" ht="25.2" hidden="1" customHeight="1">
      <c r="A2034" s="68">
        <f t="shared" si="84"/>
        <v>0</v>
      </c>
      <c r="B2034" s="98" t="s">
        <v>400</v>
      </c>
      <c r="C2034" s="98"/>
      <c r="D2034" s="111"/>
      <c r="E2034" s="88">
        <f>VLOOKUP($B2034,[1]DG!A:D,[1]DG!$B$2,)</f>
        <v>0</v>
      </c>
      <c r="F2034" s="92" t="str">
        <f>VLOOKUP($B2034,[1]DG!A:D,[1]DG!$C$2,)</f>
        <v>Ống PVC D140x6,7mm</v>
      </c>
      <c r="G2034" s="88" t="str">
        <f>VLOOKUP($B2034,[1]DG!A:D,[1]DG!$D$2,)</f>
        <v>m</v>
      </c>
      <c r="H2034" s="145">
        <f>1*H2028</f>
        <v>0</v>
      </c>
      <c r="I2034" s="91">
        <f t="shared" si="83"/>
        <v>0</v>
      </c>
      <c r="J2034" s="146"/>
      <c r="K2034" s="146"/>
      <c r="L2034" s="117"/>
      <c r="M2034" s="56">
        <v>560</v>
      </c>
    </row>
    <row r="2035" spans="1:14" s="51" customFormat="1" ht="25.2" hidden="1" customHeight="1">
      <c r="A2035" s="68">
        <f t="shared" si="84"/>
        <v>0</v>
      </c>
      <c r="B2035" s="98" t="s">
        <v>401</v>
      </c>
      <c r="C2035" s="98"/>
      <c r="D2035" s="87"/>
      <c r="E2035" s="88" t="str">
        <f>VLOOKUP($B2035,[1]DG!A:D,[1]DG!$B$2,)</f>
        <v>03.7000</v>
      </c>
      <c r="F2035" s="92" t="str">
        <f>VLOOKUP($B2035,[1]DG!A:D,[1]DG!$C$2,)&amp;" + ñaép ñaù"</f>
        <v>Đắp cát  + ñaép ñaù</v>
      </c>
      <c r="G2035" s="88" t="str">
        <f>VLOOKUP($B2035,[1]DG!A:D,[1]DG!$D$2,)</f>
        <v>m3</v>
      </c>
      <c r="H2035" s="145">
        <f>H2030+H2031</f>
        <v>0</v>
      </c>
      <c r="I2035" s="91">
        <f t="shared" si="83"/>
        <v>0</v>
      </c>
      <c r="J2035" s="146"/>
      <c r="K2035" s="146"/>
      <c r="L2035" s="117"/>
      <c r="M2035" s="56">
        <v>560</v>
      </c>
    </row>
    <row r="2036" spans="1:14" s="51" customFormat="1" ht="25.2" hidden="1" customHeight="1">
      <c r="A2036" s="68">
        <f t="shared" si="84"/>
        <v>0</v>
      </c>
      <c r="B2036" s="98" t="s">
        <v>402</v>
      </c>
      <c r="C2036" s="98"/>
      <c r="D2036" s="87"/>
      <c r="E2036" s="88" t="str">
        <f>VLOOKUP($B2036,[1]DG!A:D,[1]DG!$B$2,)</f>
        <v>03.3103</v>
      </c>
      <c r="F2036" s="92" t="str">
        <f>VLOOKUP($B2036,[1]DG!A:D,[1]DG!$C$2,)&amp;" : 0,48m3/m"</f>
        <v>Đào mương cáp ngầm đất cấp 3 : 0,48m3/m</v>
      </c>
      <c r="G2036" s="88" t="str">
        <f>VLOOKUP($B2036,[1]DG!A:D,[1]DG!$D$2,)</f>
        <v>m3</v>
      </c>
      <c r="H2036" s="145">
        <f>H2028*0.48</f>
        <v>0</v>
      </c>
      <c r="I2036" s="91">
        <f t="shared" si="83"/>
        <v>0</v>
      </c>
      <c r="J2036" s="146"/>
      <c r="K2036" s="146"/>
      <c r="L2036" s="117"/>
      <c r="M2036" s="56">
        <v>560</v>
      </c>
    </row>
    <row r="2037" spans="1:14" s="51" customFormat="1" ht="25.2" hidden="1" customHeight="1">
      <c r="A2037" s="68">
        <f t="shared" si="84"/>
        <v>0</v>
      </c>
      <c r="B2037" s="98" t="s">
        <v>403</v>
      </c>
      <c r="C2037" s="98"/>
      <c r="D2037" s="87"/>
      <c r="E2037" s="88" t="str">
        <f>VLOOKUP($B2037,[1]DG!A:D,[1]DG!$B$2,)</f>
        <v>03.3203</v>
      </c>
      <c r="F2037" s="92" t="str">
        <f>VLOOKUP($B2037,[1]DG!A:D,[1]DG!$C$2,)&amp;" : 0,073m3/m"</f>
        <v>Đắp đất mương cáp ngầm, đất cấp 3 : 0,073m3/m</v>
      </c>
      <c r="G2037" s="88" t="str">
        <f>VLOOKUP($B2037,[1]DG!A:D,[1]DG!$D$2,)</f>
        <v>m3</v>
      </c>
      <c r="H2037" s="145">
        <f>H2028*0.073</f>
        <v>0</v>
      </c>
      <c r="I2037" s="91">
        <f t="shared" si="83"/>
        <v>0</v>
      </c>
      <c r="J2037" s="146"/>
      <c r="K2037" s="146"/>
      <c r="L2037" s="117"/>
      <c r="M2037" s="56">
        <v>560</v>
      </c>
      <c r="N2037" s="335">
        <v>0.47499999999999998</v>
      </c>
    </row>
    <row r="2038" spans="1:14" s="51" customFormat="1" ht="25.2" hidden="1" customHeight="1">
      <c r="A2038" s="68">
        <f t="shared" si="84"/>
        <v>0</v>
      </c>
      <c r="B2038" s="69"/>
      <c r="C2038" s="69"/>
      <c r="D2038" s="220">
        <f>IF(H2038&gt;0,D2028+1,D2028)</f>
        <v>0</v>
      </c>
      <c r="E2038" s="238"/>
      <c r="F2038" s="239" t="s">
        <v>404</v>
      </c>
      <c r="G2038" s="220" t="s">
        <v>67</v>
      </c>
      <c r="H2038" s="240">
        <f>H2047</f>
        <v>0</v>
      </c>
      <c r="I2038" s="91">
        <f t="shared" si="83"/>
        <v>0</v>
      </c>
      <c r="J2038" s="146"/>
      <c r="K2038" s="146"/>
      <c r="L2038" s="117"/>
      <c r="M2038" s="56">
        <v>560</v>
      </c>
      <c r="N2038" s="335">
        <v>0.88100000000000001</v>
      </c>
    </row>
    <row r="2039" spans="1:14" s="51" customFormat="1" ht="25.2" hidden="1" customHeight="1">
      <c r="A2039" s="68">
        <f>IF(A2038&gt;0,1,0)</f>
        <v>0</v>
      </c>
      <c r="B2039" s="69"/>
      <c r="C2039" s="69"/>
      <c r="D2039" s="111"/>
      <c r="E2039" s="242"/>
      <c r="F2039" s="243" t="s">
        <v>68</v>
      </c>
      <c r="G2039" s="87"/>
      <c r="H2039" s="145"/>
      <c r="I2039" s="91">
        <f t="shared" si="83"/>
        <v>0</v>
      </c>
      <c r="J2039" s="146"/>
      <c r="K2039" s="146"/>
      <c r="L2039" s="117"/>
      <c r="M2039" s="56">
        <v>560</v>
      </c>
    </row>
    <row r="2040" spans="1:14" s="51" customFormat="1" ht="25.2" hidden="1" customHeight="1">
      <c r="A2040" s="68">
        <f t="shared" si="84"/>
        <v>0</v>
      </c>
      <c r="B2040" s="69" t="s">
        <v>405</v>
      </c>
      <c r="C2040" s="69"/>
      <c r="D2040" s="87"/>
      <c r="E2040" s="88" t="str">
        <f>VLOOKUP($B2040,[1]DG!A:D,[1]DG!$B$2,)</f>
        <v>07.2204</v>
      </c>
      <c r="F2040" s="89" t="str">
        <f>VLOOKUP($B2040,[1]DG!A:D,[1]DG!$C$2,)</f>
        <v>ÔÁng sắt tráng kẽm D140</v>
      </c>
      <c r="G2040" s="88" t="str">
        <f>VLOOKUP($B2040,[1]DG!A:D,[1]DG!$D$2,)</f>
        <v>mét</v>
      </c>
      <c r="H2040" s="145">
        <f>H2038*5*0</f>
        <v>0</v>
      </c>
      <c r="I2040" s="91">
        <f t="shared" si="83"/>
        <v>0</v>
      </c>
      <c r="J2040" s="146"/>
      <c r="K2040" s="146"/>
      <c r="L2040" s="117"/>
      <c r="M2040" s="56">
        <v>560</v>
      </c>
    </row>
    <row r="2041" spans="1:14" s="51" customFormat="1" ht="25.2" hidden="1" customHeight="1">
      <c r="A2041" s="68">
        <f t="shared" si="84"/>
        <v>0</v>
      </c>
      <c r="B2041" s="98" t="s">
        <v>406</v>
      </c>
      <c r="C2041" s="98"/>
      <c r="D2041" s="111"/>
      <c r="E2041" s="88">
        <f>VLOOKUP($B2041,[1]DG!A:D,[1]DG!$B$2,)</f>
        <v>0</v>
      </c>
      <c r="F2041" s="89" t="str">
        <f>VLOOKUP($B2041,[1]DG!A:D,[1]DG!$C$2,)</f>
        <v>Co sừng 90 độ PVC 140</v>
      </c>
      <c r="G2041" s="88" t="str">
        <f>VLOOKUP($B2041,[1]DG!A:D,[1]DG!$D$2,)</f>
        <v>cái</v>
      </c>
      <c r="H2041" s="145">
        <f>H2038*0</f>
        <v>0</v>
      </c>
      <c r="I2041" s="91">
        <f t="shared" si="83"/>
        <v>0</v>
      </c>
      <c r="J2041" s="146"/>
      <c r="K2041" s="146"/>
      <c r="L2041" s="117"/>
      <c r="M2041" s="56">
        <v>560</v>
      </c>
    </row>
    <row r="2042" spans="1:14" s="51" customFormat="1" ht="25.2" hidden="1" customHeight="1">
      <c r="A2042" s="68">
        <f t="shared" si="84"/>
        <v>0</v>
      </c>
      <c r="B2042" s="69" t="s">
        <v>407</v>
      </c>
      <c r="C2042" s="69"/>
      <c r="D2042" s="87"/>
      <c r="E2042" s="88" t="str">
        <f>VLOOKUP($B2042,[1]DG!A:D,[1]DG!$B$2,)</f>
        <v>06.3231</v>
      </c>
      <c r="F2042" s="89" t="str">
        <f>VLOOKUP($B2042,[1]DG!A:D,[1]DG!$C$2,)</f>
        <v>Cổ dê giữ ống STK D140 vào tường+Boulon+long đền+tắc ke sắt</v>
      </c>
      <c r="G2042" s="88" t="str">
        <f>VLOOKUP($B2042,[1]DG!A:D,[1]DG!$D$2,)</f>
        <v>bộ</v>
      </c>
      <c r="H2042" s="145">
        <f>H2038*2*0</f>
        <v>0</v>
      </c>
      <c r="I2042" s="91">
        <f t="shared" ref="I2042:I2105" si="85">IF(M2042=$M$23,H2042+J2042-K2042,0)</f>
        <v>0</v>
      </c>
      <c r="J2042" s="146"/>
      <c r="K2042" s="146"/>
      <c r="L2042" s="117"/>
      <c r="M2042" s="56">
        <v>560</v>
      </c>
    </row>
    <row r="2043" spans="1:14" s="51" customFormat="1" ht="25.2" hidden="1" customHeight="1">
      <c r="A2043" s="68">
        <f t="shared" si="84"/>
        <v>0</v>
      </c>
      <c r="B2043" s="86" t="s">
        <v>408</v>
      </c>
      <c r="C2043" s="86"/>
      <c r="D2043" s="87"/>
      <c r="E2043" s="88">
        <f>VLOOKUP($B2043,[1]DG!A:D,[1]DG!$B$2,)</f>
        <v>0</v>
      </c>
      <c r="F2043" s="89" t="str">
        <f>VLOOKUP($B2043,[1]DG!A:D,[1]DG!$C$2,)</f>
        <v>Giá đỡ cáp ngầm (V63x6)</v>
      </c>
      <c r="G2043" s="88" t="str">
        <f>VLOOKUP($B2043,[1]DG!A:D,[1]DG!$D$2,)</f>
        <v>bộ</v>
      </c>
      <c r="H2043" s="145">
        <f>H2038*0</f>
        <v>0</v>
      </c>
      <c r="I2043" s="91">
        <f t="shared" si="85"/>
        <v>0</v>
      </c>
      <c r="J2043" s="146"/>
      <c r="K2043" s="146"/>
      <c r="L2043" s="117"/>
      <c r="M2043" s="56">
        <v>560</v>
      </c>
    </row>
    <row r="2044" spans="1:14" s="51" customFormat="1" ht="25.2" hidden="1" customHeight="1">
      <c r="A2044" s="68">
        <f t="shared" si="84"/>
        <v>0</v>
      </c>
      <c r="B2044" s="86" t="s">
        <v>409</v>
      </c>
      <c r="C2044" s="86"/>
      <c r="D2044" s="87"/>
      <c r="E2044" s="88">
        <f>VLOOKUP($B2044,[1]DG!A:D,[1]DG!$B$2,)</f>
        <v>0</v>
      </c>
      <c r="F2044" s="89" t="str">
        <f>VLOOKUP($B2044,[1]DG!A:D,[1]DG!$C$2,)</f>
        <v>Giá đỡ cáp trung hạ thế</v>
      </c>
      <c r="G2044" s="88" t="str">
        <f>VLOOKUP($B2044,[1]DG!A:D,[1]DG!$D$2,)</f>
        <v>bộ</v>
      </c>
      <c r="H2044" s="145">
        <f>H2038</f>
        <v>0</v>
      </c>
      <c r="I2044" s="91">
        <f t="shared" si="85"/>
        <v>0</v>
      </c>
      <c r="J2044" s="146"/>
      <c r="K2044" s="146"/>
      <c r="L2044" s="117"/>
      <c r="M2044" s="56">
        <v>560</v>
      </c>
    </row>
    <row r="2045" spans="1:14" s="51" customFormat="1" ht="25.2" hidden="1" customHeight="1">
      <c r="A2045" s="68">
        <f t="shared" si="84"/>
        <v>0</v>
      </c>
      <c r="B2045" s="69" t="s">
        <v>410</v>
      </c>
      <c r="C2045" s="69"/>
      <c r="D2045" s="111"/>
      <c r="E2045" s="88" t="str">
        <f>VLOOKUP($B2045,[1]DG!A:D,[1]DG!$B$2,)</f>
        <v>05.6101</v>
      </c>
      <c r="F2045" s="89" t="str">
        <f>VLOOKUP($B2045,[1]DG!A:D,[1]DG!$C$2,)</f>
        <v>Lắp Giá đỡ cáp</v>
      </c>
      <c r="G2045" s="88" t="str">
        <f>VLOOKUP($B2045,[1]DG!A:D,[1]DG!$D$2,)</f>
        <v>bộ</v>
      </c>
      <c r="H2045" s="145">
        <f>H2043+H2044</f>
        <v>0</v>
      </c>
      <c r="I2045" s="91">
        <f t="shared" si="85"/>
        <v>0</v>
      </c>
      <c r="J2045" s="146"/>
      <c r="K2045" s="146"/>
      <c r="L2045" s="117"/>
      <c r="M2045" s="56">
        <v>560</v>
      </c>
    </row>
    <row r="2046" spans="1:14" s="51" customFormat="1" ht="25.2" hidden="1" customHeight="1">
      <c r="A2046" s="68">
        <f t="shared" si="84"/>
        <v>0</v>
      </c>
      <c r="B2046" s="69" t="s">
        <v>117</v>
      </c>
      <c r="C2046" s="69"/>
      <c r="D2046" s="87"/>
      <c r="E2046" s="88" t="str">
        <f>VLOOKUP($B2046,[1]DG!A:D,[1]DG!$B$2,)</f>
        <v>06.3191</v>
      </c>
      <c r="F2046" s="89" t="str">
        <f>VLOOKUP($B2046,[1]DG!A:D,[1]DG!$C$2,)</f>
        <v>Bảng tên trạm, bảng báo nguy hiểm + đinh vít</v>
      </c>
      <c r="G2046" s="88" t="str">
        <f>VLOOKUP($B2046,[1]DG!A:D,[1]DG!$D$2,)</f>
        <v>bộ</v>
      </c>
      <c r="H2046" s="145">
        <f>H2038*0</f>
        <v>0</v>
      </c>
      <c r="I2046" s="91">
        <f t="shared" si="85"/>
        <v>0</v>
      </c>
      <c r="J2046" s="146"/>
      <c r="K2046" s="146"/>
      <c r="L2046" s="117"/>
      <c r="M2046" s="56">
        <v>560</v>
      </c>
    </row>
    <row r="2047" spans="1:14" s="51" customFormat="1" ht="25.2" hidden="1" customHeight="1">
      <c r="A2047" s="68">
        <f t="shared" si="84"/>
        <v>0</v>
      </c>
      <c r="B2047" s="69"/>
      <c r="C2047" s="69"/>
      <c r="D2047" s="220">
        <f>IF(H2047&gt;0,D2038+1,D2038)</f>
        <v>0</v>
      </c>
      <c r="E2047" s="238"/>
      <c r="F2047" s="247" t="s">
        <v>411</v>
      </c>
      <c r="G2047" s="220" t="s">
        <v>67</v>
      </c>
      <c r="H2047" s="240">
        <f>H1906*0</f>
        <v>0</v>
      </c>
      <c r="I2047" s="91">
        <f t="shared" si="85"/>
        <v>0</v>
      </c>
      <c r="J2047" s="146"/>
      <c r="K2047" s="146"/>
      <c r="L2047" s="117"/>
      <c r="M2047" s="56">
        <v>560</v>
      </c>
    </row>
    <row r="2048" spans="1:14" s="51" customFormat="1" ht="25.2" hidden="1" customHeight="1">
      <c r="A2048" s="68">
        <f>IF(A2047&gt;0,1,0)</f>
        <v>0</v>
      </c>
      <c r="B2048" s="69"/>
      <c r="C2048" s="69"/>
      <c r="D2048" s="111"/>
      <c r="E2048" s="242"/>
      <c r="F2048" s="248" t="s">
        <v>68</v>
      </c>
      <c r="G2048" s="111"/>
      <c r="H2048" s="244"/>
      <c r="I2048" s="91">
        <f t="shared" si="85"/>
        <v>0</v>
      </c>
      <c r="J2048" s="146"/>
      <c r="K2048" s="146"/>
      <c r="L2048" s="117"/>
      <c r="M2048" s="56">
        <v>560</v>
      </c>
    </row>
    <row r="2049" spans="1:13" s="51" customFormat="1" ht="25.2" hidden="1" customHeight="1">
      <c r="A2049" s="68">
        <f t="shared" si="84"/>
        <v>0</v>
      </c>
      <c r="B2049" s="86" t="s">
        <v>412</v>
      </c>
      <c r="C2049" s="86"/>
      <c r="D2049" s="87"/>
      <c r="E2049" s="88">
        <f>VLOOKUP($B2049,[1]DG!A:D,[1]DG!$B$2,)</f>
        <v>0</v>
      </c>
      <c r="F2049" s="89" t="str">
        <f>VLOOKUP($B2049,[1]DG!A:D,[1]DG!$C$2,)&amp;": trong möông vaø leân MBA"</f>
        <v>Cáp 24kV C/XLPE/DSTA/PVC3x50: trong möông vaø leân MBA</v>
      </c>
      <c r="G2049" s="88" t="str">
        <f>VLOOKUP($B2049,[1]DG!A:D,[1]DG!$D$2,)</f>
        <v>mét</v>
      </c>
      <c r="H2049" s="145">
        <f>H2028+H2047*8</f>
        <v>0</v>
      </c>
      <c r="I2049" s="91">
        <f t="shared" si="85"/>
        <v>0</v>
      </c>
      <c r="J2049" s="146"/>
      <c r="K2049" s="146"/>
      <c r="L2049" s="117"/>
      <c r="M2049" s="56">
        <v>560</v>
      </c>
    </row>
    <row r="2050" spans="1:13" s="51" customFormat="1" ht="25.2" hidden="1" customHeight="1">
      <c r="A2050" s="68">
        <f t="shared" si="84"/>
        <v>0</v>
      </c>
      <c r="B2050" s="86" t="s">
        <v>413</v>
      </c>
      <c r="C2050" s="86"/>
      <c r="D2050" s="87"/>
      <c r="E2050" s="88">
        <f>VLOOKUP($B2050,[1]DG!A:D,[1]DG!$B$2,)</f>
        <v>0</v>
      </c>
      <c r="F2050" s="89" t="str">
        <f>VLOOKUP($B2050,[1]DG!A:D,[1]DG!$C$2,)&amp;": trung tính"</f>
        <v>Cáp 24KV C/XLPE/PVC 50mm2: trung tính</v>
      </c>
      <c r="G2050" s="88" t="str">
        <f>VLOOKUP($B2050,[1]DG!A:D,[1]DG!$D$2,)</f>
        <v>mét</v>
      </c>
      <c r="H2050" s="145">
        <f>H2049</f>
        <v>0</v>
      </c>
      <c r="I2050" s="91">
        <f t="shared" si="85"/>
        <v>0</v>
      </c>
      <c r="J2050" s="146"/>
      <c r="K2050" s="146"/>
      <c r="L2050" s="117"/>
      <c r="M2050" s="56">
        <v>560</v>
      </c>
    </row>
    <row r="2051" spans="1:13" s="51" customFormat="1" ht="25.2" hidden="1" customHeight="1">
      <c r="A2051" s="68">
        <f t="shared" si="84"/>
        <v>0</v>
      </c>
      <c r="B2051" s="86" t="s">
        <v>413</v>
      </c>
      <c r="C2051" s="86"/>
      <c r="D2051" s="87"/>
      <c r="E2051" s="88">
        <f>VLOOKUP($B2051,[1]DG!A:D,[1]DG!$B$2,)</f>
        <v>0</v>
      </c>
      <c r="F2051" s="89" t="str">
        <f>VLOOKUP($B2051,[1]DG!A:D,[1]DG!$C$2,)&amp;": 0,5m/pha töø FCO xuoáng MBA"</f>
        <v>Cáp 24KV C/XLPE/PVC 50mm2: 0,5m/pha töø FCO xuoáng MBA</v>
      </c>
      <c r="G2051" s="88" t="str">
        <f>VLOOKUP($B2051,[1]DG!A:D,[1]DG!$D$2,)</f>
        <v>mét</v>
      </c>
      <c r="H2051" s="145">
        <f>H2047*0.5*3*0</f>
        <v>0</v>
      </c>
      <c r="I2051" s="91">
        <f t="shared" si="85"/>
        <v>0</v>
      </c>
      <c r="J2051" s="146"/>
      <c r="K2051" s="146"/>
      <c r="L2051" s="117"/>
      <c r="M2051" s="56">
        <v>560</v>
      </c>
    </row>
    <row r="2052" spans="1:13" s="51" customFormat="1" ht="25.2" hidden="1" customHeight="1">
      <c r="A2052" s="68">
        <f t="shared" si="84"/>
        <v>0</v>
      </c>
      <c r="B2052" s="86" t="s">
        <v>414</v>
      </c>
      <c r="C2052" s="86"/>
      <c r="D2052" s="87"/>
      <c r="E2052" s="88">
        <f>VLOOKUP($B2052,[1]DG!A:D,[1]DG!$B$2,)</f>
        <v>0</v>
      </c>
      <c r="F2052" s="89" t="str">
        <f>VLOOKUP($B2052,[1]DG!A:D,[1]DG!$C$2,)</f>
        <v>Đầu cáp ngầm 24KV 3x50mm2 outdoor</v>
      </c>
      <c r="G2052" s="88" t="str">
        <f>VLOOKUP($B2052,[1]DG!A:D,[1]DG!$D$2,)</f>
        <v>cái</v>
      </c>
      <c r="H2052" s="145">
        <f>H2047</f>
        <v>0</v>
      </c>
      <c r="I2052" s="91">
        <f t="shared" si="85"/>
        <v>0</v>
      </c>
      <c r="J2052" s="146"/>
      <c r="K2052" s="146"/>
      <c r="L2052" s="117"/>
      <c r="M2052" s="56">
        <v>560</v>
      </c>
    </row>
    <row r="2053" spans="1:13" s="51" customFormat="1" ht="25.2" hidden="1" customHeight="1">
      <c r="A2053" s="68">
        <f t="shared" si="84"/>
        <v>0</v>
      </c>
      <c r="B2053" s="86" t="s">
        <v>412</v>
      </c>
      <c r="C2053" s="86"/>
      <c r="D2053" s="87"/>
      <c r="E2053" s="88">
        <f>VLOOKUP($B2053,[1]DG!A:D,[1]DG!$B$2,)</f>
        <v>0</v>
      </c>
      <c r="F2053" s="89" t="str">
        <f>VLOOKUP($B2053,[1]DG!A:D,[1]DG!$C$2,)&amp;": töø tuû LBS ñeán MBA"</f>
        <v>Cáp 24kV C/XLPE/DSTA/PVC3x50: töø tuû LBS ñeán MBA</v>
      </c>
      <c r="G2053" s="88" t="str">
        <f>VLOOKUP($B2053,[1]DG!A:D,[1]DG!$D$2,)</f>
        <v>mét</v>
      </c>
      <c r="H2053" s="145">
        <f>(1.2+2.4)*H2047*0</f>
        <v>0</v>
      </c>
      <c r="I2053" s="91">
        <f t="shared" si="85"/>
        <v>0</v>
      </c>
      <c r="J2053" s="146"/>
      <c r="K2053" s="146"/>
      <c r="L2053" s="117"/>
      <c r="M2053" s="56">
        <v>560</v>
      </c>
    </row>
    <row r="2054" spans="1:13" s="51" customFormat="1" ht="25.2" hidden="1" customHeight="1">
      <c r="A2054" s="68">
        <f t="shared" si="84"/>
        <v>0</v>
      </c>
      <c r="B2054" s="86" t="s">
        <v>413</v>
      </c>
      <c r="C2054" s="86"/>
      <c r="D2054" s="87"/>
      <c r="E2054" s="88">
        <f>VLOOKUP($B2054,[1]DG!A:D,[1]DG!$B$2,)</f>
        <v>0</v>
      </c>
      <c r="F2054" s="89" t="str">
        <f>VLOOKUP($B2054,[1]DG!A:D,[1]DG!$C$2,)&amp;": töø tuû LBS ñeán MBA"</f>
        <v>Cáp 24KV C/XLPE/PVC 50mm2: töø tuû LBS ñeán MBA</v>
      </c>
      <c r="G2054" s="88" t="str">
        <f>VLOOKUP($B2054,[1]DG!A:D,[1]DG!$D$2,)</f>
        <v>mét</v>
      </c>
      <c r="H2054" s="145">
        <f>H2047*1.2*0</f>
        <v>0</v>
      </c>
      <c r="I2054" s="91">
        <f t="shared" si="85"/>
        <v>0</v>
      </c>
      <c r="J2054" s="146"/>
      <c r="K2054" s="146"/>
      <c r="L2054" s="117"/>
      <c r="M2054" s="56">
        <v>560</v>
      </c>
    </row>
    <row r="2055" spans="1:13" s="51" customFormat="1" ht="25.2" hidden="1" customHeight="1">
      <c r="A2055" s="68">
        <f t="shared" si="84"/>
        <v>0</v>
      </c>
      <c r="B2055" s="86" t="s">
        <v>415</v>
      </c>
      <c r="C2055" s="86"/>
      <c r="D2055" s="87"/>
      <c r="E2055" s="88">
        <f>VLOOKUP($B2055,[1]DG!A:D,[1]DG!$B$2,)</f>
        <v>0</v>
      </c>
      <c r="F2055" s="89" t="str">
        <f>VLOOKUP($B2055,[1]DG!A:D,[1]DG!$C$2,)</f>
        <v>Đầu cáp ngầm 24KV 3x50mm2 indoor</v>
      </c>
      <c r="G2055" s="88" t="str">
        <f>VLOOKUP($B2055,[1]DG!A:D,[1]DG!$D$2,)</f>
        <v>cái</v>
      </c>
      <c r="H2055" s="145">
        <f>H2047</f>
        <v>0</v>
      </c>
      <c r="I2055" s="91">
        <f t="shared" si="85"/>
        <v>0</v>
      </c>
      <c r="J2055" s="146"/>
      <c r="K2055" s="146"/>
      <c r="L2055" s="117"/>
      <c r="M2055" s="56">
        <v>560</v>
      </c>
    </row>
    <row r="2056" spans="1:13" s="51" customFormat="1" ht="25.2" hidden="1" customHeight="1">
      <c r="A2056" s="68">
        <f t="shared" si="84"/>
        <v>0</v>
      </c>
      <c r="B2056" s="86" t="s">
        <v>416</v>
      </c>
      <c r="C2056" s="86"/>
      <c r="D2056" s="87"/>
      <c r="E2056" s="88" t="str">
        <f>VLOOKUP($B2056,[1]DG!A:D,[1]DG!$B$2,)</f>
        <v>07.4312</v>
      </c>
      <c r="F2056" s="89" t="str">
        <f>VLOOKUP($B2056,[1]DG!A:D,[1]DG!$C$2,)</f>
        <v>Lắp đầu cáp trung thế 3x50mm2, 70mm2</v>
      </c>
      <c r="G2056" s="88" t="str">
        <f>VLOOKUP($B2056,[1]DG!A:D,[1]DG!$D$2,)</f>
        <v>cái</v>
      </c>
      <c r="H2056" s="145">
        <f>H2052+H2055</f>
        <v>0</v>
      </c>
      <c r="I2056" s="91">
        <f t="shared" si="85"/>
        <v>0</v>
      </c>
      <c r="J2056" s="146"/>
      <c r="K2056" s="146"/>
      <c r="L2056" s="117"/>
      <c r="M2056" s="56">
        <v>560</v>
      </c>
    </row>
    <row r="2057" spans="1:13" s="51" customFormat="1" ht="25.2" hidden="1" customHeight="1">
      <c r="A2057" s="68">
        <f t="shared" si="84"/>
        <v>0</v>
      </c>
      <c r="B2057" s="86" t="s">
        <v>417</v>
      </c>
      <c r="C2057" s="86"/>
      <c r="D2057" s="87"/>
      <c r="E2057" s="88" t="str">
        <f>VLOOKUP($B2057,[1]DG!A:D,[1]DG!$B$2,)</f>
        <v>03.1405</v>
      </c>
      <c r="F2057" s="89" t="str">
        <f>VLOOKUP($B2057,[1]DG!A:D,[1]DG!$C$2,)</f>
        <v>Lắp cáp trong ống bảo vệ trong TBA loại &lt;=6kg</v>
      </c>
      <c r="G2057" s="88" t="str">
        <f>VLOOKUP($B2057,[1]DG!A:D,[1]DG!$D$2,)</f>
        <v>mét</v>
      </c>
      <c r="H2057" s="145">
        <f>H2049+H2053</f>
        <v>0</v>
      </c>
      <c r="I2057" s="91">
        <f t="shared" si="85"/>
        <v>0</v>
      </c>
      <c r="J2057" s="146"/>
      <c r="K2057" s="146"/>
      <c r="L2057" s="117"/>
      <c r="M2057" s="56">
        <v>560</v>
      </c>
    </row>
    <row r="2058" spans="1:13" s="51" customFormat="1" ht="25.2" hidden="1" customHeight="1">
      <c r="A2058" s="68">
        <f t="shared" si="84"/>
        <v>0</v>
      </c>
      <c r="B2058" s="86" t="s">
        <v>418</v>
      </c>
      <c r="C2058" s="86"/>
      <c r="D2058" s="87"/>
      <c r="E2058" s="88" t="str">
        <f>VLOOKUP($B2058,[1]DG!A:D,[1]DG!$B$2,)</f>
        <v>03.1402</v>
      </c>
      <c r="F2058" s="89" t="str">
        <f>VLOOKUP($B2058,[1]DG!A:D,[1]DG!$C$2,)</f>
        <v>Lắp cáp trong ống bảo vệ trong TBA loại &lt;=2kg</v>
      </c>
      <c r="G2058" s="88" t="str">
        <f>VLOOKUP($B2058,[1]DG!A:D,[1]DG!$D$2,)</f>
        <v>mét</v>
      </c>
      <c r="H2058" s="145">
        <f>H2050+H2054</f>
        <v>0</v>
      </c>
      <c r="I2058" s="91">
        <f t="shared" si="85"/>
        <v>0</v>
      </c>
      <c r="J2058" s="146"/>
      <c r="K2058" s="146"/>
      <c r="L2058" s="117"/>
      <c r="M2058" s="56">
        <v>560</v>
      </c>
    </row>
    <row r="2059" spans="1:13" s="51" customFormat="1" ht="25.2" hidden="1" customHeight="1">
      <c r="A2059" s="68">
        <f t="shared" si="84"/>
        <v>0</v>
      </c>
      <c r="B2059" s="86" t="s">
        <v>101</v>
      </c>
      <c r="C2059" s="86"/>
      <c r="D2059" s="87"/>
      <c r="E2059" s="88" t="str">
        <f>VLOOKUP($B2059,[1]DG!A:D,[1]DG!$B$2,)</f>
        <v>04.4201</v>
      </c>
      <c r="F2059" s="89" t="str">
        <f>VLOOKUP($B2059,[1]DG!A:D,[1]DG!$C$2,)</f>
        <v>Lắp cáp đồng xuống thiết bị D ≤ 95mm2</v>
      </c>
      <c r="G2059" s="88" t="str">
        <f>VLOOKUP($B2059,[1]DG!A:D,[1]DG!$D$2,)</f>
        <v>m</v>
      </c>
      <c r="H2059" s="145">
        <f>H2051</f>
        <v>0</v>
      </c>
      <c r="I2059" s="91">
        <f t="shared" si="85"/>
        <v>0</v>
      </c>
      <c r="J2059" s="146"/>
      <c r="K2059" s="146"/>
      <c r="L2059" s="117"/>
      <c r="M2059" s="56">
        <v>560</v>
      </c>
    </row>
    <row r="2060" spans="1:13" s="51" customFormat="1" ht="25.2" hidden="1" customHeight="1">
      <c r="A2060" s="68">
        <f t="shared" si="84"/>
        <v>0</v>
      </c>
      <c r="B2060" s="86" t="s">
        <v>419</v>
      </c>
      <c r="C2060" s="86"/>
      <c r="D2060" s="87"/>
      <c r="E2060" s="88">
        <f>VLOOKUP($B2060,[1]DG!A:D,[1]DG!$B$2,)</f>
        <v>0</v>
      </c>
      <c r="F2060" s="89" t="str">
        <f>VLOOKUP($B2060,[1]DG!A:D,[1]DG!$C$2,)</f>
        <v>Dây rút cáp</v>
      </c>
      <c r="G2060" s="88" t="str">
        <f>VLOOKUP($B2060,[1]DG!A:D,[1]DG!$D$2,)</f>
        <v>bọc</v>
      </c>
      <c r="H2060" s="145">
        <f>H2047*2</f>
        <v>0</v>
      </c>
      <c r="I2060" s="91">
        <f t="shared" si="85"/>
        <v>0</v>
      </c>
      <c r="J2060" s="146"/>
      <c r="K2060" s="146"/>
      <c r="L2060" s="117"/>
      <c r="M2060" s="56">
        <v>560</v>
      </c>
    </row>
    <row r="2061" spans="1:13" s="51" customFormat="1" ht="25.2" hidden="1" customHeight="1">
      <c r="A2061" s="68">
        <f t="shared" si="84"/>
        <v>0</v>
      </c>
      <c r="B2061" s="69"/>
      <c r="C2061" s="69"/>
      <c r="D2061" s="220">
        <f>IF(H2061&gt;0,D2047+1,D2047)</f>
        <v>0</v>
      </c>
      <c r="E2061" s="238"/>
      <c r="F2061" s="247" t="s">
        <v>519</v>
      </c>
      <c r="G2061" s="220" t="s">
        <v>67</v>
      </c>
      <c r="H2061" s="240">
        <f>H1906</f>
        <v>0</v>
      </c>
      <c r="I2061" s="91">
        <f t="shared" si="85"/>
        <v>0</v>
      </c>
      <c r="J2061" s="146"/>
      <c r="K2061" s="146"/>
      <c r="L2061" s="96"/>
      <c r="M2061" s="56">
        <v>560</v>
      </c>
    </row>
    <row r="2062" spans="1:13" s="51" customFormat="1" ht="25.2" hidden="1" customHeight="1">
      <c r="A2062" s="68">
        <f>IF(A2061&gt;0,1,0)</f>
        <v>0</v>
      </c>
      <c r="B2062" s="69"/>
      <c r="C2062" s="69"/>
      <c r="D2062" s="111"/>
      <c r="E2062" s="242"/>
      <c r="F2062" s="248" t="s">
        <v>68</v>
      </c>
      <c r="G2062" s="111"/>
      <c r="H2062" s="244"/>
      <c r="I2062" s="91">
        <f t="shared" si="85"/>
        <v>0</v>
      </c>
      <c r="J2062" s="146"/>
      <c r="K2062" s="146"/>
      <c r="L2062" s="96"/>
      <c r="M2062" s="56">
        <v>560</v>
      </c>
    </row>
    <row r="2063" spans="1:13" s="51" customFormat="1" ht="25.2" hidden="1" customHeight="1">
      <c r="A2063" s="68">
        <f t="shared" si="84"/>
        <v>0</v>
      </c>
      <c r="B2063" s="86" t="s">
        <v>98</v>
      </c>
      <c r="C2063" s="86"/>
      <c r="D2063" s="87"/>
      <c r="E2063" s="88">
        <f>VLOOKUP($B2063,[1]DG!A:D,[1]DG!$B$2,)</f>
        <v>0</v>
      </c>
      <c r="F2063" s="89" t="str">
        <f>VLOOKUP($B2063,[1]DG!A:D,[1]DG!$C$2,)&amp;": 9m/1pha"</f>
        <v>Cáp 24KV CX-25mm2: 9m/1pha</v>
      </c>
      <c r="G2063" s="88" t="str">
        <f>VLOOKUP($B2063,[1]DG!A:D,[1]DG!$D$2,)</f>
        <v>mét</v>
      </c>
      <c r="H2063" s="145">
        <f>H2061*(9)*3</f>
        <v>0</v>
      </c>
      <c r="I2063" s="91">
        <f t="shared" si="85"/>
        <v>0</v>
      </c>
      <c r="J2063" s="146"/>
      <c r="K2063" s="146"/>
      <c r="L2063" s="96"/>
      <c r="M2063" s="56">
        <v>560</v>
      </c>
    </row>
    <row r="2064" spans="1:13" s="51" customFormat="1" ht="25.2" hidden="1" customHeight="1">
      <c r="A2064" s="68">
        <f t="shared" si="84"/>
        <v>0</v>
      </c>
      <c r="B2064" s="86" t="s">
        <v>184</v>
      </c>
      <c r="C2064" s="86"/>
      <c r="D2064" s="87"/>
      <c r="E2064" s="88">
        <f>VLOOKUP($B2064,[1]DG!A:D,[1]DG!$B$2,)</f>
        <v>0</v>
      </c>
      <c r="F2064" s="89" t="str">
        <f>VLOOKUP($B2064,[1]DG!A:D,[1]DG!$C$2,)</f>
        <v>Kẹp ép WR cỡ dây 50mm2</v>
      </c>
      <c r="G2064" s="88" t="str">
        <f>VLOOKUP($B2064,[1]DG!A:D,[1]DG!$D$2,)</f>
        <v>cái</v>
      </c>
      <c r="H2064" s="145">
        <f>H2061*6*0</f>
        <v>0</v>
      </c>
      <c r="I2064" s="91">
        <f t="shared" si="85"/>
        <v>0</v>
      </c>
      <c r="J2064" s="146"/>
      <c r="K2064" s="146"/>
      <c r="L2064" s="96"/>
      <c r="M2064" s="56">
        <v>560</v>
      </c>
    </row>
    <row r="2065" spans="1:13" s="51" customFormat="1" ht="25.2" hidden="1" customHeight="1">
      <c r="A2065" s="68">
        <f t="shared" si="84"/>
        <v>0</v>
      </c>
      <c r="B2065" s="86" t="s">
        <v>185</v>
      </c>
      <c r="C2065" s="86"/>
      <c r="D2065" s="87"/>
      <c r="E2065" s="88">
        <f>VLOOKUP($B2065,[1]DG!A:D,[1]DG!$B$2,)</f>
        <v>0</v>
      </c>
      <c r="F2065" s="89" t="str">
        <f>VLOOKUP($B2065,[1]DG!A:D,[1]DG!$C$2,)</f>
        <v>Kẹp ép cỡ dây 25mm2</v>
      </c>
      <c r="G2065" s="88" t="str">
        <f>VLOOKUP($B2065,[1]DG!A:D,[1]DG!$D$2,)</f>
        <v>cái</v>
      </c>
      <c r="H2065" s="145">
        <f>H2061*3*2</f>
        <v>0</v>
      </c>
      <c r="I2065" s="91">
        <f t="shared" si="85"/>
        <v>0</v>
      </c>
      <c r="J2065" s="146"/>
      <c r="K2065" s="146"/>
      <c r="L2065" s="117"/>
      <c r="M2065" s="56">
        <v>560</v>
      </c>
    </row>
    <row r="2066" spans="1:13" s="51" customFormat="1" ht="25.2" hidden="1" customHeight="1">
      <c r="A2066" s="68">
        <f t="shared" si="84"/>
        <v>0</v>
      </c>
      <c r="B2066" s="86" t="s">
        <v>421</v>
      </c>
      <c r="C2066" s="86"/>
      <c r="D2066" s="87"/>
      <c r="E2066" s="88">
        <f>VLOOKUP($B2066,[1]DG!A:D,[1]DG!$B$2,)</f>
        <v>0</v>
      </c>
      <c r="F2066" s="89" t="str">
        <f>VLOOKUP($B2066,[1]DG!A:D,[1]DG!$C$2,)</f>
        <v>Bass LI bắt FCO</v>
      </c>
      <c r="G2066" s="88" t="str">
        <f>VLOOKUP($B2066,[1]DG!A:D,[1]DG!$D$2,)</f>
        <v>Bộ</v>
      </c>
      <c r="H2066" s="145">
        <f>H2061*3*2</f>
        <v>0</v>
      </c>
      <c r="I2066" s="91">
        <f t="shared" si="85"/>
        <v>0</v>
      </c>
      <c r="J2066" s="146"/>
      <c r="K2066" s="146"/>
      <c r="L2066" s="117"/>
      <c r="M2066" s="56">
        <v>560</v>
      </c>
    </row>
    <row r="2067" spans="1:13" s="51" customFormat="1" ht="25.2" hidden="1" customHeight="1">
      <c r="A2067" s="68">
        <f t="shared" si="84"/>
        <v>0</v>
      </c>
      <c r="B2067" s="86" t="s">
        <v>99</v>
      </c>
      <c r="C2067" s="86"/>
      <c r="D2067" s="87"/>
      <c r="E2067" s="88" t="str">
        <f>VLOOKUP($B2067,[1]DG!A:D,[1]DG!$B$2,)</f>
        <v>04.3007</v>
      </c>
      <c r="F2067" s="89" t="str">
        <f>VLOOKUP($B2067,[1]DG!A:D,[1]DG!$C$2,)</f>
        <v>Kẹp quai 2/0</v>
      </c>
      <c r="G2067" s="88" t="str">
        <f>VLOOKUP($B2067,[1]DG!A:D,[1]DG!$D$2,)</f>
        <v>cái</v>
      </c>
      <c r="H2067" s="145">
        <f>H2061*3</f>
        <v>0</v>
      </c>
      <c r="I2067" s="91">
        <f t="shared" si="85"/>
        <v>0</v>
      </c>
      <c r="J2067" s="146"/>
      <c r="K2067" s="146"/>
      <c r="L2067" s="96"/>
      <c r="M2067" s="56">
        <v>560</v>
      </c>
    </row>
    <row r="2068" spans="1:13" s="51" customFormat="1" ht="25.2" hidden="1" customHeight="1">
      <c r="A2068" s="68">
        <f t="shared" si="84"/>
        <v>0</v>
      </c>
      <c r="B2068" s="86" t="s">
        <v>100</v>
      </c>
      <c r="C2068" s="86"/>
      <c r="D2068" s="87"/>
      <c r="E2068" s="88" t="str">
        <f>VLOOKUP($B2068,[1]DG!A:D,[1]DG!$B$2,)</f>
        <v>04.3007</v>
      </c>
      <c r="F2068" s="89" t="str">
        <f>VLOOKUP($B2068,[1]DG!A:D,[1]DG!$C$2,)&amp;": "</f>
        <v xml:space="preserve">Kẹp hotline 2/0: </v>
      </c>
      <c r="G2068" s="88" t="str">
        <f>VLOOKUP($B2068,[1]DG!A:D,[1]DG!$D$2,)</f>
        <v>cái</v>
      </c>
      <c r="H2068" s="145">
        <f>H2067</f>
        <v>0</v>
      </c>
      <c r="I2068" s="91">
        <f t="shared" si="85"/>
        <v>0</v>
      </c>
      <c r="J2068" s="146"/>
      <c r="K2068" s="146"/>
      <c r="L2068" s="96"/>
      <c r="M2068" s="56">
        <v>560</v>
      </c>
    </row>
    <row r="2069" spans="1:13" s="51" customFormat="1" ht="25.2" hidden="1" customHeight="1">
      <c r="A2069" s="68">
        <f t="shared" si="84"/>
        <v>0</v>
      </c>
      <c r="B2069" s="86" t="s">
        <v>138</v>
      </c>
      <c r="C2069" s="86"/>
      <c r="D2069" s="96"/>
      <c r="E2069" s="88">
        <f>VLOOKUP($B2069,[1]DG!A:D,[1]DG!$B$2,)</f>
        <v>0</v>
      </c>
      <c r="F2069" s="89" t="str">
        <f>VLOOKUP($B2069,[1]DG!A:D,[1]DG!$C$2,)</f>
        <v xml:space="preserve">Sứ đứng 24KV </v>
      </c>
      <c r="G2069" s="88" t="str">
        <f>VLOOKUP($B2069,[1]DG!A:D,[1]DG!$D$2,)</f>
        <v>cái</v>
      </c>
      <c r="H2069" s="145">
        <f>H2061*9</f>
        <v>0</v>
      </c>
      <c r="I2069" s="91">
        <f t="shared" si="85"/>
        <v>0</v>
      </c>
      <c r="J2069" s="146"/>
      <c r="K2069" s="146"/>
      <c r="L2069" s="96"/>
      <c r="M2069" s="56">
        <v>560</v>
      </c>
    </row>
    <row r="2070" spans="1:13" s="51" customFormat="1" ht="25.2" hidden="1" customHeight="1">
      <c r="A2070" s="68">
        <f t="shared" si="84"/>
        <v>0</v>
      </c>
      <c r="B2070" s="86" t="s">
        <v>139</v>
      </c>
      <c r="C2070" s="86"/>
      <c r="D2070" s="87"/>
      <c r="E2070" s="88">
        <f>VLOOKUP($B2070,[1]DG!A:D,[1]DG!$B$2,)</f>
        <v>0</v>
      </c>
      <c r="F2070" s="89" t="str">
        <f>VLOOKUP($B2070,[1]DG!A:D,[1]DG!$C$2,)</f>
        <v>Chân sứ đứng D20</v>
      </c>
      <c r="G2070" s="88" t="str">
        <f>VLOOKUP($B2070,[1]DG!A:D,[1]DG!$D$2,)</f>
        <v>cái</v>
      </c>
      <c r="H2070" s="145">
        <f>H2069</f>
        <v>0</v>
      </c>
      <c r="I2070" s="91">
        <f t="shared" si="85"/>
        <v>0</v>
      </c>
      <c r="J2070" s="146"/>
      <c r="K2070" s="146"/>
      <c r="L2070" s="96"/>
      <c r="M2070" s="56">
        <v>560</v>
      </c>
    </row>
    <row r="2071" spans="1:13" s="51" customFormat="1" ht="25.2" hidden="1" customHeight="1">
      <c r="A2071" s="68">
        <f t="shared" si="84"/>
        <v>0</v>
      </c>
      <c r="B2071" s="86" t="s">
        <v>422</v>
      </c>
      <c r="C2071" s="86"/>
      <c r="D2071" s="87"/>
      <c r="E2071" s="88">
        <f>VLOOKUP($B2071,[1]DG!A:D,[1]DG!$B$2,)</f>
        <v>0</v>
      </c>
      <c r="F2071" s="89" t="str">
        <f>VLOOKUP($B2071,[1]DG!A:D,[1]DG!$C$2,)</f>
        <v>Sứ treo polymer</v>
      </c>
      <c r="G2071" s="88" t="str">
        <f>VLOOKUP($B2071,[1]DG!A:D,[1]DG!$D$2,)</f>
        <v>chuỗi</v>
      </c>
      <c r="H2071" s="340">
        <f>H2061*6*0</f>
        <v>0</v>
      </c>
      <c r="I2071" s="91">
        <f t="shared" si="85"/>
        <v>0</v>
      </c>
      <c r="J2071" s="146"/>
      <c r="K2071" s="146"/>
      <c r="L2071" s="96"/>
      <c r="M2071" s="56">
        <v>560</v>
      </c>
    </row>
    <row r="2072" spans="1:13" s="51" customFormat="1" ht="25.2" hidden="1" customHeight="1">
      <c r="A2072" s="68">
        <f t="shared" si="84"/>
        <v>0</v>
      </c>
      <c r="B2072" s="86" t="s">
        <v>423</v>
      </c>
      <c r="C2072" s="86"/>
      <c r="D2072" s="87"/>
      <c r="E2072" s="88" t="str">
        <f>VLOOKUP($B2072,[1]DG!A:D,[1]DG!$B$2,)</f>
        <v>06.1115</v>
      </c>
      <c r="F2072" s="89" t="str">
        <f>VLOOKUP($B2072,[1]DG!A:D,[1]DG!$C$2,)</f>
        <v>Lắp sứ đứng 24KV</v>
      </c>
      <c r="G2072" s="88" t="str">
        <f>VLOOKUP($B2072,[1]DG!A:D,[1]DG!$D$2,)</f>
        <v>bộ</v>
      </c>
      <c r="H2072" s="145">
        <f>H2070</f>
        <v>0</v>
      </c>
      <c r="I2072" s="91">
        <f t="shared" si="85"/>
        <v>0</v>
      </c>
      <c r="J2072" s="146"/>
      <c r="K2072" s="146"/>
      <c r="L2072" s="96"/>
      <c r="M2072" s="56">
        <v>560</v>
      </c>
    </row>
    <row r="2073" spans="1:13" s="51" customFormat="1" ht="25.2" hidden="1" customHeight="1">
      <c r="A2073" s="68">
        <f t="shared" si="84"/>
        <v>0</v>
      </c>
      <c r="B2073" s="86" t="s">
        <v>424</v>
      </c>
      <c r="C2073" s="86"/>
      <c r="D2073" s="87"/>
      <c r="E2073" s="88" t="str">
        <f>VLOOKUP($B2073,[1]DG!A:D,[1]DG!$B$2,)</f>
        <v>06.1115</v>
      </c>
      <c r="F2073" s="89" t="str">
        <f>VLOOKUP($B2073,[1]DG!A:D,[1]DG!$C$2,)</f>
        <v>Tháo sứ đứng 24KV</v>
      </c>
      <c r="G2073" s="88" t="str">
        <f>VLOOKUP($B2073,[1]DG!A:D,[1]DG!$D$2,)</f>
        <v>bộ</v>
      </c>
      <c r="H2073" s="145"/>
      <c r="I2073" s="91">
        <f t="shared" si="85"/>
        <v>0</v>
      </c>
      <c r="J2073" s="146"/>
      <c r="K2073" s="146"/>
      <c r="L2073" s="96"/>
      <c r="M2073" s="56">
        <v>560</v>
      </c>
    </row>
    <row r="2074" spans="1:13" s="51" customFormat="1" ht="25.2" hidden="1" customHeight="1">
      <c r="A2074" s="68">
        <f t="shared" si="84"/>
        <v>0</v>
      </c>
      <c r="B2074" s="86" t="s">
        <v>425</v>
      </c>
      <c r="C2074" s="86"/>
      <c r="D2074" s="87"/>
      <c r="E2074" s="88" t="str">
        <f>VLOOKUP($B2074,[1]DG!A:D,[1]DG!$B$2,)</f>
        <v>06.2201</v>
      </c>
      <c r="F2074" s="89" t="str">
        <f>VLOOKUP($B2074,[1]DG!A:D,[1]DG!$C$2,)</f>
        <v>Lắp chuỗi sứ néo Polymer</v>
      </c>
      <c r="G2074" s="88" t="str">
        <f>VLOOKUP($B2074,[1]DG!A:D,[1]DG!$D$2,)</f>
        <v>chuỗi</v>
      </c>
      <c r="H2074" s="145">
        <f>H2071</f>
        <v>0</v>
      </c>
      <c r="I2074" s="91">
        <f t="shared" si="85"/>
        <v>0</v>
      </c>
      <c r="J2074" s="146"/>
      <c r="K2074" s="146"/>
      <c r="L2074" s="96"/>
      <c r="M2074" s="56">
        <v>560</v>
      </c>
    </row>
    <row r="2075" spans="1:13" s="51" customFormat="1" ht="25.2" hidden="1" customHeight="1">
      <c r="A2075" s="68">
        <f t="shared" si="84"/>
        <v>0</v>
      </c>
      <c r="B2075" s="86" t="s">
        <v>101</v>
      </c>
      <c r="C2075" s="86"/>
      <c r="D2075" s="87"/>
      <c r="E2075" s="88" t="str">
        <f>VLOOKUP($B2075,[1]DG!A:D,[1]DG!$B$2,)</f>
        <v>04.4201</v>
      </c>
      <c r="F2075" s="89" t="str">
        <f>VLOOKUP($B2075,[1]DG!A:D,[1]DG!$C$2,)</f>
        <v>Lắp cáp đồng xuống thiết bị D ≤ 95mm2</v>
      </c>
      <c r="G2075" s="88" t="str">
        <f>VLOOKUP($B2075,[1]DG!A:D,[1]DG!$D$2,)</f>
        <v>m</v>
      </c>
      <c r="H2075" s="145">
        <f>H2063</f>
        <v>0</v>
      </c>
      <c r="I2075" s="91">
        <f t="shared" si="85"/>
        <v>0</v>
      </c>
      <c r="J2075" s="146"/>
      <c r="K2075" s="146"/>
      <c r="L2075" s="96"/>
      <c r="M2075" s="56">
        <v>560</v>
      </c>
    </row>
    <row r="2076" spans="1:13" s="51" customFormat="1" ht="25.2" hidden="1" customHeight="1">
      <c r="A2076" s="68">
        <f t="shared" si="84"/>
        <v>0</v>
      </c>
      <c r="B2076" s="69"/>
      <c r="C2076" s="69"/>
      <c r="D2076" s="220">
        <f>IF(H2076&gt;0,D2061+1,D2061)</f>
        <v>0</v>
      </c>
      <c r="E2076" s="238"/>
      <c r="F2076" s="247" t="s">
        <v>297</v>
      </c>
      <c r="G2076" s="220" t="s">
        <v>67</v>
      </c>
      <c r="H2076" s="240">
        <f>H1939</f>
        <v>0</v>
      </c>
      <c r="I2076" s="91">
        <f t="shared" si="85"/>
        <v>0</v>
      </c>
      <c r="J2076" s="146"/>
      <c r="K2076" s="146"/>
      <c r="L2076" s="117"/>
      <c r="M2076" s="56">
        <v>560</v>
      </c>
    </row>
    <row r="2077" spans="1:13" s="51" customFormat="1" ht="25.2" hidden="1" customHeight="1">
      <c r="A2077" s="68">
        <f>IF(A2076&gt;0,1,0)</f>
        <v>0</v>
      </c>
      <c r="B2077" s="69"/>
      <c r="C2077" s="69"/>
      <c r="D2077" s="111"/>
      <c r="E2077" s="242"/>
      <c r="F2077" s="248" t="s">
        <v>68</v>
      </c>
      <c r="G2077" s="111"/>
      <c r="H2077" s="244"/>
      <c r="I2077" s="91">
        <f t="shared" si="85"/>
        <v>0</v>
      </c>
      <c r="J2077" s="146"/>
      <c r="K2077" s="146"/>
      <c r="L2077" s="117"/>
      <c r="M2077" s="56">
        <v>560</v>
      </c>
    </row>
    <row r="2078" spans="1:13" s="51" customFormat="1" ht="25.2" hidden="1" customHeight="1">
      <c r="A2078" s="68">
        <f t="shared" si="84"/>
        <v>0</v>
      </c>
      <c r="B2078" s="69" t="s">
        <v>298</v>
      </c>
      <c r="C2078" s="69"/>
      <c r="D2078" s="87"/>
      <c r="E2078" s="88" t="str">
        <f>VLOOKUP($B2078,[1]DG!A:D,[1]DG!$B$2,)</f>
        <v>04.8003</v>
      </c>
      <c r="F2078" s="89" t="str">
        <f>VLOOKUP($B2078,[1]DG!A:D,[1]DG!$C$2,)</f>
        <v xml:space="preserve">Ống PVC D90x3,8mm </v>
      </c>
      <c r="G2078" s="88" t="str">
        <f>VLOOKUP($B2078,[1]DG!A:D,[1]DG!$D$2,)</f>
        <v>m</v>
      </c>
      <c r="H2078" s="145">
        <f>H2076*2</f>
        <v>0</v>
      </c>
      <c r="I2078" s="91">
        <f t="shared" si="85"/>
        <v>0</v>
      </c>
      <c r="J2078" s="146"/>
      <c r="K2078" s="146"/>
      <c r="L2078" s="117"/>
      <c r="M2078" s="56">
        <v>560</v>
      </c>
    </row>
    <row r="2079" spans="1:13" s="51" customFormat="1" ht="25.2" hidden="1" customHeight="1">
      <c r="A2079" s="68">
        <f t="shared" ref="A2079:A2142" si="86">IF(I2079&gt;0,1,0)</f>
        <v>0</v>
      </c>
      <c r="B2079" s="69" t="s">
        <v>299</v>
      </c>
      <c r="C2079" s="69"/>
      <c r="D2079" s="87"/>
      <c r="E2079" s="88">
        <f>VLOOKUP($B2079,[1]DG!A:D,[1]DG!$B$2,)</f>
        <v>0</v>
      </c>
      <c r="F2079" s="89" t="str">
        <f>VLOOKUP($B2079,[1]DG!A:D,[1]DG!$C$2,)</f>
        <v>Co  90 độ PVC 90</v>
      </c>
      <c r="G2079" s="88" t="str">
        <f>VLOOKUP($B2079,[1]DG!A:D,[1]DG!$D$2,)</f>
        <v>cái</v>
      </c>
      <c r="H2079" s="145">
        <f>H2076*2</f>
        <v>0</v>
      </c>
      <c r="I2079" s="91">
        <f t="shared" si="85"/>
        <v>0</v>
      </c>
      <c r="J2079" s="146"/>
      <c r="K2079" s="146"/>
      <c r="L2079" s="117"/>
      <c r="M2079" s="56">
        <v>560</v>
      </c>
    </row>
    <row r="2080" spans="1:13" s="51" customFormat="1" ht="25.2" hidden="1" customHeight="1">
      <c r="A2080" s="68">
        <f t="shared" si="86"/>
        <v>0</v>
      </c>
      <c r="B2080" s="69" t="s">
        <v>486</v>
      </c>
      <c r="C2080" s="69"/>
      <c r="D2080" s="87"/>
      <c r="E2080" s="88">
        <f>VLOOKUP($B2080,[1]DG!A:D,[1]DG!$B$2,)</f>
        <v>0</v>
      </c>
      <c r="F2080" s="89" t="str">
        <f>VLOOKUP($B2080,[1]DG!A:D,[1]DG!$C$2,)</f>
        <v>Khâu ven răng trong D90</v>
      </c>
      <c r="G2080" s="88" t="str">
        <f>VLOOKUP($B2080,[1]DG!A:D,[1]DG!$D$2,)</f>
        <v>cái</v>
      </c>
      <c r="H2080" s="145">
        <f>H2076*1*0</f>
        <v>0</v>
      </c>
      <c r="I2080" s="91">
        <f t="shared" si="85"/>
        <v>0</v>
      </c>
      <c r="J2080" s="146"/>
      <c r="K2080" s="146"/>
      <c r="L2080" s="117"/>
      <c r="M2080" s="56">
        <v>560</v>
      </c>
    </row>
    <row r="2081" spans="1:13" s="51" customFormat="1" ht="25.2" hidden="1" customHeight="1">
      <c r="A2081" s="68">
        <f t="shared" si="86"/>
        <v>0</v>
      </c>
      <c r="B2081" s="69" t="s">
        <v>487</v>
      </c>
      <c r="C2081" s="69"/>
      <c r="D2081" s="87"/>
      <c r="E2081" s="88">
        <f>VLOOKUP($B2081,[1]DG!A:D,[1]DG!$B$2,)</f>
        <v>0</v>
      </c>
      <c r="F2081" s="89" t="str">
        <f>VLOOKUP($B2081,[1]DG!A:D,[1]DG!$C$2,)</f>
        <v>Khâu ven răng ngoài D90</v>
      </c>
      <c r="G2081" s="88" t="str">
        <f>VLOOKUP($B2081,[1]DG!A:D,[1]DG!$D$2,)</f>
        <v>cái</v>
      </c>
      <c r="H2081" s="145">
        <f>H2080</f>
        <v>0</v>
      </c>
      <c r="I2081" s="91">
        <f t="shared" si="85"/>
        <v>0</v>
      </c>
      <c r="J2081" s="146"/>
      <c r="K2081" s="146"/>
      <c r="L2081" s="117"/>
      <c r="M2081" s="56">
        <v>560</v>
      </c>
    </row>
    <row r="2082" spans="1:13" s="51" customFormat="1" ht="25.2" hidden="1" customHeight="1">
      <c r="A2082" s="68">
        <f t="shared" si="86"/>
        <v>0</v>
      </c>
      <c r="B2082" s="86"/>
      <c r="C2082" s="86"/>
      <c r="D2082" s="220">
        <f>IF(H2082&gt;0,D2076+1,D2076)</f>
        <v>0</v>
      </c>
      <c r="E2082" s="238"/>
      <c r="F2082" s="247" t="s">
        <v>538</v>
      </c>
      <c r="G2082" s="220" t="s">
        <v>67</v>
      </c>
      <c r="H2082" s="337">
        <f>H2021</f>
        <v>0</v>
      </c>
      <c r="I2082" s="91">
        <f t="shared" si="85"/>
        <v>0</v>
      </c>
      <c r="J2082" s="146"/>
      <c r="K2082" s="146"/>
      <c r="L2082" s="96"/>
      <c r="M2082" s="56">
        <v>560</v>
      </c>
    </row>
    <row r="2083" spans="1:13" s="51" customFormat="1" ht="25.2" hidden="1" customHeight="1">
      <c r="A2083" s="68">
        <f>IF(A2082&gt;0,1,0)</f>
        <v>0</v>
      </c>
      <c r="B2083" s="86"/>
      <c r="C2083" s="86"/>
      <c r="D2083" s="111"/>
      <c r="E2083" s="242"/>
      <c r="F2083" s="248" t="s">
        <v>68</v>
      </c>
      <c r="G2083" s="111"/>
      <c r="H2083" s="145"/>
      <c r="I2083" s="91">
        <f t="shared" si="85"/>
        <v>0</v>
      </c>
      <c r="J2083" s="146"/>
      <c r="K2083" s="146"/>
      <c r="L2083" s="96"/>
      <c r="M2083" s="56">
        <v>560</v>
      </c>
    </row>
    <row r="2084" spans="1:13" s="51" customFormat="1" ht="25.2" hidden="1" customHeight="1">
      <c r="A2084" s="68">
        <f t="shared" si="86"/>
        <v>0</v>
      </c>
      <c r="B2084" s="69" t="s">
        <v>539</v>
      </c>
      <c r="C2084" s="69"/>
      <c r="D2084" s="87"/>
      <c r="E2084" s="88">
        <f>VLOOKUP($B2084,[1]DG!A:D,[1]DG!$B$2,)</f>
        <v>0</v>
      </c>
      <c r="F2084" s="89" t="e">
        <f>VLOOKUP($B2084,[1]DG!A:D,[1]DG!$C$2,)&amp;":  "&amp;#REF!&amp;" x 8m/pha "</f>
        <v>#REF!</v>
      </c>
      <c r="G2084" s="88" t="str">
        <f>VLOOKUP($B2084,[1]DG!A:D,[1]DG!$D$2,)</f>
        <v>mét</v>
      </c>
      <c r="H2084" s="145">
        <f>2*8*3*H2082</f>
        <v>0</v>
      </c>
      <c r="I2084" s="91">
        <f t="shared" si="85"/>
        <v>0</v>
      </c>
      <c r="J2084" s="146"/>
      <c r="K2084" s="146"/>
      <c r="L2084" s="96"/>
      <c r="M2084" s="56">
        <v>560</v>
      </c>
    </row>
    <row r="2085" spans="1:13" s="51" customFormat="1" ht="25.2" hidden="1" customHeight="1">
      <c r="A2085" s="68">
        <f t="shared" si="86"/>
        <v>0</v>
      </c>
      <c r="B2085" s="69" t="s">
        <v>539</v>
      </c>
      <c r="C2085" s="69"/>
      <c r="D2085" s="87"/>
      <c r="E2085" s="88">
        <f>VLOOKUP($B2085,[1]DG!A:D,[1]DG!$B$2,)</f>
        <v>0</v>
      </c>
      <c r="F2085" s="89" t="e">
        <f>VLOOKUP($B2085,[1]DG!A:D,[1]DG!$C$2,)&amp;":  "&amp;#REF!&amp;" x 11m/trung tính "</f>
        <v>#REF!</v>
      </c>
      <c r="G2085" s="88" t="str">
        <f>VLOOKUP($B2085,[1]DG!A:D,[1]DG!$D$2,)</f>
        <v>mét</v>
      </c>
      <c r="H2085" s="145">
        <f>11*H2082</f>
        <v>0</v>
      </c>
      <c r="I2085" s="91">
        <f t="shared" si="85"/>
        <v>0</v>
      </c>
      <c r="J2085" s="146"/>
      <c r="K2085" s="146"/>
      <c r="L2085" s="96"/>
      <c r="M2085" s="56">
        <v>560</v>
      </c>
    </row>
    <row r="2086" spans="1:13" s="51" customFormat="1" ht="25.2" hidden="1" customHeight="1">
      <c r="A2086" s="68">
        <f t="shared" si="86"/>
        <v>0</v>
      </c>
      <c r="B2086" s="69" t="s">
        <v>540</v>
      </c>
      <c r="C2086" s="69"/>
      <c r="D2086" s="87"/>
      <c r="E2086" s="88">
        <f>VLOOKUP($B2086,[1]DG!A:D,[1]DG!$B$2,)</f>
        <v>0</v>
      </c>
      <c r="F2086" s="89" t="str">
        <f>VLOOKUP($B2086,[1]DG!A:D,[1]DG!$C$2,)&amp;": ñaáu noái cho MCCB 800A  2sôïi/pha"</f>
        <v>Cáp đồng bọc CV250: ñaáu noái cho MCCB 800A  2sôïi/pha</v>
      </c>
      <c r="G2086" s="88" t="str">
        <f>VLOOKUP($B2086,[1]DG!A:D,[1]DG!$D$2,)</f>
        <v>mét</v>
      </c>
      <c r="H2086" s="145">
        <f>2*2*3*H2082</f>
        <v>0</v>
      </c>
      <c r="I2086" s="91">
        <f t="shared" si="85"/>
        <v>0</v>
      </c>
      <c r="J2086" s="146"/>
      <c r="K2086" s="146"/>
      <c r="L2086" s="96"/>
      <c r="M2086" s="56">
        <v>560</v>
      </c>
    </row>
    <row r="2087" spans="1:13" s="51" customFormat="1" ht="25.2" hidden="1" customHeight="1">
      <c r="A2087" s="68">
        <f t="shared" si="86"/>
        <v>0</v>
      </c>
      <c r="B2087" s="69" t="s">
        <v>142</v>
      </c>
      <c r="C2087" s="69"/>
      <c r="D2087" s="87"/>
      <c r="E2087" s="88">
        <f>VLOOKUP($B2087,[1]DG!A:D,[1]DG!$B$2,)</f>
        <v>0</v>
      </c>
      <c r="F2087" s="89" t="str">
        <f>VLOOKUP($B2087,[1]DG!A:D,[1]DG!$C$2,)&amp;": ñaáu noái cho MCCB &lt;100A  1sôïi/pha"</f>
        <v>Cáp đồng bọc CV70: ñaáu noái cho MCCB &lt;100A  1sôïi/pha</v>
      </c>
      <c r="G2087" s="88" t="str">
        <f>VLOOKUP($B2087,[1]DG!A:D,[1]DG!$D$2,)</f>
        <v>mét</v>
      </c>
      <c r="H2087" s="145">
        <f>1*4*3*H2082</f>
        <v>0</v>
      </c>
      <c r="I2087" s="91">
        <f t="shared" si="85"/>
        <v>0</v>
      </c>
      <c r="J2087" s="146"/>
      <c r="K2087" s="146"/>
      <c r="L2087" s="96"/>
      <c r="M2087" s="56">
        <v>560</v>
      </c>
    </row>
    <row r="2088" spans="1:13" s="51" customFormat="1" ht="25.2" hidden="1" customHeight="1">
      <c r="A2088" s="68">
        <f t="shared" si="86"/>
        <v>0</v>
      </c>
      <c r="B2088" s="69" t="s">
        <v>541</v>
      </c>
      <c r="C2088" s="69"/>
      <c r="D2088" s="87"/>
      <c r="E2088" s="88" t="str">
        <f>VLOOKUP($B2088,[1]DG!A:D,[1]DG!$B$2,)</f>
        <v>03.4009</v>
      </c>
      <c r="F2088" s="89" t="str">
        <f>VLOOKUP($B2088,[1]DG!A:D,[1]DG!$C$2,)&amp;": "</f>
        <v xml:space="preserve">Đầu cosse ép Cu 300mm2: </v>
      </c>
      <c r="G2088" s="88" t="str">
        <f>VLOOKUP($B2088,[1]DG!A:D,[1]DG!$D$2,)</f>
        <v>cái</v>
      </c>
      <c r="H2088" s="145">
        <f>H2082*14</f>
        <v>0</v>
      </c>
      <c r="I2088" s="91">
        <f t="shared" si="85"/>
        <v>0</v>
      </c>
      <c r="J2088" s="146"/>
      <c r="K2088" s="146"/>
      <c r="L2088" s="96"/>
      <c r="M2088" s="56">
        <v>560</v>
      </c>
    </row>
    <row r="2089" spans="1:13" s="51" customFormat="1" ht="25.2" hidden="1" customHeight="1">
      <c r="A2089" s="68">
        <f t="shared" si="86"/>
        <v>0</v>
      </c>
      <c r="B2089" s="69" t="s">
        <v>542</v>
      </c>
      <c r="C2089" s="69"/>
      <c r="D2089" s="87"/>
      <c r="E2089" s="88" t="str">
        <f>VLOOKUP($B2089,[1]DG!A:D,[1]DG!$B$2,)</f>
        <v>03.4009</v>
      </c>
      <c r="F2089" s="89" t="str">
        <f>VLOOKUP($B2089,[1]DG!A:D,[1]DG!$C$2,)&amp;": "</f>
        <v xml:space="preserve">Đầu cosse ép Cu 250mm2: </v>
      </c>
      <c r="G2089" s="88" t="str">
        <f>VLOOKUP($B2089,[1]DG!A:D,[1]DG!$D$2,)</f>
        <v>cái</v>
      </c>
      <c r="H2089" s="145">
        <f>6*H2082*2</f>
        <v>0</v>
      </c>
      <c r="I2089" s="91">
        <f t="shared" si="85"/>
        <v>0</v>
      </c>
      <c r="J2089" s="146"/>
      <c r="K2089" s="146"/>
      <c r="L2089" s="96"/>
      <c r="M2089" s="56">
        <v>560</v>
      </c>
    </row>
    <row r="2090" spans="1:13" s="51" customFormat="1" ht="25.2" hidden="1" customHeight="1">
      <c r="A2090" s="68">
        <f t="shared" si="86"/>
        <v>0</v>
      </c>
      <c r="B2090" s="69" t="s">
        <v>155</v>
      </c>
      <c r="C2090" s="69"/>
      <c r="D2090" s="87"/>
      <c r="E2090" s="88" t="str">
        <f>VLOOKUP($B2090,[1]DG!A:D,[1]DG!$B$2,)</f>
        <v>03.4003</v>
      </c>
      <c r="F2090" s="89" t="str">
        <f>VLOOKUP($B2090,[1]DG!A:D,[1]DG!$C$2,)&amp;": "</f>
        <v xml:space="preserve">Đầu cosse ép Cu 70mm2: </v>
      </c>
      <c r="G2090" s="88" t="str">
        <f>VLOOKUP($B2090,[1]DG!A:D,[1]DG!$D$2,)</f>
        <v>cái</v>
      </c>
      <c r="H2090" s="145">
        <f>+H2082*4*6</f>
        <v>0</v>
      </c>
      <c r="I2090" s="91">
        <f t="shared" si="85"/>
        <v>0</v>
      </c>
      <c r="J2090" s="146"/>
      <c r="K2090" s="146"/>
      <c r="L2090" s="96"/>
      <c r="M2090" s="56">
        <v>560</v>
      </c>
    </row>
    <row r="2091" spans="1:13" s="51" customFormat="1" ht="25.2" hidden="1" customHeight="1">
      <c r="A2091" s="68">
        <f t="shared" si="86"/>
        <v>0</v>
      </c>
      <c r="B2091" s="69" t="s">
        <v>543</v>
      </c>
      <c r="C2091" s="69"/>
      <c r="D2091" s="87"/>
      <c r="E2091" s="88">
        <f>VLOOKUP($B2091,[1]DG!A:D,[1]DG!$B$2,)</f>
        <v>0</v>
      </c>
      <c r="F2091" s="89" t="str">
        <f>VLOOKUP($B2091,[1]DG!A:D,[1]DG!$C$2,)&amp;": "</f>
        <v xml:space="preserve">Chụp đầu cosse  300mm2: </v>
      </c>
      <c r="G2091" s="88" t="str">
        <f>VLOOKUP($B2091,[1]DG!A:D,[1]DG!$D$2,)</f>
        <v>cái</v>
      </c>
      <c r="H2091" s="145">
        <f>H2088</f>
        <v>0</v>
      </c>
      <c r="I2091" s="91">
        <f t="shared" si="85"/>
        <v>0</v>
      </c>
      <c r="J2091" s="146"/>
      <c r="K2091" s="146"/>
      <c r="L2091" s="96"/>
      <c r="M2091" s="56">
        <v>560</v>
      </c>
    </row>
    <row r="2092" spans="1:13" s="51" customFormat="1" ht="25.2" hidden="1" customHeight="1">
      <c r="A2092" s="68">
        <f t="shared" si="86"/>
        <v>0</v>
      </c>
      <c r="B2092" s="69" t="s">
        <v>544</v>
      </c>
      <c r="C2092" s="69"/>
      <c r="D2092" s="87"/>
      <c r="E2092" s="88">
        <f>VLOOKUP($B2092,[1]DG!A:D,[1]DG!$B$2,)</f>
        <v>0</v>
      </c>
      <c r="F2092" s="89" t="str">
        <f>VLOOKUP($B2092,[1]DG!A:D,[1]DG!$C$2,)&amp;": "</f>
        <v xml:space="preserve">Chụp đầu cosse  250mm2: </v>
      </c>
      <c r="G2092" s="88" t="str">
        <f>VLOOKUP($B2092,[1]DG!A:D,[1]DG!$D$2,)</f>
        <v>cái</v>
      </c>
      <c r="H2092" s="145">
        <f>H2089</f>
        <v>0</v>
      </c>
      <c r="I2092" s="91">
        <f t="shared" si="85"/>
        <v>0</v>
      </c>
      <c r="J2092" s="146"/>
      <c r="K2092" s="146"/>
      <c r="L2092" s="96"/>
      <c r="M2092" s="56">
        <v>560</v>
      </c>
    </row>
    <row r="2093" spans="1:13" s="51" customFormat="1" ht="25.2" hidden="1" customHeight="1">
      <c r="A2093" s="68">
        <f t="shared" si="86"/>
        <v>0</v>
      </c>
      <c r="B2093" s="69" t="s">
        <v>162</v>
      </c>
      <c r="C2093" s="69"/>
      <c r="D2093" s="87"/>
      <c r="E2093" s="88">
        <f>VLOOKUP($B2093,[1]DG!A:D,[1]DG!$B$2,)</f>
        <v>0</v>
      </c>
      <c r="F2093" s="89" t="str">
        <f>VLOOKUP($B2093,[1]DG!A:D,[1]DG!$C$2,)&amp;": "</f>
        <v xml:space="preserve">Chụp đầu cosse  70mm2: </v>
      </c>
      <c r="G2093" s="88" t="str">
        <f>VLOOKUP($B2093,[1]DG!A:D,[1]DG!$D$2,)</f>
        <v>cái</v>
      </c>
      <c r="H2093" s="145">
        <f>H2090</f>
        <v>0</v>
      </c>
      <c r="I2093" s="91">
        <f t="shared" si="85"/>
        <v>0</v>
      </c>
      <c r="J2093" s="146"/>
      <c r="K2093" s="146"/>
      <c r="L2093" s="96"/>
      <c r="M2093" s="56">
        <v>560</v>
      </c>
    </row>
    <row r="2094" spans="1:13" s="51" customFormat="1" ht="25.2" hidden="1" customHeight="1">
      <c r="A2094" s="68">
        <f t="shared" si="86"/>
        <v>0</v>
      </c>
      <c r="B2094" s="69" t="s">
        <v>400</v>
      </c>
      <c r="C2094" s="69"/>
      <c r="D2094" s="87"/>
      <c r="E2094" s="88">
        <f>VLOOKUP($B2094,[1]DG!A:D,[1]DG!$B$2,)</f>
        <v>0</v>
      </c>
      <c r="F2094" s="89" t="str">
        <f>VLOOKUP($B2094,[1]DG!A:D,[1]DG!$C$2,)&amp;" : cho caùp xuaát töø MBA-tuû MCCB"</f>
        <v>Ống PVC D140x6,7mm : cho caùp xuaát töø MBA-tuû MCCB</v>
      </c>
      <c r="G2094" s="88" t="str">
        <f>VLOOKUP($B2094,[1]DG!A:D,[1]DG!$D$2,)</f>
        <v>m</v>
      </c>
      <c r="H2094" s="365"/>
      <c r="I2094" s="91">
        <f t="shared" si="85"/>
        <v>0</v>
      </c>
      <c r="J2094" s="146"/>
      <c r="K2094" s="146"/>
      <c r="L2094" s="96"/>
      <c r="M2094" s="56">
        <v>560</v>
      </c>
    </row>
    <row r="2095" spans="1:13" s="51" customFormat="1" ht="25.2" hidden="1" customHeight="1">
      <c r="A2095" s="68">
        <f t="shared" si="86"/>
        <v>0</v>
      </c>
      <c r="B2095" s="69" t="s">
        <v>400</v>
      </c>
      <c r="C2095" s="69"/>
      <c r="D2095" s="87"/>
      <c r="E2095" s="88">
        <f>VLOOKUP($B2095,[1]DG!A:D,[1]DG!$B$2,)</f>
        <v>0</v>
      </c>
      <c r="F2095" s="89" t="str">
        <f>VLOOKUP($B2095,[1]DG!A:D,[1]DG!$C$2,)&amp;" : cho caùp xuaát töø tuû MCCB vaùo nhaø xöôûng"</f>
        <v>Ống PVC D140x6,7mm : cho caùp xuaát töø tuû MCCB vaùo nhaø xöôûng</v>
      </c>
      <c r="G2095" s="88" t="str">
        <f>VLOOKUP($B2095,[1]DG!A:D,[1]DG!$D$2,)</f>
        <v>m</v>
      </c>
      <c r="H2095" s="145">
        <f>2*3*H2082</f>
        <v>0</v>
      </c>
      <c r="I2095" s="91">
        <f t="shared" si="85"/>
        <v>0</v>
      </c>
      <c r="J2095" s="146"/>
      <c r="K2095" s="146"/>
      <c r="L2095" s="96"/>
      <c r="M2095" s="56">
        <v>560</v>
      </c>
    </row>
    <row r="2096" spans="1:13" s="51" customFormat="1" ht="25.2" hidden="1" customHeight="1">
      <c r="A2096" s="68">
        <f t="shared" si="86"/>
        <v>0</v>
      </c>
      <c r="B2096" s="69" t="s">
        <v>110</v>
      </c>
      <c r="C2096" s="69"/>
      <c r="D2096" s="87"/>
      <c r="E2096" s="88" t="str">
        <f>VLOOKUP($B2096,[1]DG!A:D,[1]DG!$B$2,)</f>
        <v>04.8003</v>
      </c>
      <c r="F2096" s="89" t="str">
        <f>VLOOKUP($B2096,[1]DG!A:D,[1]DG!$C$2,)&amp;" : cho caùp xuaát töø tuû MCCB vaùo tuû buø"</f>
        <v>Ống PVC D90x3,8mm  : cho caùp xuaát töø tuû MCCB vaùo tuû buø</v>
      </c>
      <c r="G2096" s="88" t="str">
        <f>VLOOKUP($B2096,[1]DG!A:D,[1]DG!$D$2,)</f>
        <v>m</v>
      </c>
      <c r="H2096" s="145">
        <f>1*H2082*0</f>
        <v>0</v>
      </c>
      <c r="I2096" s="91">
        <f t="shared" si="85"/>
        <v>0</v>
      </c>
      <c r="J2096" s="146"/>
      <c r="K2096" s="146"/>
      <c r="L2096" s="96"/>
      <c r="M2096" s="56">
        <v>560</v>
      </c>
    </row>
    <row r="2097" spans="1:13" s="51" customFormat="1" ht="25.2" hidden="1" customHeight="1">
      <c r="A2097" s="68">
        <f t="shared" si="86"/>
        <v>0</v>
      </c>
      <c r="B2097" s="86" t="s">
        <v>545</v>
      </c>
      <c r="C2097" s="86"/>
      <c r="D2097" s="87"/>
      <c r="E2097" s="88" t="str">
        <f>VLOOKUP($B2097,[1]DG!A:D,[1]DG!$B$2,)</f>
        <v>06.3231</v>
      </c>
      <c r="F2097" s="89" t="str">
        <f>VLOOKUP($B2097,[1]DG!A:D,[1]DG!$C$2,)&amp;": CD-250 02 bộ"</f>
        <v>Cổ dê kẹp ống PVC Ø 140: CD-250 02 bộ</v>
      </c>
      <c r="G2097" s="88" t="str">
        <f>VLOOKUP($B2097,[1]DG!A:D,[1]DG!$D$2,)</f>
        <v>bộ</v>
      </c>
      <c r="H2097" s="145">
        <f>H2082*1.031*2</f>
        <v>0</v>
      </c>
      <c r="I2097" s="91">
        <f t="shared" si="85"/>
        <v>0</v>
      </c>
      <c r="J2097" s="146"/>
      <c r="K2097" s="146"/>
      <c r="L2097" s="96"/>
      <c r="M2097" s="56">
        <v>560</v>
      </c>
    </row>
    <row r="2098" spans="1:13" s="51" customFormat="1" ht="25.2" hidden="1" customHeight="1">
      <c r="A2098" s="68">
        <f t="shared" si="86"/>
        <v>0</v>
      </c>
      <c r="B2098" s="86" t="s">
        <v>546</v>
      </c>
      <c r="C2098" s="86"/>
      <c r="D2098" s="87"/>
      <c r="E2098" s="88" t="str">
        <f>VLOOKUP($B2098,[1]DG!A:D,[1]DG!$B$2,)</f>
        <v>06.3231</v>
      </c>
      <c r="F2098" s="89" t="str">
        <f>VLOOKUP($B2098,[1]DG!A:D,[1]DG!$C$2,)&amp;": CD-280 02 bộ"</f>
        <v>Cổ dê kẹp ống PVC Ø 140: CD-280 02 bộ</v>
      </c>
      <c r="G2098" s="88" t="str">
        <f>VLOOKUP($B2098,[1]DG!A:D,[1]DG!$D$2,)</f>
        <v>bộ</v>
      </c>
      <c r="H2098" s="145">
        <f>H2082*1.031*2</f>
        <v>0</v>
      </c>
      <c r="I2098" s="91">
        <f t="shared" si="85"/>
        <v>0</v>
      </c>
      <c r="J2098" s="146"/>
      <c r="K2098" s="146"/>
      <c r="L2098" s="96"/>
      <c r="M2098" s="56">
        <v>560</v>
      </c>
    </row>
    <row r="2099" spans="1:13" s="51" customFormat="1" ht="25.2" hidden="1" customHeight="1">
      <c r="A2099" s="68">
        <f t="shared" si="86"/>
        <v>0</v>
      </c>
      <c r="B2099" s="86" t="s">
        <v>87</v>
      </c>
      <c r="C2099" s="86"/>
      <c r="D2099" s="87"/>
      <c r="E2099" s="88" t="str">
        <f>VLOOKUP($B2099,[1]DG!A:D,[1]DG!$B$2,)</f>
        <v>06.2110</v>
      </c>
      <c r="F2099" s="89" t="str">
        <f>VLOOKUP($B2099,[1]DG!A:D,[1]DG!$C$2,)</f>
        <v>Lắp cổ dề</v>
      </c>
      <c r="G2099" s="88" t="str">
        <f>VLOOKUP($B2099,[1]DG!A:D,[1]DG!$D$2,)</f>
        <v>bộ</v>
      </c>
      <c r="H2099" s="145">
        <f>H2082*2*2</f>
        <v>0</v>
      </c>
      <c r="I2099" s="91">
        <f t="shared" si="85"/>
        <v>0</v>
      </c>
      <c r="J2099" s="146"/>
      <c r="K2099" s="146"/>
      <c r="L2099" s="96"/>
      <c r="M2099" s="56">
        <v>560</v>
      </c>
    </row>
    <row r="2100" spans="1:13" s="51" customFormat="1" ht="25.2" hidden="1" customHeight="1">
      <c r="A2100" s="68">
        <f t="shared" si="86"/>
        <v>0</v>
      </c>
      <c r="B2100" s="86" t="s">
        <v>131</v>
      </c>
      <c r="C2100" s="86"/>
      <c r="D2100" s="87"/>
      <c r="E2100" s="88">
        <f>VLOOKUP($B2100,[1]DG!A:D,[1]DG!$B$2,)</f>
        <v>0</v>
      </c>
      <c r="F2100" s="89" t="str">
        <f>VLOOKUP($B2100,[1]DG!A:D,[1]DG!$C$2,)</f>
        <v>Boulon 12x40+ 2 long đền vuông D14-50x50x3/Zn</v>
      </c>
      <c r="G2100" s="88" t="str">
        <f>VLOOKUP($B2100,[1]DG!A:D,[1]DG!$D$2,)</f>
        <v>bộ</v>
      </c>
      <c r="H2100" s="145">
        <f>H2082*6</f>
        <v>0</v>
      </c>
      <c r="I2100" s="91">
        <f t="shared" si="85"/>
        <v>0</v>
      </c>
      <c r="J2100" s="146"/>
      <c r="K2100" s="146"/>
      <c r="L2100" s="96"/>
      <c r="M2100" s="56">
        <v>560</v>
      </c>
    </row>
    <row r="2101" spans="1:13" s="51" customFormat="1" ht="25.2" hidden="1" customHeight="1">
      <c r="A2101" s="68">
        <f t="shared" si="86"/>
        <v>0</v>
      </c>
      <c r="B2101" s="86" t="s">
        <v>157</v>
      </c>
      <c r="C2101" s="86"/>
      <c r="D2101" s="87"/>
      <c r="E2101" s="88">
        <f>VLOOKUP($B2101,[1]DG!A:D,[1]DG!$B$2,)</f>
        <v>0</v>
      </c>
      <c r="F2101" s="89" t="str">
        <f>VLOOKUP($B2101,[1]DG!A:D,[1]DG!$C$2,)</f>
        <v>Boulon 12x60+ 2 long đền vuông D14-50x50x3/Zn</v>
      </c>
      <c r="G2101" s="88" t="str">
        <f>VLOOKUP($B2101,[1]DG!A:D,[1]DG!$D$2,)</f>
        <v>bộ</v>
      </c>
      <c r="H2101" s="145">
        <f>H2100</f>
        <v>0</v>
      </c>
      <c r="I2101" s="91">
        <f t="shared" si="85"/>
        <v>0</v>
      </c>
      <c r="J2101" s="146"/>
      <c r="K2101" s="146"/>
      <c r="L2101" s="96"/>
      <c r="M2101" s="56">
        <v>560</v>
      </c>
    </row>
    <row r="2102" spans="1:13" s="51" customFormat="1" ht="25.2" hidden="1" customHeight="1">
      <c r="A2102" s="68">
        <f t="shared" si="86"/>
        <v>0</v>
      </c>
      <c r="B2102" s="69" t="s">
        <v>547</v>
      </c>
      <c r="C2102" s="69"/>
      <c r="D2102" s="87"/>
      <c r="E2102" s="88">
        <f>VLOOKUP($B2102,[1]DG!A:D,[1]DG!$B$2,)</f>
        <v>0</v>
      </c>
      <c r="F2102" s="89" t="str">
        <f>VLOOKUP($B2102,[1]DG!A:D,[1]DG!$C$2,)</f>
        <v>Khâu ven răng trong D140</v>
      </c>
      <c r="G2102" s="88" t="str">
        <f>VLOOKUP($B2102,[1]DG!A:D,[1]DG!$D$2,)</f>
        <v>cái</v>
      </c>
      <c r="H2102" s="145">
        <f>H2082*2</f>
        <v>0</v>
      </c>
      <c r="I2102" s="91">
        <f t="shared" si="85"/>
        <v>0</v>
      </c>
      <c r="J2102" s="146"/>
      <c r="K2102" s="146"/>
      <c r="L2102" s="96"/>
      <c r="M2102" s="56">
        <v>560</v>
      </c>
    </row>
    <row r="2103" spans="1:13" s="51" customFormat="1" ht="25.2" hidden="1" customHeight="1">
      <c r="A2103" s="68">
        <f t="shared" si="86"/>
        <v>0</v>
      </c>
      <c r="B2103" s="69" t="s">
        <v>548</v>
      </c>
      <c r="C2103" s="69"/>
      <c r="D2103" s="87"/>
      <c r="E2103" s="88">
        <f>VLOOKUP($B2103,[1]DG!A:D,[1]DG!$B$2,)</f>
        <v>0</v>
      </c>
      <c r="F2103" s="89" t="str">
        <f>VLOOKUP($B2103,[1]DG!A:D,[1]DG!$C$2,)&amp;": "</f>
        <v xml:space="preserve">Khâu ven răng ngoài D140: </v>
      </c>
      <c r="G2103" s="88" t="str">
        <f>VLOOKUP($B2103,[1]DG!A:D,[1]DG!$D$2,)</f>
        <v>cái</v>
      </c>
      <c r="H2103" s="145">
        <f>H2102</f>
        <v>0</v>
      </c>
      <c r="I2103" s="91">
        <f t="shared" si="85"/>
        <v>0</v>
      </c>
      <c r="J2103" s="146"/>
      <c r="K2103" s="146"/>
      <c r="L2103" s="96"/>
      <c r="M2103" s="56">
        <v>560</v>
      </c>
    </row>
    <row r="2104" spans="1:13" s="51" customFormat="1" ht="25.2" hidden="1" customHeight="1">
      <c r="A2104" s="68">
        <f t="shared" si="86"/>
        <v>0</v>
      </c>
      <c r="B2104" s="69" t="s">
        <v>114</v>
      </c>
      <c r="C2104" s="69"/>
      <c r="D2104" s="87"/>
      <c r="E2104" s="88">
        <f>VLOOKUP($B2104,[1]DG!A:D,[1]DG!$B$2,)</f>
        <v>0</v>
      </c>
      <c r="F2104" s="89" t="str">
        <f>VLOOKUP($B2104,[1]DG!A:D,[1]DG!$C$2,)&amp;": "</f>
        <v xml:space="preserve">Keo dán ống PVC (100gr): </v>
      </c>
      <c r="G2104" s="88" t="str">
        <f>VLOOKUP($B2104,[1]DG!A:D,[1]DG!$D$2,)</f>
        <v>tuýp</v>
      </c>
      <c r="H2104" s="145">
        <f>H2082*2</f>
        <v>0</v>
      </c>
      <c r="I2104" s="91">
        <f t="shared" si="85"/>
        <v>0</v>
      </c>
      <c r="J2104" s="146"/>
      <c r="K2104" s="146"/>
      <c r="L2104" s="96"/>
      <c r="M2104" s="56">
        <v>560</v>
      </c>
    </row>
    <row r="2105" spans="1:13" s="51" customFormat="1" ht="25.2" hidden="1" customHeight="1">
      <c r="A2105" s="68">
        <f t="shared" si="86"/>
        <v>0</v>
      </c>
      <c r="B2105" s="86" t="s">
        <v>436</v>
      </c>
      <c r="C2105" s="86"/>
      <c r="D2105" s="87"/>
      <c r="E2105" s="88"/>
      <c r="F2105" s="89" t="str">
        <f>VLOOKUP($B2105,[1]DG!A:D,[1]DG!$C$2,)&amp;":"</f>
        <v>Keo silicon bít miệng ống:</v>
      </c>
      <c r="G2105" s="88" t="str">
        <f>VLOOKUP($B2105,[1]DG!A:D,[1]DG!$D$2,)</f>
        <v>ống</v>
      </c>
      <c r="H2105" s="145">
        <f>H2082*2</f>
        <v>0</v>
      </c>
      <c r="I2105" s="91">
        <f t="shared" si="85"/>
        <v>0</v>
      </c>
      <c r="J2105" s="146"/>
      <c r="K2105" s="146"/>
      <c r="L2105" s="117"/>
      <c r="M2105" s="56">
        <v>560</v>
      </c>
    </row>
    <row r="2106" spans="1:13" s="51" customFormat="1" ht="25.2" hidden="1" customHeight="1">
      <c r="A2106" s="68">
        <f t="shared" si="86"/>
        <v>0</v>
      </c>
      <c r="B2106" s="86" t="s">
        <v>148</v>
      </c>
      <c r="C2106" s="86"/>
      <c r="D2106" s="87"/>
      <c r="E2106" s="88">
        <f>VLOOKUP($B2106,[1]DG!A:D,[1]DG!$B$2,)</f>
        <v>0</v>
      </c>
      <c r="F2106" s="89" t="str">
        <f>VLOOKUP($B2106,[1]DG!A:D,[1]DG!$C$2,)&amp;":"</f>
        <v>Băng keo cách điện:</v>
      </c>
      <c r="G2106" s="88" t="str">
        <f>VLOOKUP($B2106,[1]DG!A:D,[1]DG!$D$2,)</f>
        <v>cuộn</v>
      </c>
      <c r="H2106" s="145">
        <f>H2082*2</f>
        <v>0</v>
      </c>
      <c r="I2106" s="91">
        <f t="shared" ref="I2106:I2169" si="87">IF(M2106=$M$23,H2106+J2106-K2106,0)</f>
        <v>0</v>
      </c>
      <c r="J2106" s="146"/>
      <c r="K2106" s="146"/>
      <c r="L2106" s="96"/>
      <c r="M2106" s="56">
        <v>560</v>
      </c>
    </row>
    <row r="2107" spans="1:13" s="51" customFormat="1" ht="25.2" hidden="1" customHeight="1">
      <c r="A2107" s="68">
        <f t="shared" si="86"/>
        <v>0</v>
      </c>
      <c r="B2107" s="86" t="s">
        <v>438</v>
      </c>
      <c r="C2107" s="86"/>
      <c r="D2107" s="87"/>
      <c r="E2107" s="88" t="str">
        <f>VLOOKUP($B2107,[1]DG!A:D,[1]DG!$B$2,)</f>
        <v>04.4203</v>
      </c>
      <c r="F2107" s="89" t="str">
        <f>VLOOKUP($B2107,[1]DG!A:D,[1]DG!$C$2,)&amp;":"</f>
        <v>Lắp cáp đồng xuống thiết bị D &gt; 150mm2:</v>
      </c>
      <c r="G2107" s="88" t="str">
        <f>VLOOKUP($B2107,[1]DG!A:D,[1]DG!$D$2,)</f>
        <v>m</v>
      </c>
      <c r="H2107" s="145">
        <f>H2084+H2085+H2086</f>
        <v>0</v>
      </c>
      <c r="I2107" s="91">
        <f t="shared" si="87"/>
        <v>0</v>
      </c>
      <c r="J2107" s="146"/>
      <c r="K2107" s="146"/>
      <c r="L2107" s="96"/>
      <c r="M2107" s="56">
        <v>560</v>
      </c>
    </row>
    <row r="2108" spans="1:13" s="51" customFormat="1" ht="25.2" hidden="1" customHeight="1">
      <c r="A2108" s="68">
        <f t="shared" si="86"/>
        <v>0</v>
      </c>
      <c r="B2108" s="86" t="s">
        <v>326</v>
      </c>
      <c r="C2108" s="86"/>
      <c r="D2108" s="87"/>
      <c r="E2108" s="88" t="str">
        <f>VLOOKUP($B2108,[1]DG!A:D,[1]DG!$B$2,)</f>
        <v>04.4202</v>
      </c>
      <c r="F2108" s="89" t="str">
        <f>VLOOKUP($B2108,[1]DG!A:D,[1]DG!$C$2,)&amp;":"</f>
        <v>Lắp cáp đồng xuống thiết bị D ≤ 150mm2:</v>
      </c>
      <c r="G2108" s="88" t="str">
        <f>VLOOKUP($B2108,[1]DG!A:D,[1]DG!$D$2,)</f>
        <v>m</v>
      </c>
      <c r="H2108" s="145">
        <f>+H2087</f>
        <v>0</v>
      </c>
      <c r="I2108" s="91">
        <f t="shared" si="87"/>
        <v>0</v>
      </c>
      <c r="J2108" s="146"/>
      <c r="K2108" s="146"/>
      <c r="L2108" s="96"/>
      <c r="M2108" s="56">
        <v>560</v>
      </c>
    </row>
    <row r="2109" spans="1:13" s="51" customFormat="1" ht="25.2" hidden="1" customHeight="1">
      <c r="A2109" s="68">
        <f t="shared" si="86"/>
        <v>0</v>
      </c>
      <c r="B2109" s="86" t="s">
        <v>449</v>
      </c>
      <c r="C2109" s="86"/>
      <c r="D2109" s="87"/>
      <c r="E2109" s="88" t="str">
        <f>VLOOKUP($B2109,[1]DG!A:D,[1]DG!$B$2,)</f>
        <v>06.3191</v>
      </c>
      <c r="F2109" s="89" t="str">
        <f>VLOOKUP($B2109,[1]DG!A:D,[1]DG!$C$2,)&amp;":"</f>
        <v>Bảng tên trạm, bảng báo nguy hiểm + đinh vít:</v>
      </c>
      <c r="G2109" s="88" t="str">
        <f>VLOOKUP($B2109,[1]DG!A:D,[1]DG!$D$2,)</f>
        <v>bộ</v>
      </c>
      <c r="H2109" s="145">
        <f>H2082</f>
        <v>0</v>
      </c>
      <c r="I2109" s="91">
        <f t="shared" si="87"/>
        <v>0</v>
      </c>
      <c r="J2109" s="146"/>
      <c r="K2109" s="146"/>
      <c r="L2109" s="96"/>
      <c r="M2109" s="56">
        <v>560</v>
      </c>
    </row>
    <row r="2110" spans="1:13" s="51" customFormat="1" ht="25.2" hidden="1" customHeight="1">
      <c r="A2110" s="68">
        <f t="shared" si="86"/>
        <v>0</v>
      </c>
      <c r="B2110" s="86"/>
      <c r="C2110" s="86"/>
      <c r="D2110" s="220">
        <f>IF(H2110&gt;0,D2082+1,D2082)</f>
        <v>0</v>
      </c>
      <c r="E2110" s="238"/>
      <c r="F2110" s="247" t="s">
        <v>327</v>
      </c>
      <c r="G2110" s="220" t="s">
        <v>67</v>
      </c>
      <c r="H2110" s="337">
        <f>H2082</f>
        <v>0</v>
      </c>
      <c r="I2110" s="91">
        <f t="shared" si="87"/>
        <v>0</v>
      </c>
      <c r="J2110" s="146"/>
      <c r="K2110" s="146"/>
      <c r="L2110" s="96"/>
      <c r="M2110" s="56">
        <v>560</v>
      </c>
    </row>
    <row r="2111" spans="1:13" s="147" customFormat="1" ht="25.2" hidden="1" customHeight="1">
      <c r="A2111" s="68">
        <f>IF(A2110&gt;0,1,0)</f>
        <v>0</v>
      </c>
      <c r="B2111" s="338"/>
      <c r="C2111" s="338"/>
      <c r="D2111" s="111"/>
      <c r="E2111" s="242"/>
      <c r="F2111" s="248" t="s">
        <v>68</v>
      </c>
      <c r="G2111" s="111"/>
      <c r="H2111" s="244"/>
      <c r="I2111" s="91">
        <f t="shared" si="87"/>
        <v>0</v>
      </c>
      <c r="J2111" s="146"/>
      <c r="K2111" s="146"/>
      <c r="L2111" s="96"/>
      <c r="M2111" s="56">
        <v>560</v>
      </c>
    </row>
    <row r="2112" spans="1:13" s="51" customFormat="1" ht="25.2" hidden="1" customHeight="1">
      <c r="A2112" s="68">
        <f t="shared" si="86"/>
        <v>0</v>
      </c>
      <c r="B2112" s="69" t="s">
        <v>273</v>
      </c>
      <c r="C2112" s="69"/>
      <c r="D2112" s="96"/>
      <c r="E2112" s="88" t="str">
        <f>VLOOKUP($B2112,[1]DG!A:D,[1]DG!$B$2,)</f>
        <v>03.1401</v>
      </c>
      <c r="F2112" s="92" t="str">
        <f>VLOOKUP($B2112,[1]DG!A:D,[1]DG!$C$2,)</f>
        <v xml:space="preserve">Cáp CVV 4x2,5mm2  </v>
      </c>
      <c r="G2112" s="339" t="str">
        <f>VLOOKUP($B2112,[1]DG!A:D,[1]DG!$D$2,)</f>
        <v>mét</v>
      </c>
      <c r="H2112" s="145">
        <f>H2110*26</f>
        <v>0</v>
      </c>
      <c r="I2112" s="91">
        <f t="shared" si="87"/>
        <v>0</v>
      </c>
      <c r="J2112" s="95"/>
      <c r="K2112" s="95"/>
      <c r="L2112" s="96"/>
      <c r="M2112" s="56">
        <v>560</v>
      </c>
    </row>
    <row r="2113" spans="1:13" s="51" customFormat="1" ht="25.2" hidden="1" customHeight="1">
      <c r="A2113" s="68">
        <f t="shared" si="86"/>
        <v>0</v>
      </c>
      <c r="B2113" s="69" t="s">
        <v>440</v>
      </c>
      <c r="C2113" s="69"/>
      <c r="D2113" s="96"/>
      <c r="E2113" s="88" t="str">
        <f>VLOOKUP($B2113,[1]DG!A:D,[1]DG!$B$2,)</f>
        <v>05.6101</v>
      </c>
      <c r="F2113" s="92" t="str">
        <f>VLOOKUP($B2113,[1]DG!A:D,[1]DG!$C$2,)</f>
        <v>Xà kẹp TU, TI U50x32x4 350</v>
      </c>
      <c r="G2113" s="339" t="str">
        <f>VLOOKUP($B2113,[1]DG!A:D,[1]DG!$D$2,)</f>
        <v>Bộ</v>
      </c>
      <c r="H2113" s="145">
        <f>H2110*12</f>
        <v>0</v>
      </c>
      <c r="I2113" s="91">
        <f t="shared" si="87"/>
        <v>0</v>
      </c>
      <c r="J2113" s="95"/>
      <c r="K2113" s="95"/>
      <c r="L2113" s="96"/>
      <c r="M2113" s="56">
        <v>560</v>
      </c>
    </row>
    <row r="2114" spans="1:13" s="51" customFormat="1" ht="25.2" hidden="1" customHeight="1">
      <c r="A2114" s="68">
        <f t="shared" si="86"/>
        <v>0</v>
      </c>
      <c r="B2114" s="69" t="s">
        <v>549</v>
      </c>
      <c r="C2114" s="69"/>
      <c r="D2114" s="96"/>
      <c r="E2114" s="88">
        <f>VLOOKUP($B2114,[1]DG!A:D,[1]DG!$B$2,)</f>
        <v>0</v>
      </c>
      <c r="F2114" s="92" t="str">
        <f>VLOOKUP($B2114,[1]DG!A:D,[1]DG!$C$2,)</f>
        <v>Boulon 10x250+ 2 long đền vuông D14-50x50x3/Zn</v>
      </c>
      <c r="G2114" s="339" t="str">
        <f>VLOOKUP($B2114,[1]DG!A:D,[1]DG!$D$2,)</f>
        <v>bộ</v>
      </c>
      <c r="H2114" s="145">
        <f>H2113*4</f>
        <v>0</v>
      </c>
      <c r="I2114" s="91">
        <f t="shared" si="87"/>
        <v>0</v>
      </c>
      <c r="J2114" s="95"/>
      <c r="K2114" s="95"/>
      <c r="L2114" s="96"/>
      <c r="M2114" s="56">
        <v>560</v>
      </c>
    </row>
    <row r="2115" spans="1:13" s="51" customFormat="1" ht="25.2" hidden="1" customHeight="1">
      <c r="A2115" s="68">
        <f t="shared" si="86"/>
        <v>0</v>
      </c>
      <c r="B2115" s="69" t="s">
        <v>441</v>
      </c>
      <c r="C2115" s="69"/>
      <c r="D2115" s="87"/>
      <c r="E2115" s="88" t="str">
        <f>VLOOKUP($B2115,[1]DG!A:D,[1]DG!$B$2,)</f>
        <v>03.4001</v>
      </c>
      <c r="F2115" s="92" t="str">
        <f>VLOOKUP($B2115,[1]DG!A:D,[1]DG!$C$2,)</f>
        <v xml:space="preserve">Đầu cosse ép Cu 2,5mm2 + bao PVC </v>
      </c>
      <c r="G2115" s="339" t="str">
        <f>VLOOKUP($B2115,[1]DG!A:D,[1]DG!$D$2,)</f>
        <v>cái</v>
      </c>
      <c r="H2115" s="145">
        <f>H2110*16</f>
        <v>0</v>
      </c>
      <c r="I2115" s="91">
        <f t="shared" si="87"/>
        <v>0</v>
      </c>
      <c r="J2115" s="95"/>
      <c r="K2115" s="95"/>
      <c r="L2115" s="96"/>
      <c r="M2115" s="56">
        <v>560</v>
      </c>
    </row>
    <row r="2116" spans="1:13" s="51" customFormat="1" ht="25.2" hidden="1" customHeight="1">
      <c r="A2116" s="68">
        <f t="shared" si="86"/>
        <v>0</v>
      </c>
      <c r="B2116" s="69" t="s">
        <v>442</v>
      </c>
      <c r="C2116" s="69"/>
      <c r="D2116" s="87"/>
      <c r="E2116" s="88">
        <f>VLOOKUP($B2116,[1]DG!A:D,[1]DG!$B$2,)</f>
        <v>0</v>
      </c>
      <c r="F2116" s="92" t="str">
        <f>VLOOKUP($B2116,[1]DG!A:D,[1]DG!$C$2,)</f>
        <v>Dây điện đôi 16/10</v>
      </c>
      <c r="G2116" s="339" t="str">
        <f>VLOOKUP($B2116,[1]DG!A:D,[1]DG!$D$2,)</f>
        <v>mét</v>
      </c>
      <c r="H2116" s="145">
        <f>2*H2110</f>
        <v>0</v>
      </c>
      <c r="I2116" s="91">
        <f t="shared" si="87"/>
        <v>0</v>
      </c>
      <c r="J2116" s="95"/>
      <c r="K2116" s="95"/>
      <c r="L2116" s="96"/>
      <c r="M2116" s="56">
        <v>560</v>
      </c>
    </row>
    <row r="2117" spans="1:13" s="51" customFormat="1" ht="25.2" hidden="1" customHeight="1">
      <c r="A2117" s="68">
        <f t="shared" si="86"/>
        <v>0</v>
      </c>
      <c r="B2117" s="69" t="s">
        <v>85</v>
      </c>
      <c r="C2117" s="69"/>
      <c r="D2117" s="87"/>
      <c r="E2117" s="88">
        <f>VLOOKUP($B2117,[1]DG!A:D,[1]DG!$B$2,)</f>
        <v>0</v>
      </c>
      <c r="F2117" s="92" t="str">
        <f>VLOOKUP($B2117,[1]DG!A:D,[1]DG!$C$2,)&amp;" (ñaáu TU )"</f>
        <v>Kẹp ép cỡ dây 25mm2 (ñaáu TU )</v>
      </c>
      <c r="G2117" s="339" t="str">
        <f>VLOOKUP($B2117,[1]DG!A:D,[1]DG!$D$2,)</f>
        <v>cái</v>
      </c>
      <c r="H2117" s="145">
        <f>+H2110*3</f>
        <v>0</v>
      </c>
      <c r="I2117" s="91">
        <f t="shared" si="87"/>
        <v>0</v>
      </c>
      <c r="J2117" s="95"/>
      <c r="K2117" s="95"/>
      <c r="L2117" s="96"/>
      <c r="M2117" s="56">
        <v>560</v>
      </c>
    </row>
    <row r="2118" spans="1:13" s="51" customFormat="1" ht="25.2" hidden="1" customHeight="1">
      <c r="A2118" s="68">
        <f t="shared" si="86"/>
        <v>0</v>
      </c>
      <c r="B2118" s="69" t="s">
        <v>426</v>
      </c>
      <c r="C2118" s="69"/>
      <c r="D2118" s="87"/>
      <c r="E2118" s="88" t="str">
        <f>VLOOKUP($B2118,[1]DG!A:D,[1]DG!$B$2,)</f>
        <v>07.2403</v>
      </c>
      <c r="F2118" s="92" t="str">
        <f>VLOOKUP($B2118,[1]DG!A:D,[1]DG!$C$2,)</f>
        <v>Ống PVC D42x2,1mm</v>
      </c>
      <c r="G2118" s="339" t="str">
        <f>VLOOKUP($B2118,[1]DG!A:D,[1]DG!$D$2,)</f>
        <v>m</v>
      </c>
      <c r="H2118" s="145">
        <f>H2110*16</f>
        <v>0</v>
      </c>
      <c r="I2118" s="91">
        <f t="shared" si="87"/>
        <v>0</v>
      </c>
      <c r="J2118" s="95"/>
      <c r="K2118" s="95"/>
      <c r="L2118" s="96"/>
      <c r="M2118" s="56">
        <v>560</v>
      </c>
    </row>
    <row r="2119" spans="1:13" s="51" customFormat="1" ht="25.2" hidden="1" customHeight="1">
      <c r="A2119" s="68">
        <f t="shared" si="86"/>
        <v>0</v>
      </c>
      <c r="B2119" s="86" t="s">
        <v>443</v>
      </c>
      <c r="C2119" s="86"/>
      <c r="D2119" s="87"/>
      <c r="E2119" s="88" t="str">
        <f>VLOOKUP($B2119,[1]DG!A:D,[1]DG!$B$2,)</f>
        <v>06.3231</v>
      </c>
      <c r="F2119" s="92" t="str">
        <f>VLOOKUP($B2119,[1]DG!A:D,[1]DG!$C$2,)&amp;": D230 01 bộ"</f>
        <v>Cổ dê giữ ống PVC D42: D230 01 bộ</v>
      </c>
      <c r="G2119" s="339" t="str">
        <f>VLOOKUP($B2119,[1]DG!A:D,[1]DG!$D$2,)</f>
        <v>bộ</v>
      </c>
      <c r="H2119" s="145">
        <f>0.459*H2110</f>
        <v>0</v>
      </c>
      <c r="I2119" s="91">
        <f t="shared" si="87"/>
        <v>0</v>
      </c>
      <c r="J2119" s="95"/>
      <c r="K2119" s="95"/>
      <c r="L2119" s="96"/>
      <c r="M2119" s="56">
        <v>560</v>
      </c>
    </row>
    <row r="2120" spans="1:13" s="51" customFormat="1" ht="25.2" hidden="1" customHeight="1">
      <c r="A2120" s="68">
        <f t="shared" si="86"/>
        <v>0</v>
      </c>
      <c r="B2120" s="86" t="s">
        <v>443</v>
      </c>
      <c r="C2120" s="86"/>
      <c r="D2120" s="87"/>
      <c r="E2120" s="88" t="str">
        <f>VLOOKUP($B2120,[1]DG!A:D,[1]DG!$B$2,)</f>
        <v>06.3231</v>
      </c>
      <c r="F2120" s="92" t="str">
        <f>VLOOKUP($B2120,[1]DG!A:D,[1]DG!$C$2,)&amp;": D250 01 bộ"</f>
        <v>Cổ dê giữ ống PVC D42: D250 01 bộ</v>
      </c>
      <c r="G2120" s="339" t="str">
        <f>VLOOKUP($B2120,[1]DG!A:D,[1]DG!$D$2,)</f>
        <v>bộ</v>
      </c>
      <c r="H2120" s="145">
        <f>0.483*H2110</f>
        <v>0</v>
      </c>
      <c r="I2120" s="91">
        <f t="shared" si="87"/>
        <v>0</v>
      </c>
      <c r="J2120" s="95"/>
      <c r="K2120" s="95"/>
      <c r="L2120" s="96"/>
      <c r="M2120" s="56">
        <v>560</v>
      </c>
    </row>
    <row r="2121" spans="1:13" s="51" customFormat="1" ht="25.2" hidden="1" customHeight="1">
      <c r="A2121" s="68">
        <f t="shared" si="86"/>
        <v>0</v>
      </c>
      <c r="B2121" s="86" t="s">
        <v>443</v>
      </c>
      <c r="C2121" s="86"/>
      <c r="D2121" s="87"/>
      <c r="E2121" s="88" t="str">
        <f>VLOOKUP($B2121,[1]DG!A:D,[1]DG!$B$2,)</f>
        <v>06.3231</v>
      </c>
      <c r="F2121" s="92" t="str">
        <f>VLOOKUP($B2121,[1]DG!A:D,[1]DG!$C$2,)&amp;": D280 01 bộ"</f>
        <v>Cổ dê giữ ống PVC D42: D280 01 bộ</v>
      </c>
      <c r="G2121" s="339" t="str">
        <f>VLOOKUP($B2121,[1]DG!A:D,[1]DG!$D$2,)</f>
        <v>bộ</v>
      </c>
      <c r="H2121" s="145">
        <f>H2110*0.52</f>
        <v>0</v>
      </c>
      <c r="I2121" s="91">
        <f t="shared" si="87"/>
        <v>0</v>
      </c>
      <c r="J2121" s="95"/>
      <c r="K2121" s="95"/>
      <c r="L2121" s="96"/>
      <c r="M2121" s="56">
        <v>560</v>
      </c>
    </row>
    <row r="2122" spans="1:13" s="51" customFormat="1" ht="25.2" hidden="1" customHeight="1">
      <c r="A2122" s="68">
        <f t="shared" si="86"/>
        <v>0</v>
      </c>
      <c r="B2122" s="86" t="s">
        <v>443</v>
      </c>
      <c r="C2122" s="86"/>
      <c r="D2122" s="87"/>
      <c r="E2122" s="88" t="str">
        <f>VLOOKUP($B2122,[1]DG!A:D,[1]DG!$B$2,)</f>
        <v>06.3231</v>
      </c>
      <c r="F2122" s="92" t="str">
        <f>VLOOKUP($B2122,[1]DG!A:D,[1]DG!$C$2,)&amp;": D320 01 bộ"</f>
        <v>Cổ dê giữ ống PVC D42: D320 01 bộ</v>
      </c>
      <c r="G2122" s="339" t="str">
        <f>VLOOKUP($B2122,[1]DG!A:D,[1]DG!$D$2,)</f>
        <v>bộ</v>
      </c>
      <c r="H2122" s="145">
        <f>H2110*0.569</f>
        <v>0</v>
      </c>
      <c r="I2122" s="91">
        <f t="shared" si="87"/>
        <v>0</v>
      </c>
      <c r="J2122" s="95"/>
      <c r="K2122" s="95"/>
      <c r="L2122" s="96"/>
      <c r="M2122" s="56">
        <v>560</v>
      </c>
    </row>
    <row r="2123" spans="1:13" s="51" customFormat="1" ht="25.2" hidden="1" customHeight="1">
      <c r="A2123" s="68">
        <f t="shared" si="86"/>
        <v>0</v>
      </c>
      <c r="B2123" s="86" t="s">
        <v>317</v>
      </c>
      <c r="C2123" s="86"/>
      <c r="D2123" s="87"/>
      <c r="E2123" s="88" t="str">
        <f>VLOOKUP($B2123,[1]DG!A:D,[1]DG!$B$2,)</f>
        <v>06.3231</v>
      </c>
      <c r="F2123" s="92" t="str">
        <f>VLOOKUP($B2123,[1]DG!A:D,[1]DG!$C$2,)&amp;": D320 02 bộ"</f>
        <v>Cổ dê CDĐKĐT( bắt thùng điện kế): D320 02 bộ</v>
      </c>
      <c r="G2123" s="339" t="str">
        <f>VLOOKUP($B2123,[1]DG!A:D,[1]DG!$D$2,)</f>
        <v>bộ</v>
      </c>
      <c r="H2123" s="145">
        <f>H2110*5.85*2</f>
        <v>0</v>
      </c>
      <c r="I2123" s="91">
        <f t="shared" si="87"/>
        <v>0</v>
      </c>
      <c r="J2123" s="95"/>
      <c r="K2123" s="95"/>
      <c r="L2123" s="96"/>
      <c r="M2123" s="56">
        <v>560</v>
      </c>
    </row>
    <row r="2124" spans="1:13" s="51" customFormat="1" ht="25.2" hidden="1" customHeight="1">
      <c r="A2124" s="68">
        <f t="shared" si="86"/>
        <v>0</v>
      </c>
      <c r="B2124" s="86" t="s">
        <v>131</v>
      </c>
      <c r="C2124" s="86"/>
      <c r="D2124" s="87"/>
      <c r="E2124" s="88">
        <f>VLOOKUP($B2124,[1]DG!A:D,[1]DG!$B$2,)</f>
        <v>0</v>
      </c>
      <c r="F2124" s="92" t="str">
        <f>VLOOKUP($B2124,[1]DG!A:D,[1]DG!$C$2,)</f>
        <v>Boulon 12x40+ 2 long đền vuông D14-50x50x3/Zn</v>
      </c>
      <c r="G2124" s="339" t="str">
        <f>VLOOKUP($B2124,[1]DG!A:D,[1]DG!$D$2,)</f>
        <v>bộ</v>
      </c>
      <c r="H2124" s="145">
        <f>H2126*2</f>
        <v>0</v>
      </c>
      <c r="I2124" s="91">
        <f t="shared" si="87"/>
        <v>0</v>
      </c>
      <c r="J2124" s="95"/>
      <c r="K2124" s="95"/>
      <c r="L2124" s="96"/>
      <c r="M2124" s="56">
        <v>560</v>
      </c>
    </row>
    <row r="2125" spans="1:13" s="51" customFormat="1" ht="25.2" hidden="1" customHeight="1">
      <c r="A2125" s="68">
        <f t="shared" si="86"/>
        <v>0</v>
      </c>
      <c r="B2125" s="86" t="s">
        <v>157</v>
      </c>
      <c r="C2125" s="86"/>
      <c r="D2125" s="87"/>
      <c r="E2125" s="88">
        <f>VLOOKUP($B2125,[1]DG!A:D,[1]DG!$B$2,)</f>
        <v>0</v>
      </c>
      <c r="F2125" s="92" t="str">
        <f>VLOOKUP($B2125,[1]DG!A:D,[1]DG!$C$2,)</f>
        <v>Boulon 12x60+ 2 long đền vuông D14-50x50x3/Zn</v>
      </c>
      <c r="G2125" s="339" t="str">
        <f>VLOOKUP($B2125,[1]DG!A:D,[1]DG!$D$2,)</f>
        <v>bộ</v>
      </c>
      <c r="H2125" s="145">
        <f>H2124</f>
        <v>0</v>
      </c>
      <c r="I2125" s="91">
        <f t="shared" si="87"/>
        <v>0</v>
      </c>
      <c r="J2125" s="95"/>
      <c r="K2125" s="95"/>
      <c r="L2125" s="96"/>
      <c r="M2125" s="56">
        <v>560</v>
      </c>
    </row>
    <row r="2126" spans="1:13" s="51" customFormat="1" ht="25.2" hidden="1" customHeight="1">
      <c r="A2126" s="68">
        <f t="shared" si="86"/>
        <v>0</v>
      </c>
      <c r="B2126" s="86" t="s">
        <v>87</v>
      </c>
      <c r="C2126" s="86"/>
      <c r="D2126" s="87"/>
      <c r="E2126" s="88" t="str">
        <f>VLOOKUP($B2126,[1]DG!A:D,[1]DG!$B$2,)</f>
        <v>06.2110</v>
      </c>
      <c r="F2126" s="89" t="str">
        <f>VLOOKUP($B2126,[1]DG!A:D,[1]DG!$C$2,)</f>
        <v>Lắp cổ dề</v>
      </c>
      <c r="G2126" s="88" t="str">
        <f>VLOOKUP($B2126,[1]DG!A:D,[1]DG!$D$2,)</f>
        <v>bộ</v>
      </c>
      <c r="H2126" s="145">
        <f>H2110*6</f>
        <v>0</v>
      </c>
      <c r="I2126" s="91">
        <f t="shared" si="87"/>
        <v>0</v>
      </c>
      <c r="J2126" s="146"/>
      <c r="K2126" s="146"/>
      <c r="L2126" s="96"/>
      <c r="M2126" s="56">
        <v>560</v>
      </c>
    </row>
    <row r="2127" spans="1:13" s="51" customFormat="1" ht="25.2" hidden="1" customHeight="1">
      <c r="A2127" s="68">
        <f t="shared" si="86"/>
        <v>0</v>
      </c>
      <c r="B2127" s="69" t="s">
        <v>444</v>
      </c>
      <c r="C2127" s="69"/>
      <c r="D2127" s="87"/>
      <c r="E2127" s="88">
        <f>VLOOKUP($B2127,[1]DG!A:D,[1]DG!$B$2,)</f>
        <v>0</v>
      </c>
      <c r="F2127" s="92" t="str">
        <f>VLOOKUP($B2127,[1]DG!A:D,[1]DG!$C$2,)</f>
        <v>Co 90 độ PVC 42</v>
      </c>
      <c r="G2127" s="339" t="str">
        <f>VLOOKUP($B2127,[1]DG!A:D,[1]DG!$D$2,)</f>
        <v>cái</v>
      </c>
      <c r="H2127" s="145">
        <f>H2110*5</f>
        <v>0</v>
      </c>
      <c r="I2127" s="91">
        <f t="shared" si="87"/>
        <v>0</v>
      </c>
      <c r="J2127" s="95"/>
      <c r="K2127" s="95"/>
      <c r="L2127" s="96"/>
      <c r="M2127" s="56">
        <v>560</v>
      </c>
    </row>
    <row r="2128" spans="1:13" s="51" customFormat="1" ht="25.2" hidden="1" customHeight="1">
      <c r="A2128" s="68">
        <f t="shared" si="86"/>
        <v>0</v>
      </c>
      <c r="B2128" s="69" t="s">
        <v>427</v>
      </c>
      <c r="C2128" s="69"/>
      <c r="D2128" s="87"/>
      <c r="E2128" s="88">
        <f>VLOOKUP($B2128,[1]DG!A:D,[1]DG!$B$2,)</f>
        <v>0</v>
      </c>
      <c r="F2128" s="92" t="str">
        <f>VLOOKUP($B2128,[1]DG!A:D,[1]DG!$C$2,)</f>
        <v>Co chữ T ống PVC 42</v>
      </c>
      <c r="G2128" s="339" t="str">
        <f>VLOOKUP($B2128,[1]DG!A:D,[1]DG!$D$2,)</f>
        <v>cái</v>
      </c>
      <c r="H2128" s="145">
        <f>H2110*5</f>
        <v>0</v>
      </c>
      <c r="I2128" s="91">
        <f t="shared" si="87"/>
        <v>0</v>
      </c>
      <c r="J2128" s="95"/>
      <c r="K2128" s="95"/>
      <c r="L2128" s="96"/>
      <c r="M2128" s="56">
        <v>560</v>
      </c>
    </row>
    <row r="2129" spans="1:13" s="51" customFormat="1" ht="25.2" hidden="1" customHeight="1">
      <c r="A2129" s="68">
        <f t="shared" si="86"/>
        <v>0</v>
      </c>
      <c r="B2129" s="69" t="s">
        <v>445</v>
      </c>
      <c r="C2129" s="69"/>
      <c r="D2129" s="87"/>
      <c r="E2129" s="88">
        <f>VLOOKUP($B2129,[1]DG!A:D,[1]DG!$B$2,)</f>
        <v>0</v>
      </c>
      <c r="F2129" s="92" t="str">
        <f>VLOOKUP($B2129,[1]DG!A:D,[1]DG!$C$2,)</f>
        <v>Nối thẳng ống PVC 42</v>
      </c>
      <c r="G2129" s="339" t="str">
        <f>VLOOKUP($B2129,[1]DG!A:D,[1]DG!$D$2,)</f>
        <v>cái</v>
      </c>
      <c r="H2129" s="145">
        <f>H2110</f>
        <v>0</v>
      </c>
      <c r="I2129" s="91">
        <f t="shared" si="87"/>
        <v>0</v>
      </c>
      <c r="J2129" s="95"/>
      <c r="K2129" s="95"/>
      <c r="L2129" s="96"/>
      <c r="M2129" s="56">
        <v>560</v>
      </c>
    </row>
    <row r="2130" spans="1:13" s="51" customFormat="1" ht="25.2" hidden="1" customHeight="1">
      <c r="A2130" s="68">
        <f t="shared" si="86"/>
        <v>0</v>
      </c>
      <c r="B2130" s="69" t="s">
        <v>446</v>
      </c>
      <c r="C2130" s="69"/>
      <c r="D2130" s="87"/>
      <c r="E2130" s="88">
        <f>VLOOKUP($B2130,[1]DG!A:D,[1]DG!$B$2,)</f>
        <v>0</v>
      </c>
      <c r="F2130" s="92" t="str">
        <f>VLOOKUP($B2130,[1]DG!A:D,[1]DG!$C$2,)</f>
        <v>Keo dán ống PVC (500gr)</v>
      </c>
      <c r="G2130" s="339" t="str">
        <f>VLOOKUP($B2130,[1]DG!A:D,[1]DG!$D$2,)</f>
        <v>lon</v>
      </c>
      <c r="H2130" s="145">
        <f>H2110</f>
        <v>0</v>
      </c>
      <c r="I2130" s="91">
        <f t="shared" si="87"/>
        <v>0</v>
      </c>
      <c r="J2130" s="95"/>
      <c r="K2130" s="95"/>
      <c r="L2130" s="96"/>
      <c r="M2130" s="56">
        <v>560</v>
      </c>
    </row>
    <row r="2131" spans="1:13" s="51" customFormat="1" ht="25.2" hidden="1" customHeight="1">
      <c r="A2131" s="68">
        <f t="shared" si="86"/>
        <v>0</v>
      </c>
      <c r="B2131" s="86" t="s">
        <v>148</v>
      </c>
      <c r="C2131" s="86"/>
      <c r="D2131" s="87"/>
      <c r="E2131" s="88">
        <f>VLOOKUP($B2131,[1]DG!A:D,[1]DG!$B$2,)</f>
        <v>0</v>
      </c>
      <c r="F2131" s="92" t="str">
        <f>VLOOKUP($B2131,[1]DG!A:D,[1]DG!$C$2,)</f>
        <v>Băng keo cách điện</v>
      </c>
      <c r="G2131" s="339" t="str">
        <f>VLOOKUP($B2131,[1]DG!A:D,[1]DG!$D$2,)</f>
        <v>cuộn</v>
      </c>
      <c r="H2131" s="145">
        <f>H2110</f>
        <v>0</v>
      </c>
      <c r="I2131" s="91">
        <f t="shared" si="87"/>
        <v>0</v>
      </c>
      <c r="J2131" s="146"/>
      <c r="K2131" s="146"/>
      <c r="L2131" s="96"/>
      <c r="M2131" s="56">
        <v>560</v>
      </c>
    </row>
    <row r="2132" spans="1:13" s="51" customFormat="1" ht="25.2" hidden="1" customHeight="1">
      <c r="A2132" s="68">
        <f t="shared" si="86"/>
        <v>0</v>
      </c>
      <c r="B2132" s="69" t="s">
        <v>428</v>
      </c>
      <c r="C2132" s="69"/>
      <c r="D2132" s="87"/>
      <c r="E2132" s="88">
        <f>VLOOKUP($B2132,[1]DG!A:D,[1]DG!$B$2,)</f>
        <v>0</v>
      </c>
      <c r="F2132" s="92" t="str">
        <f>VLOOKUP($B2132,[1]DG!A:D,[1]DG!$C$2,)</f>
        <v>Khâu ven răng trong D42</v>
      </c>
      <c r="G2132" s="339" t="str">
        <f>VLOOKUP($B2132,[1]DG!A:D,[1]DG!$D$2,)</f>
        <v>cái</v>
      </c>
      <c r="H2132" s="145">
        <f>H2110</f>
        <v>0</v>
      </c>
      <c r="I2132" s="91">
        <f t="shared" si="87"/>
        <v>0</v>
      </c>
      <c r="J2132" s="146"/>
      <c r="K2132" s="146"/>
      <c r="L2132" s="96"/>
      <c r="M2132" s="56">
        <v>560</v>
      </c>
    </row>
    <row r="2133" spans="1:13" s="51" customFormat="1" ht="25.2" hidden="1" customHeight="1">
      <c r="A2133" s="68">
        <f t="shared" si="86"/>
        <v>0</v>
      </c>
      <c r="B2133" s="86" t="s">
        <v>429</v>
      </c>
      <c r="C2133" s="86"/>
      <c r="D2133" s="87"/>
      <c r="E2133" s="88">
        <f>VLOOKUP($B2133,[1]DG!A:D,[1]DG!$B$2,)</f>
        <v>0</v>
      </c>
      <c r="F2133" s="92" t="str">
        <f>VLOOKUP($B2133,[1]DG!A:D,[1]DG!$C$2,)</f>
        <v>Khâu ven răng ngoài D42</v>
      </c>
      <c r="G2133" s="339" t="str">
        <f>VLOOKUP($B2133,[1]DG!A:D,[1]DG!$D$2,)</f>
        <v>cái</v>
      </c>
      <c r="H2133" s="145">
        <f>H2110</f>
        <v>0</v>
      </c>
      <c r="I2133" s="91">
        <f t="shared" si="87"/>
        <v>0</v>
      </c>
      <c r="J2133" s="146"/>
      <c r="K2133" s="146"/>
      <c r="L2133" s="96"/>
      <c r="M2133" s="56">
        <v>560</v>
      </c>
    </row>
    <row r="2134" spans="1:13" s="51" customFormat="1" ht="25.2" hidden="1" customHeight="1">
      <c r="A2134" s="68">
        <f t="shared" si="86"/>
        <v>0</v>
      </c>
      <c r="B2134" s="86" t="s">
        <v>447</v>
      </c>
      <c r="C2134" s="86"/>
      <c r="D2134" s="87"/>
      <c r="E2134" s="88" t="str">
        <f>VLOOKUP($B2134,[1]DG!A:D,[1]DG!$B$2,)</f>
        <v>05.1101</v>
      </c>
      <c r="F2134" s="92" t="str">
        <f>VLOOKUP($B2134,[1]DG!A:D,[1]DG!$C$2,)</f>
        <v>Thùng điện kế 450x300x200mm đo đếm trung thế</v>
      </c>
      <c r="G2134" s="339" t="str">
        <f>VLOOKUP($B2134,[1]DG!A:D,[1]DG!$D$2,)</f>
        <v>cái</v>
      </c>
      <c r="H2134" s="145">
        <f>H2110</f>
        <v>0</v>
      </c>
      <c r="I2134" s="91">
        <f t="shared" si="87"/>
        <v>0</v>
      </c>
      <c r="J2134" s="146"/>
      <c r="K2134" s="146"/>
      <c r="L2134" s="96"/>
      <c r="M2134" s="56">
        <v>560</v>
      </c>
    </row>
    <row r="2135" spans="1:13" s="51" customFormat="1" ht="25.2" hidden="1" customHeight="1">
      <c r="A2135" s="68">
        <f t="shared" si="86"/>
        <v>0</v>
      </c>
      <c r="B2135" s="86" t="s">
        <v>436</v>
      </c>
      <c r="C2135" s="86"/>
      <c r="D2135" s="87"/>
      <c r="E2135" s="88">
        <f>VLOOKUP($B2135,[1]DG!A:D,[1]DG!$B$2,)</f>
        <v>0</v>
      </c>
      <c r="F2135" s="92" t="str">
        <f>VLOOKUP($B2135,[1]DG!A:D,[1]DG!$C$2,)</f>
        <v>Keo silicon bít miệng ống</v>
      </c>
      <c r="G2135" s="339" t="str">
        <f>VLOOKUP($B2135,[1]DG!A:D,[1]DG!$D$2,)</f>
        <v>ống</v>
      </c>
      <c r="H2135" s="145">
        <f>H2110</f>
        <v>0</v>
      </c>
      <c r="I2135" s="91">
        <f t="shared" si="87"/>
        <v>0</v>
      </c>
      <c r="J2135" s="146"/>
      <c r="K2135" s="146"/>
      <c r="L2135" s="96"/>
      <c r="M2135" s="56">
        <v>560</v>
      </c>
    </row>
    <row r="2136" spans="1:13" s="51" customFormat="1" ht="25.2" hidden="1" customHeight="1">
      <c r="A2136" s="68">
        <f t="shared" si="86"/>
        <v>0</v>
      </c>
      <c r="B2136" s="86" t="s">
        <v>448</v>
      </c>
      <c r="C2136" s="86"/>
      <c r="D2136" s="87"/>
      <c r="E2136" s="88">
        <f>VLOOKUP($B2136,[1]DG!A:D,[1]DG!$B$2,)</f>
        <v>0</v>
      </c>
      <c r="F2136" s="92" t="str">
        <f>VLOOKUP($B2136,[1]DG!A:D,[1]DG!$C$2,)</f>
        <v>Dây đồng trần mềm dẹt</v>
      </c>
      <c r="G2136" s="339" t="str">
        <f>VLOOKUP($B2136,[1]DG!A:D,[1]DG!$D$2,)</f>
        <v>mét</v>
      </c>
      <c r="H2136" s="145">
        <f>H2110*4</f>
        <v>0</v>
      </c>
      <c r="I2136" s="91">
        <f t="shared" si="87"/>
        <v>0</v>
      </c>
      <c r="J2136" s="146"/>
      <c r="K2136" s="146"/>
      <c r="L2136" s="96"/>
      <c r="M2136" s="56">
        <v>560</v>
      </c>
    </row>
    <row r="2137" spans="1:13" s="51" customFormat="1" ht="25.2" hidden="1" customHeight="1">
      <c r="A2137" s="68">
        <f t="shared" si="86"/>
        <v>0</v>
      </c>
      <c r="B2137" s="86"/>
      <c r="C2137" s="86"/>
      <c r="D2137" s="276"/>
      <c r="E2137" s="277"/>
      <c r="F2137" s="267" t="s">
        <v>450</v>
      </c>
      <c r="G2137" s="267"/>
      <c r="H2137" s="191"/>
      <c r="I2137" s="91">
        <f t="shared" si="87"/>
        <v>0</v>
      </c>
      <c r="J2137" s="267"/>
      <c r="K2137" s="267"/>
      <c r="L2137" s="133"/>
      <c r="M2137" s="56">
        <v>560</v>
      </c>
    </row>
    <row r="2138" spans="1:13" s="51" customFormat="1" ht="25.2" hidden="1" customHeight="1">
      <c r="A2138" s="68">
        <f t="shared" si="86"/>
        <v>0</v>
      </c>
      <c r="B2138" s="86" t="s">
        <v>451</v>
      </c>
      <c r="C2138" s="86"/>
      <c r="D2138" s="87"/>
      <c r="E2138" s="88" t="str">
        <f>VLOOKUP($B2138,[1]DG!A:D,[1]DG!$B$2,)</f>
        <v>02.5114</v>
      </c>
      <c r="F2138" s="92" t="s">
        <v>452</v>
      </c>
      <c r="G2138" s="339" t="str">
        <f>VLOOKUP($B2138,[1]DG!A:D,[1]DG!$D$2,)</f>
        <v>cái</v>
      </c>
      <c r="H2138" s="145"/>
      <c r="I2138" s="91">
        <f t="shared" si="87"/>
        <v>0</v>
      </c>
      <c r="J2138" s="146"/>
      <c r="K2138" s="146"/>
      <c r="L2138" s="96" t="s">
        <v>453</v>
      </c>
      <c r="M2138" s="56">
        <v>560</v>
      </c>
    </row>
    <row r="2139" spans="1:13" s="51" customFormat="1" ht="25.2" hidden="1" customHeight="1">
      <c r="A2139" s="68">
        <f t="shared" si="86"/>
        <v>0</v>
      </c>
      <c r="B2139" s="86" t="s">
        <v>454</v>
      </c>
      <c r="C2139" s="86"/>
      <c r="D2139" s="87"/>
      <c r="E2139" s="88" t="str">
        <f>VLOOKUP($B2139,[1]DG!A:D,[1]DG!$B$2,)</f>
        <v>05.6011</v>
      </c>
      <c r="F2139" s="92" t="s">
        <v>455</v>
      </c>
      <c r="G2139" s="339" t="str">
        <f>VLOOKUP($B2139,[1]DG!A:D,[1]DG!$D$2,)</f>
        <v>bộ</v>
      </c>
      <c r="H2139" s="145"/>
      <c r="I2139" s="91">
        <f t="shared" si="87"/>
        <v>0</v>
      </c>
      <c r="J2139" s="146"/>
      <c r="K2139" s="146"/>
      <c r="L2139" s="117"/>
      <c r="M2139" s="56">
        <v>560</v>
      </c>
    </row>
    <row r="2140" spans="1:13" s="51" customFormat="1" ht="25.2" hidden="1" customHeight="1">
      <c r="A2140" s="68">
        <f t="shared" si="86"/>
        <v>0</v>
      </c>
      <c r="B2140" s="86"/>
      <c r="C2140" s="86"/>
      <c r="D2140" s="341"/>
      <c r="E2140" s="296"/>
      <c r="F2140" s="267"/>
      <c r="G2140" s="297"/>
      <c r="H2140" s="298"/>
      <c r="I2140" s="91">
        <f t="shared" si="87"/>
        <v>0</v>
      </c>
      <c r="J2140" s="342"/>
      <c r="K2140" s="343"/>
      <c r="L2140" s="100"/>
      <c r="M2140" s="56"/>
    </row>
    <row r="2141" spans="1:13" s="51" customFormat="1" ht="25.2" hidden="1" customHeight="1">
      <c r="A2141" s="68">
        <f t="shared" si="86"/>
        <v>0</v>
      </c>
      <c r="B2141" s="86"/>
      <c r="C2141" s="86"/>
      <c r="F2141" s="344"/>
      <c r="H2141" s="66"/>
      <c r="I2141" s="91">
        <f t="shared" si="87"/>
        <v>0</v>
      </c>
      <c r="M2141" s="56"/>
    </row>
    <row r="2142" spans="1:13" s="51" customFormat="1" ht="25.2" hidden="1" customHeight="1">
      <c r="A2142" s="68">
        <f t="shared" si="86"/>
        <v>0</v>
      </c>
      <c r="B2142" s="262"/>
      <c r="C2142" s="262"/>
      <c r="D2142" s="263" t="e">
        <f>"BAÛNG TOÅNG HÔÏP VAÄT LIEÄU, NHAÂN COÂNG, MAÙY THI COÂNG : "&amp;#REF!&amp;" TRAÏM 3P_630KVA"</f>
        <v>#REF!</v>
      </c>
      <c r="E2142" s="263"/>
      <c r="F2142" s="263"/>
      <c r="G2142" s="263"/>
      <c r="H2142" s="264"/>
      <c r="I2142" s="91">
        <f t="shared" si="87"/>
        <v>0</v>
      </c>
      <c r="J2142" s="345"/>
      <c r="K2142" s="345"/>
      <c r="L2142" s="346"/>
      <c r="M2142" s="56"/>
    </row>
    <row r="2143" spans="1:13" s="51" customFormat="1" ht="25.2" hidden="1" customHeight="1">
      <c r="A2143" s="68">
        <f t="shared" ref="A2143:A2206" si="88">IF(I2143&gt;0,1,0)</f>
        <v>0</v>
      </c>
      <c r="B2143" s="69"/>
      <c r="C2143" s="69"/>
      <c r="D2143" s="265"/>
      <c r="E2143" s="266"/>
      <c r="F2143" s="267" t="s">
        <v>53</v>
      </c>
      <c r="G2143" s="268"/>
      <c r="H2143" s="305"/>
      <c r="I2143" s="91">
        <f t="shared" si="87"/>
        <v>0</v>
      </c>
      <c r="J2143" s="268"/>
      <c r="K2143" s="268"/>
      <c r="L2143" s="100"/>
      <c r="M2143" s="56">
        <v>630</v>
      </c>
    </row>
    <row r="2144" spans="1:13" s="51" customFormat="1" ht="25.2" hidden="1" customHeight="1">
      <c r="A2144" s="68">
        <f t="shared" si="88"/>
        <v>0</v>
      </c>
      <c r="B2144" s="86" t="s">
        <v>550</v>
      </c>
      <c r="C2144" s="86"/>
      <c r="D2144" s="87">
        <f>IF(H2144&gt;0,1,0)</f>
        <v>0</v>
      </c>
      <c r="E2144" s="88" t="str">
        <f>VLOOKUP($B2144,[1]DG!A:D,[1]DG!$B$2,)</f>
        <v>01.1146</v>
      </c>
      <c r="F2144" s="89" t="str">
        <f>VLOOKUP($B2144,[1]DG!A:D,[1]DG!$C$2,)</f>
        <v>Máy biến áp 22/0,4kV- 630kVA</v>
      </c>
      <c r="G2144" s="88" t="str">
        <f>VLOOKUP($B2144,[1]DG!A:D,[1]DG!$D$2,)</f>
        <v>máy</v>
      </c>
      <c r="H2144" s="306">
        <f>L15</f>
        <v>0</v>
      </c>
      <c r="I2144" s="91">
        <f t="shared" si="87"/>
        <v>0</v>
      </c>
      <c r="J2144" s="92"/>
      <c r="K2144" s="92"/>
      <c r="L2144" s="307"/>
      <c r="M2144" s="56">
        <v>630</v>
      </c>
    </row>
    <row r="2145" spans="1:13" s="51" customFormat="1" ht="25.2" hidden="1" customHeight="1">
      <c r="A2145" s="68">
        <f t="shared" si="88"/>
        <v>0</v>
      </c>
      <c r="B2145" s="86" t="s">
        <v>56</v>
      </c>
      <c r="C2145" s="86"/>
      <c r="D2145" s="87">
        <f>IF(H2145&gt;0,D2144+1,D2144)</f>
        <v>0</v>
      </c>
      <c r="E2145" s="88" t="str">
        <f>VLOOKUP($B2145,[1]DG!A:D,[1]DG!$B$2,)</f>
        <v>02.3155</v>
      </c>
      <c r="F2145" s="89" t="str">
        <f>VLOOKUP($B2145,[1]DG!A:D,[1]DG!$C$2,)</f>
        <v>FCO 27kV - 100A</v>
      </c>
      <c r="G2145" s="88" t="str">
        <f>VLOOKUP($B2145,[1]DG!A:D,[1]DG!$D$2,)</f>
        <v>cái</v>
      </c>
      <c r="H2145" s="145">
        <f>H2144*3</f>
        <v>0</v>
      </c>
      <c r="I2145" s="91">
        <f t="shared" si="87"/>
        <v>0</v>
      </c>
      <c r="J2145" s="146"/>
      <c r="K2145" s="146"/>
      <c r="L2145" s="96"/>
      <c r="M2145" s="56">
        <v>630</v>
      </c>
    </row>
    <row r="2146" spans="1:13" s="51" customFormat="1" ht="25.2" hidden="1" customHeight="1">
      <c r="A2146" s="68">
        <f t="shared" si="88"/>
        <v>0</v>
      </c>
      <c r="B2146" s="86" t="s">
        <v>551</v>
      </c>
      <c r="C2146" s="86"/>
      <c r="D2146" s="87">
        <f t="shared" ref="D2146:D2152" si="89">IF(H2146&gt;0,D2145+1,D2145)</f>
        <v>0</v>
      </c>
      <c r="E2146" s="88">
        <f>VLOOKUP($B2146,[1]DG!A:D,[1]DG!$B$2,)</f>
        <v>0</v>
      </c>
      <c r="F2146" s="89" t="str">
        <f>VLOOKUP($B2146,[1]DG!A:D,[1]DG!$C$2,)</f>
        <v>Dây chảy 30K</v>
      </c>
      <c r="G2146" s="88" t="str">
        <f>VLOOKUP($B2146,[1]DG!A:D,[1]DG!$D$2,)</f>
        <v>Sợi</v>
      </c>
      <c r="H2146" s="145">
        <f>H2145</f>
        <v>0</v>
      </c>
      <c r="I2146" s="91">
        <f t="shared" si="87"/>
        <v>0</v>
      </c>
      <c r="J2146" s="146"/>
      <c r="K2146" s="146"/>
      <c r="L2146" s="96"/>
      <c r="M2146" s="56">
        <v>630</v>
      </c>
    </row>
    <row r="2147" spans="1:13" s="51" customFormat="1" ht="25.2" hidden="1" customHeight="1">
      <c r="A2147" s="68">
        <f t="shared" si="88"/>
        <v>0</v>
      </c>
      <c r="B2147" s="69" t="s">
        <v>58</v>
      </c>
      <c r="C2147" s="69"/>
      <c r="D2147" s="87">
        <f t="shared" si="89"/>
        <v>0</v>
      </c>
      <c r="E2147" s="88" t="str">
        <f>VLOOKUP($B2147,[1]DG!A:D,[1]DG!$B$2,)</f>
        <v>02.5114</v>
      </c>
      <c r="F2147" s="89" t="str">
        <f>VLOOKUP($B2147,[1]DG!A:D,[1]DG!$C$2,)</f>
        <v>Chống sét van LA-18KV-10KA</v>
      </c>
      <c r="G2147" s="88" t="str">
        <f>VLOOKUP($B2147,[1]DG!A:D,[1]DG!$D$2,)</f>
        <v>cái</v>
      </c>
      <c r="H2147" s="145">
        <f>H2145</f>
        <v>0</v>
      </c>
      <c r="I2147" s="91">
        <f t="shared" si="87"/>
        <v>0</v>
      </c>
      <c r="J2147" s="146"/>
      <c r="K2147" s="146"/>
      <c r="L2147" s="96"/>
      <c r="M2147" s="56">
        <v>630</v>
      </c>
    </row>
    <row r="2148" spans="1:13" s="51" customFormat="1" ht="25.2" hidden="1" customHeight="1">
      <c r="A2148" s="68">
        <f t="shared" si="88"/>
        <v>0</v>
      </c>
      <c r="B2148" s="86" t="s">
        <v>525</v>
      </c>
      <c r="C2148" s="86"/>
      <c r="D2148" s="87">
        <f t="shared" si="89"/>
        <v>0</v>
      </c>
      <c r="E2148" s="88" t="str">
        <f>VLOOKUP($B2148,[1]DG!A:D,[1]DG!$B$2,)</f>
        <v>02.8404</v>
      </c>
      <c r="F2148" s="89" t="str">
        <f>VLOOKUP($B2148,[1]DG!A:D,[1]DG!$C$2,)</f>
        <v>MCCB 3 cực 400V -1000A - 50KA</v>
      </c>
      <c r="G2148" s="88" t="str">
        <f>VLOOKUP($B2148,[1]DG!A:D,[1]DG!$D$2,)</f>
        <v>cái</v>
      </c>
      <c r="H2148" s="145">
        <f>H2144</f>
        <v>0</v>
      </c>
      <c r="I2148" s="91">
        <f t="shared" si="87"/>
        <v>0</v>
      </c>
      <c r="J2148" s="146"/>
      <c r="K2148" s="146"/>
      <c r="L2148" s="96"/>
      <c r="M2148" s="56">
        <v>630</v>
      </c>
    </row>
    <row r="2149" spans="1:13" s="51" customFormat="1" ht="25.2" hidden="1" customHeight="1">
      <c r="A2149" s="68">
        <f t="shared" si="88"/>
        <v>0</v>
      </c>
      <c r="B2149" s="86" t="s">
        <v>530</v>
      </c>
      <c r="C2149" s="86"/>
      <c r="D2149" s="87">
        <f t="shared" si="89"/>
        <v>0</v>
      </c>
      <c r="E2149" s="88" t="str">
        <f>VLOOKUP($B2149,[1]DG!A:D,[1]DG!$B$2,)</f>
        <v>02.8534</v>
      </c>
      <c r="F2149" s="89" t="str">
        <f>VLOOKUP($B2149,[1]DG!A:D,[1]DG!$C$2,)</f>
        <v>Tủ tụ bù hạ thế 250kVAr</v>
      </c>
      <c r="G2149" s="88" t="str">
        <f>VLOOKUP($B2149,[1]DG!A:D,[1]DG!$D$2,)</f>
        <v>tủ</v>
      </c>
      <c r="H2149" s="145">
        <f>H2144</f>
        <v>0</v>
      </c>
      <c r="I2149" s="91">
        <f t="shared" si="87"/>
        <v>0</v>
      </c>
      <c r="J2149" s="146"/>
      <c r="K2149" s="146"/>
      <c r="L2149" s="96"/>
      <c r="M2149" s="56">
        <v>630</v>
      </c>
    </row>
    <row r="2150" spans="1:13" s="51" customFormat="1" ht="25.2" hidden="1" customHeight="1">
      <c r="A2150" s="68">
        <f t="shared" si="88"/>
        <v>0</v>
      </c>
      <c r="B2150" s="86" t="s">
        <v>531</v>
      </c>
      <c r="C2150" s="86"/>
      <c r="D2150" s="87">
        <f t="shared" si="89"/>
        <v>0</v>
      </c>
      <c r="E2150" s="88" t="str">
        <f>VLOOKUP($B2150,[1]DG!A:D,[1]DG!$B$2,)</f>
        <v>02.1124</v>
      </c>
      <c r="F2150" s="89" t="str">
        <f>VLOOKUP($B2150,[1]DG!A:D,[1]DG!$C$2,)</f>
        <v>Biến dòng 24kV  15/5A</v>
      </c>
      <c r="G2150" s="88" t="str">
        <f>VLOOKUP($B2150,[1]DG!A:D,[1]DG!$D$2,)</f>
        <v>cái</v>
      </c>
      <c r="H2150" s="308">
        <f>H2144*3</f>
        <v>0</v>
      </c>
      <c r="I2150" s="91">
        <f t="shared" si="87"/>
        <v>0</v>
      </c>
      <c r="J2150" s="146"/>
      <c r="K2150" s="146"/>
      <c r="L2150" s="309" t="s">
        <v>61</v>
      </c>
      <c r="M2150" s="56">
        <v>630</v>
      </c>
    </row>
    <row r="2151" spans="1:13" s="51" customFormat="1" ht="25.2" hidden="1" customHeight="1">
      <c r="A2151" s="68">
        <f t="shared" si="88"/>
        <v>0</v>
      </c>
      <c r="B2151" s="86" t="s">
        <v>516</v>
      </c>
      <c r="C2151" s="86"/>
      <c r="D2151" s="87">
        <f t="shared" si="89"/>
        <v>0</v>
      </c>
      <c r="E2151" s="88" t="str">
        <f>VLOOKUP($B2151,[1]DG!A:D,[1]DG!$B$2,)</f>
        <v>02.1114</v>
      </c>
      <c r="F2151" s="89" t="str">
        <f>VLOOKUP($B2151,[1]DG!A:D,[1]DG!$C$2,)</f>
        <v>Biến điện áp 12000/120(60)V</v>
      </c>
      <c r="G2151" s="88" t="str">
        <f>VLOOKUP($B2151,[1]DG!A:D,[1]DG!$D$2,)</f>
        <v>cái</v>
      </c>
      <c r="H2151" s="308">
        <f>H2150</f>
        <v>0</v>
      </c>
      <c r="I2151" s="91">
        <f t="shared" si="87"/>
        <v>0</v>
      </c>
      <c r="J2151" s="146"/>
      <c r="K2151" s="146"/>
      <c r="L2151" s="309" t="s">
        <v>61</v>
      </c>
      <c r="M2151" s="56">
        <v>630</v>
      </c>
    </row>
    <row r="2152" spans="1:13" s="51" customFormat="1" ht="25.2" hidden="1" customHeight="1">
      <c r="A2152" s="68">
        <f t="shared" si="88"/>
        <v>0</v>
      </c>
      <c r="B2152" s="310" t="s">
        <v>495</v>
      </c>
      <c r="C2152" s="310"/>
      <c r="D2152" s="87">
        <f t="shared" si="89"/>
        <v>0</v>
      </c>
      <c r="E2152" s="88">
        <f>VLOOKUP($B2152,[1]DG!A:D,[1]DG!$B$2,)</f>
        <v>0</v>
      </c>
      <c r="F2152" s="89" t="str">
        <f>VLOOKUP($B2152,[1]DG!A:D,[1]DG!$C$2,)</f>
        <v>Điện kế 3 pha điện tử 600V-5A</v>
      </c>
      <c r="G2152" s="88" t="str">
        <f>VLOOKUP($B2152,[1]DG!A:D,[1]DG!$D$2,)</f>
        <v>cái</v>
      </c>
      <c r="H2152" s="308">
        <f>H2144</f>
        <v>0</v>
      </c>
      <c r="I2152" s="91">
        <f t="shared" si="87"/>
        <v>0</v>
      </c>
      <c r="J2152" s="146"/>
      <c r="K2152" s="146"/>
      <c r="L2152" s="311" t="s">
        <v>61</v>
      </c>
      <c r="M2152" s="56">
        <v>630</v>
      </c>
    </row>
    <row r="2153" spans="1:13" s="51" customFormat="1" ht="25.2" hidden="1" customHeight="1">
      <c r="A2153" s="68">
        <f t="shared" si="88"/>
        <v>0</v>
      </c>
      <c r="B2153" s="69"/>
      <c r="C2153" s="69"/>
      <c r="D2153" s="272"/>
      <c r="E2153" s="273"/>
      <c r="F2153" s="274"/>
      <c r="G2153" s="272"/>
      <c r="H2153" s="207"/>
      <c r="I2153" s="91">
        <f t="shared" si="87"/>
        <v>0</v>
      </c>
      <c r="J2153" s="274"/>
      <c r="K2153" s="272"/>
      <c r="L2153" s="100"/>
      <c r="M2153" s="56">
        <v>630</v>
      </c>
    </row>
    <row r="2154" spans="1:13" s="51" customFormat="1" ht="25.2" hidden="1" customHeight="1">
      <c r="A2154" s="68">
        <f t="shared" si="88"/>
        <v>0</v>
      </c>
      <c r="B2154" s="69"/>
      <c r="C2154" s="69"/>
      <c r="D2154" s="276"/>
      <c r="E2154" s="277"/>
      <c r="F2154" s="267" t="s">
        <v>64</v>
      </c>
      <c r="G2154" s="267"/>
      <c r="H2154" s="191"/>
      <c r="I2154" s="91">
        <f t="shared" si="87"/>
        <v>0</v>
      </c>
      <c r="J2154" s="267"/>
      <c r="K2154" s="267"/>
      <c r="L2154" s="100"/>
      <c r="M2154" s="56">
        <v>630</v>
      </c>
    </row>
    <row r="2155" spans="1:13" s="51" customFormat="1" ht="25.2" hidden="1" customHeight="1">
      <c r="A2155" s="68">
        <f t="shared" si="88"/>
        <v>0</v>
      </c>
      <c r="B2155" s="313"/>
      <c r="C2155" s="313"/>
      <c r="D2155" s="314">
        <f>IF(H2155&gt;0,1,0)</f>
        <v>0</v>
      </c>
      <c r="E2155" s="315"/>
      <c r="F2155" s="316" t="s">
        <v>338</v>
      </c>
      <c r="G2155" s="317" t="s">
        <v>339</v>
      </c>
      <c r="H2155" s="317">
        <f>H2144*2*0</f>
        <v>0</v>
      </c>
      <c r="I2155" s="91">
        <f t="shared" si="87"/>
        <v>0</v>
      </c>
      <c r="J2155" s="318"/>
      <c r="K2155" s="318"/>
      <c r="L2155" s="96"/>
      <c r="M2155" s="56">
        <v>630</v>
      </c>
    </row>
    <row r="2156" spans="1:13" s="51" customFormat="1" ht="25.2" hidden="1" customHeight="1">
      <c r="A2156" s="68">
        <f t="shared" si="88"/>
        <v>0</v>
      </c>
      <c r="B2156" s="86" t="s">
        <v>69</v>
      </c>
      <c r="C2156" s="86"/>
      <c r="D2156" s="319"/>
      <c r="E2156" s="88"/>
      <c r="F2156" s="320" t="str">
        <f>VLOOKUP($B2156,[1]DG!A:D,[1]DG!$C$2,)</f>
        <v>Trụ BTLT 12m F350 dự ứng lực</v>
      </c>
      <c r="G2156" s="88" t="str">
        <f>VLOOKUP($B2156,[1]DG!A:D,[1]DG!$D$2,)</f>
        <v>trụ</v>
      </c>
      <c r="H2156" s="321">
        <f>H2155</f>
        <v>0</v>
      </c>
      <c r="I2156" s="91">
        <f t="shared" si="87"/>
        <v>0</v>
      </c>
      <c r="J2156" s="92"/>
      <c r="K2156" s="111"/>
      <c r="L2156" s="96"/>
      <c r="M2156" s="56">
        <v>630</v>
      </c>
    </row>
    <row r="2157" spans="1:13" s="51" customFormat="1" ht="25.2" hidden="1" customHeight="1">
      <c r="A2157" s="68">
        <f t="shared" si="88"/>
        <v>0</v>
      </c>
      <c r="B2157" s="86" t="s">
        <v>70</v>
      </c>
      <c r="C2157" s="86"/>
      <c r="D2157" s="319"/>
      <c r="E2157" s="88"/>
      <c r="F2157" s="320" t="str">
        <f>VLOOKUP($B2157,[1]DG!A:D,[1]DG!$C$2,)</f>
        <v>Vật liệu dựng trụ</v>
      </c>
      <c r="G2157" s="88" t="str">
        <f>VLOOKUP($B2157,[1]DG!A:D,[1]DG!$D$2,)</f>
        <v>trụ</v>
      </c>
      <c r="H2157" s="321">
        <f>H2156</f>
        <v>0</v>
      </c>
      <c r="I2157" s="91">
        <f t="shared" si="87"/>
        <v>0</v>
      </c>
      <c r="J2157" s="111"/>
      <c r="K2157" s="111"/>
      <c r="L2157" s="96"/>
      <c r="M2157" s="56">
        <v>630</v>
      </c>
    </row>
    <row r="2158" spans="1:13" s="51" customFormat="1" ht="25.2" hidden="1" customHeight="1">
      <c r="A2158" s="68">
        <f t="shared" si="88"/>
        <v>0</v>
      </c>
      <c r="B2158" s="86" t="s">
        <v>340</v>
      </c>
      <c r="C2158" s="86"/>
      <c r="D2158" s="319"/>
      <c r="E2158" s="88" t="str">
        <f>VLOOKUP($B2158,[1]DG!A:D,[1]DG!$B$2,)</f>
        <v>04.9203</v>
      </c>
      <c r="F2158" s="320" t="str">
        <f>VLOOKUP($B2158,[1]DG!A:D,[1]DG!$C$2,)</f>
        <v>Dựng trụ BTLT 12m trong TBA bằng thủ công + cơ giới</v>
      </c>
      <c r="G2158" s="88" t="str">
        <f>VLOOKUP($B2158,[1]DG!A:D,[1]DG!$D$2,)</f>
        <v>trụ</v>
      </c>
      <c r="H2158" s="321">
        <f>H2156</f>
        <v>0</v>
      </c>
      <c r="I2158" s="91">
        <f t="shared" si="87"/>
        <v>0</v>
      </c>
      <c r="J2158" s="92"/>
      <c r="K2158" s="92"/>
      <c r="L2158" s="96"/>
      <c r="M2158" s="56">
        <v>630</v>
      </c>
    </row>
    <row r="2159" spans="1:13" s="51" customFormat="1" ht="25.2" hidden="1" customHeight="1">
      <c r="A2159" s="68">
        <f t="shared" si="88"/>
        <v>0</v>
      </c>
      <c r="B2159" s="313"/>
      <c r="C2159" s="313"/>
      <c r="D2159" s="314">
        <f>IF(H2159&gt;0,1,0)</f>
        <v>0</v>
      </c>
      <c r="E2159" s="315"/>
      <c r="F2159" s="316" t="s">
        <v>341</v>
      </c>
      <c r="G2159" s="317" t="s">
        <v>339</v>
      </c>
      <c r="H2159" s="317">
        <f>H2144*2*0</f>
        <v>0</v>
      </c>
      <c r="I2159" s="91">
        <f t="shared" si="87"/>
        <v>0</v>
      </c>
      <c r="J2159" s="318"/>
      <c r="K2159" s="318"/>
      <c r="L2159" s="117"/>
      <c r="M2159" s="56">
        <v>630</v>
      </c>
    </row>
    <row r="2160" spans="1:13" s="51" customFormat="1" ht="25.2" hidden="1" customHeight="1">
      <c r="A2160" s="68">
        <f t="shared" si="88"/>
        <v>0</v>
      </c>
      <c r="B2160" s="86" t="s">
        <v>342</v>
      </c>
      <c r="C2160" s="86"/>
      <c r="D2160" s="319"/>
      <c r="E2160" s="88"/>
      <c r="F2160" s="320" t="str">
        <f>VLOOKUP($B2160,[1]DG!A:D,[1]DG!$C$2,)</f>
        <v>Trụ BTLT 10,5m F350 dự ứng lực</v>
      </c>
      <c r="G2160" s="88" t="str">
        <f>VLOOKUP($B2160,[1]DG!A:D,[1]DG!$D$2,)</f>
        <v>trụ</v>
      </c>
      <c r="H2160" s="321">
        <f>H2159</f>
        <v>0</v>
      </c>
      <c r="I2160" s="91">
        <f t="shared" si="87"/>
        <v>0</v>
      </c>
      <c r="J2160" s="92"/>
      <c r="K2160" s="111"/>
      <c r="L2160" s="117"/>
      <c r="M2160" s="56">
        <v>630</v>
      </c>
    </row>
    <row r="2161" spans="1:13" s="51" customFormat="1" ht="25.2" hidden="1" customHeight="1">
      <c r="A2161" s="68">
        <f t="shared" si="88"/>
        <v>0</v>
      </c>
      <c r="B2161" s="86" t="s">
        <v>70</v>
      </c>
      <c r="C2161" s="86"/>
      <c r="D2161" s="319"/>
      <c r="E2161" s="88"/>
      <c r="F2161" s="320" t="str">
        <f>VLOOKUP($B2161,[1]DG!A:D,[1]DG!$C$2,)</f>
        <v>Vật liệu dựng trụ</v>
      </c>
      <c r="G2161" s="88" t="str">
        <f>VLOOKUP($B2161,[1]DG!A:D,[1]DG!$D$2,)</f>
        <v>trụ</v>
      </c>
      <c r="H2161" s="321">
        <f>H2160</f>
        <v>0</v>
      </c>
      <c r="I2161" s="91">
        <f t="shared" si="87"/>
        <v>0</v>
      </c>
      <c r="J2161" s="111"/>
      <c r="K2161" s="111"/>
      <c r="L2161" s="117"/>
      <c r="M2161" s="56">
        <v>630</v>
      </c>
    </row>
    <row r="2162" spans="1:13" s="51" customFormat="1" ht="25.2" hidden="1" customHeight="1">
      <c r="A2162" s="68">
        <f t="shared" si="88"/>
        <v>0</v>
      </c>
      <c r="B2162" s="86" t="s">
        <v>343</v>
      </c>
      <c r="C2162" s="86"/>
      <c r="D2162" s="319"/>
      <c r="E2162" s="88" t="str">
        <f>VLOOKUP($B2162,[1]DG!A:D,[1]DG!$B$2,)</f>
        <v>04.9203</v>
      </c>
      <c r="F2162" s="320" t="str">
        <f>VLOOKUP($B2162,[1]DG!A:D,[1]DG!$C$2,)</f>
        <v>Dựng trụ BTLT 10,5m trong TBA bằng thủ công + cơ giới</v>
      </c>
      <c r="G2162" s="88" t="str">
        <f>VLOOKUP($B2162,[1]DG!A:D,[1]DG!$D$2,)</f>
        <v>trụ</v>
      </c>
      <c r="H2162" s="321">
        <f>H2160</f>
        <v>0</v>
      </c>
      <c r="I2162" s="91">
        <f t="shared" si="87"/>
        <v>0</v>
      </c>
      <c r="J2162" s="92"/>
      <c r="K2162" s="92"/>
      <c r="L2162" s="117"/>
      <c r="M2162" s="56">
        <v>630</v>
      </c>
    </row>
    <row r="2163" spans="1:13" s="51" customFormat="1" ht="25.2" hidden="1" customHeight="1">
      <c r="A2163" s="68">
        <f t="shared" si="88"/>
        <v>0</v>
      </c>
      <c r="B2163" s="322"/>
      <c r="C2163" s="322"/>
      <c r="D2163" s="220">
        <f>IF(H2163&gt;0,D2155+1,D2155)</f>
        <v>0</v>
      </c>
      <c r="E2163" s="315"/>
      <c r="F2163" s="316" t="s">
        <v>72</v>
      </c>
      <c r="G2163" s="317" t="s">
        <v>344</v>
      </c>
      <c r="H2163" s="317">
        <f>H2155</f>
        <v>0</v>
      </c>
      <c r="I2163" s="91">
        <f t="shared" si="87"/>
        <v>0</v>
      </c>
      <c r="J2163" s="111"/>
      <c r="K2163" s="111"/>
      <c r="L2163" s="96"/>
      <c r="M2163" s="56">
        <v>630</v>
      </c>
    </row>
    <row r="2164" spans="1:13" s="51" customFormat="1" ht="25.2" hidden="1" customHeight="1">
      <c r="A2164" s="68">
        <f t="shared" si="88"/>
        <v>0</v>
      </c>
      <c r="B2164" s="86" t="s">
        <v>73</v>
      </c>
      <c r="C2164" s="86"/>
      <c r="D2164" s="319"/>
      <c r="E2164" s="88" t="str">
        <f>VLOOKUP($B2164,[1]DG!A:D,[1]DG!$B$2,)</f>
        <v>04.4001</v>
      </c>
      <c r="F2164" s="320" t="str">
        <f>VLOOKUP($B2164,[1]DG!A:D,[1]DG!$C$2,)</f>
        <v>Đà cản BTCT 1,2m</v>
      </c>
      <c r="G2164" s="88" t="str">
        <f>VLOOKUP($B2164,[1]DG!A:D,[1]DG!$D$2,)</f>
        <v>cái</v>
      </c>
      <c r="H2164" s="321">
        <f>H2163</f>
        <v>0</v>
      </c>
      <c r="I2164" s="91">
        <f t="shared" si="87"/>
        <v>0</v>
      </c>
      <c r="J2164" s="92"/>
      <c r="K2164" s="111"/>
      <c r="L2164" s="96"/>
      <c r="M2164" s="56">
        <v>630</v>
      </c>
    </row>
    <row r="2165" spans="1:13" s="51" customFormat="1" ht="25.2" hidden="1" customHeight="1">
      <c r="A2165" s="68">
        <f t="shared" si="88"/>
        <v>0</v>
      </c>
      <c r="B2165" s="86" t="s">
        <v>74</v>
      </c>
      <c r="C2165" s="86"/>
      <c r="D2165" s="319"/>
      <c r="E2165" s="88"/>
      <c r="F2165" s="320" t="str">
        <f>VLOOKUP($B2165,[1]DG!A:D,[1]DG!$C$2,)</f>
        <v>Boulon 22x650+ 2 long đền vuông D24-50x50x3/Zn</v>
      </c>
      <c r="G2165" s="88" t="str">
        <f>VLOOKUP($B2165,[1]DG!A:D,[1]DG!$D$2,)</f>
        <v>bộ</v>
      </c>
      <c r="H2165" s="321">
        <f>H2164</f>
        <v>0</v>
      </c>
      <c r="I2165" s="91">
        <f t="shared" si="87"/>
        <v>0</v>
      </c>
      <c r="J2165" s="320"/>
      <c r="K2165" s="111"/>
      <c r="L2165" s="96"/>
      <c r="M2165" s="56">
        <v>630</v>
      </c>
    </row>
    <row r="2166" spans="1:13" s="51" customFormat="1" ht="25.2" hidden="1" customHeight="1">
      <c r="A2166" s="68">
        <f t="shared" si="88"/>
        <v>0</v>
      </c>
      <c r="B2166" s="86" t="str">
        <f>IF(chitiet!G5=1,"MDD1",IF(chitiet!G5=2,"MDD2",IF(chitiet!G5=3,"MDD3",IF(chitiet!G5=4,"MDD4"))))</f>
        <v>MDD3</v>
      </c>
      <c r="C2166" s="86"/>
      <c r="D2166" s="319"/>
      <c r="E2166" s="88" t="str">
        <f>VLOOKUP($B2166,[1]DG!A:D,[1]DG!$B$2,)</f>
        <v>03.1013</v>
      </c>
      <c r="F2166" s="320" t="str">
        <f>VLOOKUP($B2166,[1]DG!A:D,[1]DG!$C$2,)</f>
        <v>Đào hố móng đất cấp 3 sâu &gt;1m</v>
      </c>
      <c r="G2166" s="88" t="str">
        <f>VLOOKUP($B2166,[1]DG!A:D,[1]DG!$D$2,)</f>
        <v>m3</v>
      </c>
      <c r="H2166" s="323">
        <f>1.45*H2164</f>
        <v>0</v>
      </c>
      <c r="I2166" s="91">
        <f t="shared" si="87"/>
        <v>0</v>
      </c>
      <c r="J2166" s="324"/>
      <c r="K2166" s="111"/>
      <c r="L2166" s="96"/>
      <c r="M2166" s="56">
        <v>630</v>
      </c>
    </row>
    <row r="2167" spans="1:13" s="51" customFormat="1" ht="25.2" hidden="1" customHeight="1">
      <c r="A2167" s="68">
        <f t="shared" si="88"/>
        <v>0</v>
      </c>
      <c r="B2167" s="86" t="str">
        <f>IF(chitiet!G5=1,"MDAP1",IF(chitiet!G5=2,"MDAP2",IF(chitiet!G5=3,"MDAP3",IF(chitiet!G5=4,"MDAP4"))))</f>
        <v>MDAP3</v>
      </c>
      <c r="C2167" s="86"/>
      <c r="D2167" s="319"/>
      <c r="E2167" s="88" t="str">
        <f>VLOOKUP($B2167,[1]DG!A:D,[1]DG!$B$2,)</f>
        <v>03.4113</v>
      </c>
      <c r="F2167" s="320" t="str">
        <f>VLOOKUP($B2167,[1]DG!A:D,[1]DG!$C$2,)</f>
        <v>Đắp đất hố móng, độ chặt k=0,95</v>
      </c>
      <c r="G2167" s="88" t="str">
        <f>VLOOKUP($B2167,[1]DG!A:D,[1]DG!$D$2,)</f>
        <v>m3</v>
      </c>
      <c r="H2167" s="323">
        <f>1.37*H2163</f>
        <v>0</v>
      </c>
      <c r="I2167" s="91">
        <f t="shared" si="87"/>
        <v>0</v>
      </c>
      <c r="J2167" s="324"/>
      <c r="K2167" s="111"/>
      <c r="L2167" s="96"/>
      <c r="M2167" s="56">
        <v>630</v>
      </c>
    </row>
    <row r="2168" spans="1:13" s="51" customFormat="1" ht="25.2" hidden="1" customHeight="1">
      <c r="A2168" s="68">
        <f t="shared" si="88"/>
        <v>0</v>
      </c>
      <c r="B2168" s="322"/>
      <c r="C2168" s="322"/>
      <c r="D2168" s="220">
        <f>IF(H2168&gt;0,D2160+1,D2160)</f>
        <v>0</v>
      </c>
      <c r="E2168" s="315"/>
      <c r="F2168" s="316" t="s">
        <v>345</v>
      </c>
      <c r="G2168" s="317" t="s">
        <v>344</v>
      </c>
      <c r="H2168" s="317">
        <f>H2159*0</f>
        <v>0</v>
      </c>
      <c r="I2168" s="91">
        <f t="shared" si="87"/>
        <v>0</v>
      </c>
      <c r="J2168" s="111"/>
      <c r="K2168" s="111"/>
      <c r="L2168" s="117"/>
      <c r="M2168" s="56">
        <v>630</v>
      </c>
    </row>
    <row r="2169" spans="1:13" s="51" customFormat="1" ht="25.2" hidden="1" customHeight="1">
      <c r="A2169" s="68">
        <f t="shared" si="88"/>
        <v>0</v>
      </c>
      <c r="B2169" s="86" t="s">
        <v>73</v>
      </c>
      <c r="C2169" s="86"/>
      <c r="D2169" s="319"/>
      <c r="E2169" s="88" t="str">
        <f>VLOOKUP($B2169,[1]DG!A:D,[1]DG!$B$2,)</f>
        <v>04.4001</v>
      </c>
      <c r="F2169" s="320" t="str">
        <f>VLOOKUP($B2169,[1]DG!A:D,[1]DG!$C$2,)</f>
        <v>Đà cản BTCT 1,2m</v>
      </c>
      <c r="G2169" s="88" t="str">
        <f>VLOOKUP($B2169,[1]DG!A:D,[1]DG!$D$2,)</f>
        <v>cái</v>
      </c>
      <c r="H2169" s="321">
        <f>H2168</f>
        <v>0</v>
      </c>
      <c r="I2169" s="91">
        <f t="shared" si="87"/>
        <v>0</v>
      </c>
      <c r="J2169" s="92"/>
      <c r="K2169" s="111"/>
      <c r="L2169" s="117"/>
      <c r="M2169" s="56">
        <v>630</v>
      </c>
    </row>
    <row r="2170" spans="1:13" s="51" customFormat="1" ht="25.2" hidden="1" customHeight="1">
      <c r="A2170" s="68">
        <f t="shared" si="88"/>
        <v>0</v>
      </c>
      <c r="B2170" s="86" t="s">
        <v>74</v>
      </c>
      <c r="C2170" s="86"/>
      <c r="D2170" s="319"/>
      <c r="E2170" s="88"/>
      <c r="F2170" s="320" t="str">
        <f>VLOOKUP($B2170,[1]DG!A:D,[1]DG!$C$2,)</f>
        <v>Boulon 22x650+ 2 long đền vuông D24-50x50x3/Zn</v>
      </c>
      <c r="G2170" s="88" t="str">
        <f>VLOOKUP($B2170,[1]DG!A:D,[1]DG!$D$2,)</f>
        <v>bộ</v>
      </c>
      <c r="H2170" s="321">
        <f>H2169</f>
        <v>0</v>
      </c>
      <c r="I2170" s="91">
        <f t="shared" ref="I2170:I2233" si="90">IF(M2170=$M$23,H2170+J2170-K2170,0)</f>
        <v>0</v>
      </c>
      <c r="J2170" s="320"/>
      <c r="K2170" s="111"/>
      <c r="L2170" s="117"/>
      <c r="M2170" s="56">
        <v>630</v>
      </c>
    </row>
    <row r="2171" spans="1:13" s="51" customFormat="1" ht="25.2" hidden="1" customHeight="1">
      <c r="A2171" s="68">
        <f t="shared" si="88"/>
        <v>0</v>
      </c>
      <c r="B2171" s="86" t="str">
        <f>IF(chitiet!G5=1,"MDD1",IF(chitiet!G5=2,"MDD2",IF(chitiet!G5=3,"MDD3",IF(chitiet!G5=4,"MDD4"))))</f>
        <v>MDD3</v>
      </c>
      <c r="C2171" s="86"/>
      <c r="D2171" s="319"/>
      <c r="E2171" s="88" t="str">
        <f>VLOOKUP($B2171,[1]DG!A:D,[1]DG!$B$2,)</f>
        <v>03.1013</v>
      </c>
      <c r="F2171" s="320" t="str">
        <f>VLOOKUP($B2171,[1]DG!A:D,[1]DG!$C$2,)</f>
        <v>Đào hố móng đất cấp 3 sâu &gt;1m</v>
      </c>
      <c r="G2171" s="88" t="str">
        <f>VLOOKUP($B2171,[1]DG!A:D,[1]DG!$D$2,)</f>
        <v>m3</v>
      </c>
      <c r="H2171" s="323">
        <f>1.48*H2169</f>
        <v>0</v>
      </c>
      <c r="I2171" s="91">
        <f t="shared" si="90"/>
        <v>0</v>
      </c>
      <c r="J2171" s="324"/>
      <c r="K2171" s="111"/>
      <c r="L2171" s="117"/>
      <c r="M2171" s="56">
        <v>630</v>
      </c>
    </row>
    <row r="2172" spans="1:13" s="51" customFormat="1" ht="25.2" hidden="1" customHeight="1">
      <c r="A2172" s="68">
        <f t="shared" si="88"/>
        <v>0</v>
      </c>
      <c r="B2172" s="86" t="str">
        <f>IF(chitiet!G5=1,"MDAP1",IF(chitiet!G5=2,"MDAP2",IF(chitiet!G5=3,"MDAP3",IF(chitiet!G5=4,"MDAP4"))))</f>
        <v>MDAP3</v>
      </c>
      <c r="C2172" s="86"/>
      <c r="D2172" s="319"/>
      <c r="E2172" s="88" t="str">
        <f>VLOOKUP($B2172,[1]DG!A:D,[1]DG!$B$2,)</f>
        <v>03.4113</v>
      </c>
      <c r="F2172" s="320" t="str">
        <f>VLOOKUP($B2172,[1]DG!A:D,[1]DG!$C$2,)</f>
        <v>Đắp đất hố móng, độ chặt k=0,95</v>
      </c>
      <c r="G2172" s="88" t="str">
        <f>VLOOKUP($B2172,[1]DG!A:D,[1]DG!$D$2,)</f>
        <v>m3</v>
      </c>
      <c r="H2172" s="323">
        <f>1.39*H2168</f>
        <v>0</v>
      </c>
      <c r="I2172" s="91">
        <f t="shared" si="90"/>
        <v>0</v>
      </c>
      <c r="J2172" s="324"/>
      <c r="K2172" s="111"/>
      <c r="L2172" s="117"/>
      <c r="M2172" s="56">
        <v>630</v>
      </c>
    </row>
    <row r="2173" spans="1:13" s="51" customFormat="1" ht="25.2" hidden="1" customHeight="1">
      <c r="A2173" s="68">
        <f t="shared" si="88"/>
        <v>0</v>
      </c>
      <c r="B2173" s="69"/>
      <c r="C2173" s="69"/>
      <c r="D2173" s="220">
        <f>IF(H2173&gt;0,D2163+1,D2163)</f>
        <v>0</v>
      </c>
      <c r="E2173" s="325"/>
      <c r="F2173" s="316" t="s">
        <v>464</v>
      </c>
      <c r="G2173" s="314" t="s">
        <v>67</v>
      </c>
      <c r="H2173" s="326">
        <f>H2144*1</f>
        <v>0</v>
      </c>
      <c r="I2173" s="91">
        <f t="shared" si="90"/>
        <v>0</v>
      </c>
      <c r="J2173" s="327"/>
      <c r="K2173" s="327"/>
      <c r="L2173" s="117"/>
      <c r="M2173" s="56">
        <v>630</v>
      </c>
    </row>
    <row r="2174" spans="1:13" s="51" customFormat="1" ht="25.2" hidden="1" customHeight="1">
      <c r="A2174" s="68">
        <f>IF(A2173&gt;0,1,0)</f>
        <v>0</v>
      </c>
      <c r="B2174" s="69"/>
      <c r="C2174" s="69"/>
      <c r="D2174" s="111"/>
      <c r="E2174" s="328"/>
      <c r="F2174" s="243" t="s">
        <v>68</v>
      </c>
      <c r="G2174" s="87"/>
      <c r="H2174" s="145"/>
      <c r="I2174" s="91">
        <f t="shared" si="90"/>
        <v>0</v>
      </c>
      <c r="J2174" s="282"/>
      <c r="K2174" s="282"/>
      <c r="L2174" s="117"/>
      <c r="M2174" s="56">
        <v>630</v>
      </c>
    </row>
    <row r="2175" spans="1:13" s="51" customFormat="1" ht="25.2" hidden="1" customHeight="1">
      <c r="A2175" s="68">
        <f t="shared" si="88"/>
        <v>0</v>
      </c>
      <c r="B2175" s="86" t="s">
        <v>347</v>
      </c>
      <c r="C2175" s="86"/>
      <c r="D2175" s="111"/>
      <c r="E2175" s="88" t="str">
        <f>VLOOKUP($B2175,[1]DG!A:D,[1]DG!$B$2,)</f>
        <v>05.6105</v>
      </c>
      <c r="F2175" s="89" t="str">
        <f>VLOOKUP($B2175,[1]DG!A:D,[1]DG!$C$2,)&amp;": 2 cái"</f>
        <v>Đà U160x68x5x2800 đỡ MBA: 2 cái</v>
      </c>
      <c r="G2175" s="88" t="str">
        <f>VLOOKUP($B2175,[1]DG!A:D,[1]DG!$D$2,)</f>
        <v>cái</v>
      </c>
      <c r="H2175" s="145">
        <f>52.049*H2173*2</f>
        <v>0</v>
      </c>
      <c r="I2175" s="91">
        <f t="shared" si="90"/>
        <v>0</v>
      </c>
      <c r="J2175" s="92"/>
      <c r="K2175" s="92"/>
      <c r="L2175" s="117"/>
      <c r="M2175" s="56">
        <v>630</v>
      </c>
    </row>
    <row r="2176" spans="1:13" s="51" customFormat="1" ht="25.2" hidden="1" customHeight="1">
      <c r="A2176" s="68">
        <f t="shared" si="88"/>
        <v>0</v>
      </c>
      <c r="B2176" s="86" t="s">
        <v>348</v>
      </c>
      <c r="C2176" s="86"/>
      <c r="D2176" s="111"/>
      <c r="E2176" s="88" t="str">
        <f>VLOOKUP($B2176,[1]DG!A:D,[1]DG!$B$2,)</f>
        <v>05.6101</v>
      </c>
      <c r="F2176" s="89" t="str">
        <f>VLOOKUP($B2176,[1]DG!A:D,[1]DG!$C$2,)&amp;": 4 cái"</f>
        <v>Đà U100x46x4.5x400 : 4 cái</v>
      </c>
      <c r="G2176" s="88" t="str">
        <f>VLOOKUP($B2176,[1]DG!A:D,[1]DG!$D$2,)</f>
        <v>cái</v>
      </c>
      <c r="H2176" s="145">
        <f>H2173*2.713*4</f>
        <v>0</v>
      </c>
      <c r="I2176" s="91">
        <f t="shared" si="90"/>
        <v>0</v>
      </c>
      <c r="J2176" s="92"/>
      <c r="K2176" s="92"/>
      <c r="L2176" s="117"/>
      <c r="M2176" s="56">
        <v>630</v>
      </c>
    </row>
    <row r="2177" spans="1:13" s="51" customFormat="1" ht="25.2" hidden="1" customHeight="1">
      <c r="A2177" s="68">
        <f t="shared" si="88"/>
        <v>0</v>
      </c>
      <c r="B2177" s="86" t="s">
        <v>349</v>
      </c>
      <c r="C2177" s="86"/>
      <c r="D2177" s="111"/>
      <c r="E2177" s="88" t="str">
        <f>VLOOKUP($B2177,[1]DG!A:D,[1]DG!$B$2,)</f>
        <v>05.6101</v>
      </c>
      <c r="F2177" s="89" t="str">
        <f>VLOOKUP($B2177,[1]DG!A:D,[1]DG!$C$2,)&amp;": 2 cái"</f>
        <v>Đà U100x46x5x800 : 2 cái</v>
      </c>
      <c r="G2177" s="88" t="str">
        <f>VLOOKUP($B2177,[1]DG!A:D,[1]DG!$D$2,)</f>
        <v>cái</v>
      </c>
      <c r="H2177" s="145">
        <f>H2173*5.426*2</f>
        <v>0</v>
      </c>
      <c r="I2177" s="91">
        <f t="shared" si="90"/>
        <v>0</v>
      </c>
      <c r="J2177" s="92"/>
      <c r="K2177" s="92"/>
      <c r="L2177" s="117"/>
      <c r="M2177" s="56">
        <v>630</v>
      </c>
    </row>
    <row r="2178" spans="1:13" s="51" customFormat="1" ht="25.2" hidden="1" customHeight="1">
      <c r="A2178" s="68">
        <f t="shared" si="88"/>
        <v>0</v>
      </c>
      <c r="B2178" s="69" t="s">
        <v>350</v>
      </c>
      <c r="C2178" s="69"/>
      <c r="D2178" s="111"/>
      <c r="E2178" s="88">
        <f>VLOOKUP($B2178,[1]DG!A:D,[1]DG!$B$2,)</f>
        <v>0</v>
      </c>
      <c r="F2178" s="89" t="str">
        <f>VLOOKUP($B2178,[1]DG!A:D,[1]DG!$C$2,)</f>
        <v>Boulon 16x400VRS+ 4 long đền vuông D18-50x50x3/Zn</v>
      </c>
      <c r="G2178" s="88" t="str">
        <f>VLOOKUP($B2178,[1]DG!A:D,[1]DG!$D$2,)</f>
        <v>bộ</v>
      </c>
      <c r="H2178" s="145">
        <f>H2173*10</f>
        <v>0</v>
      </c>
      <c r="I2178" s="91">
        <f t="shared" si="90"/>
        <v>0</v>
      </c>
      <c r="J2178" s="92"/>
      <c r="K2178" s="92"/>
      <c r="L2178" s="117"/>
      <c r="M2178" s="56">
        <v>630</v>
      </c>
    </row>
    <row r="2179" spans="1:13" s="51" customFormat="1" ht="25.2" hidden="1" customHeight="1">
      <c r="A2179" s="68">
        <f t="shared" si="88"/>
        <v>0</v>
      </c>
      <c r="B2179" s="69" t="s">
        <v>265</v>
      </c>
      <c r="C2179" s="69"/>
      <c r="D2179" s="111"/>
      <c r="E2179" s="88">
        <f>VLOOKUP($B2179,[1]DG!A:D,[1]DG!$B$2,)</f>
        <v>0</v>
      </c>
      <c r="F2179" s="89" t="str">
        <f>VLOOKUP($B2179,[1]DG!A:D,[1]DG!$C$2,)</f>
        <v>Boulon 16x400+ 2 long đền vuông D18-50x50x3/Zn</v>
      </c>
      <c r="G2179" s="88" t="str">
        <f>VLOOKUP($B2179,[1]DG!A:D,[1]DG!$D$2,)</f>
        <v>bộ</v>
      </c>
      <c r="H2179" s="145">
        <f>H2173*2</f>
        <v>0</v>
      </c>
      <c r="I2179" s="91">
        <f t="shared" si="90"/>
        <v>0</v>
      </c>
      <c r="J2179" s="92"/>
      <c r="K2179" s="92"/>
      <c r="L2179" s="117"/>
      <c r="M2179" s="56">
        <v>630</v>
      </c>
    </row>
    <row r="2180" spans="1:13" s="51" customFormat="1" ht="25.2" hidden="1" customHeight="1">
      <c r="A2180" s="68">
        <f t="shared" si="88"/>
        <v>0</v>
      </c>
      <c r="B2180" s="69" t="s">
        <v>123</v>
      </c>
      <c r="C2180" s="69"/>
      <c r="D2180" s="111"/>
      <c r="E2180" s="88">
        <f>VLOOKUP($B2180,[1]DG!A:D,[1]DG!$B$2,)</f>
        <v>0</v>
      </c>
      <c r="F2180" s="89" t="str">
        <f>VLOOKUP($B2180,[1]DG!A:D,[1]DG!$C$2,)</f>
        <v>Boulon 16x350+ 2 long đền vuông D18-50x50x3/Zn</v>
      </c>
      <c r="G2180" s="88" t="str">
        <f>VLOOKUP($B2180,[1]DG!A:D,[1]DG!$D$2,)</f>
        <v>bộ</v>
      </c>
      <c r="H2180" s="145">
        <f>H2173*12</f>
        <v>0</v>
      </c>
      <c r="I2180" s="91">
        <f t="shared" si="90"/>
        <v>0</v>
      </c>
      <c r="J2180" s="92"/>
      <c r="K2180" s="92"/>
      <c r="L2180" s="117"/>
      <c r="M2180" s="56">
        <v>630</v>
      </c>
    </row>
    <row r="2181" spans="1:13" s="51" customFormat="1" ht="25.2" hidden="1" customHeight="1">
      <c r="A2181" s="68">
        <f t="shared" si="88"/>
        <v>0</v>
      </c>
      <c r="B2181" s="69"/>
      <c r="C2181" s="69"/>
      <c r="D2181" s="220">
        <f>IF(H2181&gt;0,D2173+1,D2173)</f>
        <v>0</v>
      </c>
      <c r="E2181" s="238"/>
      <c r="F2181" s="329" t="s">
        <v>366</v>
      </c>
      <c r="G2181" s="220" t="s">
        <v>67</v>
      </c>
      <c r="H2181" s="240">
        <f>H2173*2</f>
        <v>0</v>
      </c>
      <c r="I2181" s="91">
        <f t="shared" si="90"/>
        <v>0</v>
      </c>
      <c r="J2181" s="95"/>
      <c r="K2181" s="95"/>
      <c r="L2181" s="117"/>
      <c r="M2181" s="56">
        <v>630</v>
      </c>
    </row>
    <row r="2182" spans="1:13" s="51" customFormat="1" ht="25.2" hidden="1" customHeight="1">
      <c r="A2182" s="68">
        <f>IF(A2181&gt;0,1,0)</f>
        <v>0</v>
      </c>
      <c r="B2182" s="69"/>
      <c r="C2182" s="69"/>
      <c r="D2182" s="111"/>
      <c r="E2182" s="88"/>
      <c r="F2182" s="243" t="s">
        <v>68</v>
      </c>
      <c r="G2182" s="87"/>
      <c r="H2182" s="145"/>
      <c r="I2182" s="91">
        <f t="shared" si="90"/>
        <v>0</v>
      </c>
      <c r="J2182" s="95"/>
      <c r="K2182" s="95"/>
      <c r="L2182" s="117"/>
      <c r="M2182" s="56">
        <v>630</v>
      </c>
    </row>
    <row r="2183" spans="1:13" s="51" customFormat="1" ht="25.2" hidden="1" customHeight="1">
      <c r="A2183" s="68">
        <f t="shared" si="88"/>
        <v>0</v>
      </c>
      <c r="B2183" s="86" t="s">
        <v>367</v>
      </c>
      <c r="C2183" s="86"/>
      <c r="D2183" s="111"/>
      <c r="E2183" s="88">
        <f>VLOOKUP($B2183,[1]DG!A:D,[1]DG!$B$2,)</f>
        <v>0</v>
      </c>
      <c r="F2183" s="89" t="str">
        <f>VLOOKUP($B2183,[1]DG!A:D,[1]DG!$C$2,)</f>
        <v>Sắt góc L75 x75 x8</v>
      </c>
      <c r="G2183" s="88" t="str">
        <f>VLOOKUP($B2183,[1]DG!A:D,[1]DG!$D$2,)</f>
        <v>kg</v>
      </c>
      <c r="H2183" s="145">
        <f>H2181*9.42*(2.6+3*0.07)*2</f>
        <v>0</v>
      </c>
      <c r="I2183" s="91">
        <f t="shared" si="90"/>
        <v>0</v>
      </c>
      <c r="J2183" s="92"/>
      <c r="K2183" s="92"/>
      <c r="L2183" s="117"/>
      <c r="M2183" s="56">
        <v>630</v>
      </c>
    </row>
    <row r="2184" spans="1:13" s="51" customFormat="1" ht="25.2" hidden="1" customHeight="1">
      <c r="A2184" s="68">
        <f t="shared" si="88"/>
        <v>0</v>
      </c>
      <c r="B2184" s="69" t="s">
        <v>368</v>
      </c>
      <c r="C2184" s="69"/>
      <c r="D2184" s="111"/>
      <c r="E2184" s="88">
        <f>VLOOKUP($B2184,[1]DG!A:D,[1]DG!$B$2,)</f>
        <v>0</v>
      </c>
      <c r="F2184" s="89" t="str">
        <f>VLOOKUP($B2184,[1]DG!A:D,[1]DG!$C$2,)</f>
        <v>Boulon 16x300VRS+ 4 long đền vuông D18-50x50x3/Zn</v>
      </c>
      <c r="G2184" s="88" t="str">
        <f>VLOOKUP($B2184,[1]DG!A:D,[1]DG!$D$2,)</f>
        <v>bộ</v>
      </c>
      <c r="H2184" s="145">
        <f>H2181*2</f>
        <v>0</v>
      </c>
      <c r="I2184" s="91">
        <f t="shared" si="90"/>
        <v>0</v>
      </c>
      <c r="J2184" s="92"/>
      <c r="K2184" s="92"/>
      <c r="L2184" s="117"/>
      <c r="M2184" s="56">
        <v>630</v>
      </c>
    </row>
    <row r="2185" spans="1:13" s="51" customFormat="1" ht="25.2" hidden="1" customHeight="1">
      <c r="A2185" s="68">
        <f t="shared" si="88"/>
        <v>0</v>
      </c>
      <c r="B2185" s="69" t="s">
        <v>65</v>
      </c>
      <c r="C2185" s="69"/>
      <c r="D2185" s="111"/>
      <c r="E2185" s="88">
        <f>VLOOKUP($B2185,[1]DG!A:D,[1]DG!$B$2,)</f>
        <v>0</v>
      </c>
      <c r="F2185" s="89" t="str">
        <f>VLOOKUP($B2185,[1]DG!A:D,[1]DG!$C$2,)</f>
        <v>Boulon 16x300+ 2 long đền vuông D18-50x50x3/Zn</v>
      </c>
      <c r="G2185" s="88" t="str">
        <f>VLOOKUP($B2185,[1]DG!A:D,[1]DG!$D$2,)</f>
        <v>bộ</v>
      </c>
      <c r="H2185" s="145">
        <f>H2181*2</f>
        <v>0</v>
      </c>
      <c r="I2185" s="91">
        <f t="shared" si="90"/>
        <v>0</v>
      </c>
      <c r="J2185" s="92"/>
      <c r="K2185" s="92"/>
      <c r="L2185" s="117"/>
      <c r="M2185" s="56">
        <v>630</v>
      </c>
    </row>
    <row r="2186" spans="1:13" s="51" customFormat="1" ht="25.2" hidden="1" customHeight="1">
      <c r="A2186" s="68">
        <f t="shared" si="88"/>
        <v>0</v>
      </c>
      <c r="B2186" s="69" t="s">
        <v>237</v>
      </c>
      <c r="C2186" s="69"/>
      <c r="D2186" s="111"/>
      <c r="E2186" s="88">
        <f>VLOOKUP($B2186,[1]DG!A:D,[1]DG!$B$2,)</f>
        <v>0</v>
      </c>
      <c r="F2186" s="89" t="str">
        <f>VLOOKUP($B2186,[1]DG!A:D,[1]DG!$C$2,)</f>
        <v>Boulon 16x250+ 2 long đền vuông D18-50x50x3/Zn</v>
      </c>
      <c r="G2186" s="88" t="str">
        <f>VLOOKUP($B2186,[1]DG!A:D,[1]DG!$D$2,)</f>
        <v>bộ</v>
      </c>
      <c r="H2186" s="145">
        <f>H2185</f>
        <v>0</v>
      </c>
      <c r="I2186" s="91">
        <f t="shared" si="90"/>
        <v>0</v>
      </c>
      <c r="J2186" s="92"/>
      <c r="K2186" s="92"/>
      <c r="L2186" s="117"/>
      <c r="M2186" s="56">
        <v>630</v>
      </c>
    </row>
    <row r="2187" spans="1:13" s="51" customFormat="1" ht="25.2" hidden="1" customHeight="1">
      <c r="A2187" s="68">
        <f t="shared" si="88"/>
        <v>0</v>
      </c>
      <c r="B2187" s="69" t="s">
        <v>363</v>
      </c>
      <c r="C2187" s="69"/>
      <c r="D2187" s="111"/>
      <c r="E2187" s="88" t="str">
        <f>VLOOKUP($B2187,[1]DG!A:D,[1]DG!$B$2,)</f>
        <v>05.6044</v>
      </c>
      <c r="F2187" s="89" t="str">
        <f>VLOOKUP($B2187,[1]DG!A:D,[1]DG!$C$2,)</f>
        <v>Lắp xà cột Pi loại ≤140kg/xà</v>
      </c>
      <c r="G2187" s="88" t="str">
        <f>VLOOKUP($B2187,[1]DG!A:D,[1]DG!$D$2,)</f>
        <v>bộ</v>
      </c>
      <c r="H2187" s="145">
        <f>H2181</f>
        <v>0</v>
      </c>
      <c r="I2187" s="91">
        <f t="shared" si="90"/>
        <v>0</v>
      </c>
      <c r="J2187" s="92"/>
      <c r="K2187" s="92"/>
      <c r="L2187" s="117"/>
      <c r="M2187" s="56">
        <v>630</v>
      </c>
    </row>
    <row r="2188" spans="1:13" s="51" customFormat="1" ht="25.2" hidden="1" customHeight="1">
      <c r="A2188" s="68">
        <f t="shared" si="88"/>
        <v>0</v>
      </c>
      <c r="B2188" s="69"/>
      <c r="C2188" s="69"/>
      <c r="D2188" s="220">
        <f>IF(H2188&gt;0,D2181+1,D2181)</f>
        <v>0</v>
      </c>
      <c r="E2188" s="238"/>
      <c r="F2188" s="329" t="s">
        <v>552</v>
      </c>
      <c r="G2188" s="220" t="s">
        <v>67</v>
      </c>
      <c r="H2188" s="240">
        <f>H2144*2</f>
        <v>0</v>
      </c>
      <c r="I2188" s="91">
        <f t="shared" si="90"/>
        <v>0</v>
      </c>
      <c r="J2188" s="95"/>
      <c r="K2188" s="95"/>
      <c r="L2188" s="117"/>
      <c r="M2188" s="56">
        <v>630</v>
      </c>
    </row>
    <row r="2189" spans="1:13" s="51" customFormat="1" ht="25.2" hidden="1" customHeight="1">
      <c r="A2189" s="68">
        <f>IF(A2188&gt;0,1,0)</f>
        <v>0</v>
      </c>
      <c r="B2189" s="69"/>
      <c r="C2189" s="69"/>
      <c r="D2189" s="111"/>
      <c r="E2189" s="242"/>
      <c r="F2189" s="243" t="s">
        <v>68</v>
      </c>
      <c r="G2189" s="87"/>
      <c r="H2189" s="145"/>
      <c r="I2189" s="91">
        <f t="shared" si="90"/>
        <v>0</v>
      </c>
      <c r="J2189" s="95"/>
      <c r="K2189" s="95"/>
      <c r="L2189" s="117"/>
      <c r="M2189" s="56">
        <v>630</v>
      </c>
    </row>
    <row r="2190" spans="1:13" s="51" customFormat="1" ht="25.2" hidden="1" customHeight="1">
      <c r="A2190" s="68">
        <f t="shared" si="88"/>
        <v>0</v>
      </c>
      <c r="B2190" s="86" t="s">
        <v>367</v>
      </c>
      <c r="C2190" s="86"/>
      <c r="D2190" s="111"/>
      <c r="E2190" s="88">
        <f>VLOOKUP($B2190,[1]DG!A:D,[1]DG!$B$2,)</f>
        <v>0</v>
      </c>
      <c r="F2190" s="89" t="str">
        <f>VLOOKUP($B2190,[1]DG!A:D,[1]DG!$C$2,)</f>
        <v>Sắt góc L75 x75 x8</v>
      </c>
      <c r="G2190" s="88" t="str">
        <f>VLOOKUP($B2190,[1]DG!A:D,[1]DG!$D$2,)</f>
        <v>kg</v>
      </c>
      <c r="H2190" s="145">
        <f>H2188*9.42*(2.6+3*0.07)</f>
        <v>0</v>
      </c>
      <c r="I2190" s="91">
        <f t="shared" si="90"/>
        <v>0</v>
      </c>
      <c r="J2190" s="92"/>
      <c r="K2190" s="92"/>
      <c r="L2190" s="117"/>
      <c r="M2190" s="56">
        <v>630</v>
      </c>
    </row>
    <row r="2191" spans="1:13" s="51" customFormat="1" ht="25.2" hidden="1" customHeight="1">
      <c r="A2191" s="68">
        <f t="shared" si="88"/>
        <v>0</v>
      </c>
      <c r="B2191" s="69" t="s">
        <v>237</v>
      </c>
      <c r="C2191" s="69"/>
      <c r="D2191" s="111"/>
      <c r="E2191" s="88">
        <f>VLOOKUP($B2191,[1]DG!A:D,[1]DG!$B$2,)</f>
        <v>0</v>
      </c>
      <c r="F2191" s="89" t="str">
        <f>VLOOKUP($B2191,[1]DG!A:D,[1]DG!$C$2,)</f>
        <v>Boulon 16x250+ 2 long đền vuông D18-50x50x3/Zn</v>
      </c>
      <c r="G2191" s="88" t="str">
        <f>VLOOKUP($B2191,[1]DG!A:D,[1]DG!$D$2,)</f>
        <v>bộ</v>
      </c>
      <c r="H2191" s="145">
        <f>H2188</f>
        <v>0</v>
      </c>
      <c r="I2191" s="91">
        <f t="shared" si="90"/>
        <v>0</v>
      </c>
      <c r="J2191" s="92"/>
      <c r="K2191" s="92"/>
      <c r="L2191" s="117"/>
      <c r="M2191" s="56">
        <v>630</v>
      </c>
    </row>
    <row r="2192" spans="1:13" s="51" customFormat="1" ht="25.2" hidden="1" customHeight="1">
      <c r="A2192" s="68">
        <f t="shared" si="88"/>
        <v>0</v>
      </c>
      <c r="B2192" s="69" t="s">
        <v>65</v>
      </c>
      <c r="C2192" s="69"/>
      <c r="D2192" s="111"/>
      <c r="E2192" s="88">
        <f>VLOOKUP($B2192,[1]DG!A:D,[1]DG!$B$2,)</f>
        <v>0</v>
      </c>
      <c r="F2192" s="89" t="str">
        <f>VLOOKUP($B2192,[1]DG!A:D,[1]DG!$C$2,)</f>
        <v>Boulon 16x300+ 2 long đền vuông D18-50x50x3/Zn</v>
      </c>
      <c r="G2192" s="88" t="str">
        <f>VLOOKUP($B2192,[1]DG!A:D,[1]DG!$D$2,)</f>
        <v>bộ</v>
      </c>
      <c r="H2192" s="145">
        <f>H2188</f>
        <v>0</v>
      </c>
      <c r="I2192" s="91">
        <f t="shared" si="90"/>
        <v>0</v>
      </c>
      <c r="J2192" s="92"/>
      <c r="K2192" s="92"/>
      <c r="L2192" s="117"/>
      <c r="M2192" s="56">
        <v>630</v>
      </c>
    </row>
    <row r="2193" spans="1:13" s="51" customFormat="1" ht="25.2" hidden="1" customHeight="1">
      <c r="A2193" s="68">
        <f t="shared" si="88"/>
        <v>0</v>
      </c>
      <c r="B2193" s="69" t="s">
        <v>370</v>
      </c>
      <c r="C2193" s="69"/>
      <c r="D2193" s="111"/>
      <c r="E2193" s="88">
        <f>VLOOKUP($B2193,[1]DG!A:D,[1]DG!$B$2,)</f>
        <v>0</v>
      </c>
      <c r="F2193" s="89" t="str">
        <f>VLOOKUP($B2193,[1]DG!A:D,[1]DG!$C$2,)</f>
        <v>Bass LI bắt FCO</v>
      </c>
      <c r="G2193" s="88" t="str">
        <f>VLOOKUP($B2193,[1]DG!A:D,[1]DG!$D$2,)</f>
        <v>Bộ</v>
      </c>
      <c r="H2193" s="145">
        <f>H2145*2</f>
        <v>0</v>
      </c>
      <c r="I2193" s="91">
        <f t="shared" si="90"/>
        <v>0</v>
      </c>
      <c r="J2193" s="92"/>
      <c r="K2193" s="92"/>
      <c r="L2193" s="117"/>
      <c r="M2193" s="56">
        <v>630</v>
      </c>
    </row>
    <row r="2194" spans="1:13" s="51" customFormat="1" ht="25.2" hidden="1" customHeight="1">
      <c r="A2194" s="68">
        <f t="shared" si="88"/>
        <v>0</v>
      </c>
      <c r="B2194" s="69" t="s">
        <v>363</v>
      </c>
      <c r="C2194" s="69"/>
      <c r="D2194" s="111"/>
      <c r="E2194" s="88" t="str">
        <f>VLOOKUP($B2194,[1]DG!A:D,[1]DG!$B$2,)</f>
        <v>05.6044</v>
      </c>
      <c r="F2194" s="89" t="str">
        <f>VLOOKUP($B2194,[1]DG!A:D,[1]DG!$C$2,)</f>
        <v>Lắp xà cột Pi loại ≤140kg/xà</v>
      </c>
      <c r="G2194" s="88" t="str">
        <f>VLOOKUP($B2194,[1]DG!A:D,[1]DG!$D$2,)</f>
        <v>bộ</v>
      </c>
      <c r="H2194" s="145">
        <f>H2144</f>
        <v>0</v>
      </c>
      <c r="I2194" s="91">
        <f t="shared" si="90"/>
        <v>0</v>
      </c>
      <c r="J2194" s="92"/>
      <c r="K2194" s="92"/>
      <c r="L2194" s="117"/>
      <c r="M2194" s="56">
        <v>630</v>
      </c>
    </row>
    <row r="2195" spans="1:13" s="51" customFormat="1" ht="25.2" hidden="1" customHeight="1">
      <c r="A2195" s="68">
        <f t="shared" si="88"/>
        <v>0</v>
      </c>
      <c r="B2195" s="69"/>
      <c r="C2195" s="69"/>
      <c r="D2195" s="220">
        <f>IF(H2195&gt;0,D2188+1,D2188)</f>
        <v>0</v>
      </c>
      <c r="E2195" s="238"/>
      <c r="F2195" s="329" t="s">
        <v>373</v>
      </c>
      <c r="G2195" s="220" t="s">
        <v>67</v>
      </c>
      <c r="H2195" s="240">
        <f>H2144*2</f>
        <v>0</v>
      </c>
      <c r="I2195" s="91">
        <f t="shared" si="90"/>
        <v>0</v>
      </c>
      <c r="J2195" s="95"/>
      <c r="K2195" s="95"/>
      <c r="L2195" s="117"/>
      <c r="M2195" s="56">
        <v>630</v>
      </c>
    </row>
    <row r="2196" spans="1:13" s="51" customFormat="1" ht="25.2" hidden="1" customHeight="1">
      <c r="A2196" s="68">
        <f>IF(A2195&gt;0,1,0)</f>
        <v>0</v>
      </c>
      <c r="B2196" s="69"/>
      <c r="C2196" s="69"/>
      <c r="D2196" s="111"/>
      <c r="E2196" s="242"/>
      <c r="F2196" s="243" t="s">
        <v>68</v>
      </c>
      <c r="G2196" s="87"/>
      <c r="H2196" s="145"/>
      <c r="I2196" s="91">
        <f t="shared" si="90"/>
        <v>0</v>
      </c>
      <c r="J2196" s="95"/>
      <c r="K2196" s="95"/>
      <c r="L2196" s="117"/>
      <c r="M2196" s="56">
        <v>630</v>
      </c>
    </row>
    <row r="2197" spans="1:13" s="51" customFormat="1" ht="25.2" hidden="1" customHeight="1">
      <c r="A2197" s="68">
        <f t="shared" si="88"/>
        <v>0</v>
      </c>
      <c r="B2197" s="69" t="s">
        <v>367</v>
      </c>
      <c r="C2197" s="69"/>
      <c r="D2197" s="111"/>
      <c r="E2197" s="88">
        <f>VLOOKUP($B2197,[1]DG!A:D,[1]DG!$B$2,)</f>
        <v>0</v>
      </c>
      <c r="F2197" s="89" t="str">
        <f>VLOOKUP($B2197,[1]DG!A:D,[1]DG!$C$2,)</f>
        <v>Sắt góc L75 x75 x8</v>
      </c>
      <c r="G2197" s="88" t="str">
        <f>VLOOKUP($B2197,[1]DG!A:D,[1]DG!$D$2,)</f>
        <v>kg</v>
      </c>
      <c r="H2197" s="145">
        <f>H2195*9.42*2.6</f>
        <v>0</v>
      </c>
      <c r="I2197" s="91">
        <f t="shared" si="90"/>
        <v>0</v>
      </c>
      <c r="J2197" s="92"/>
      <c r="K2197" s="92"/>
      <c r="L2197" s="117"/>
      <c r="M2197" s="56">
        <v>630</v>
      </c>
    </row>
    <row r="2198" spans="1:13" s="51" customFormat="1" ht="25.2" hidden="1" customHeight="1">
      <c r="A2198" s="68">
        <f t="shared" si="88"/>
        <v>0</v>
      </c>
      <c r="B2198" s="69" t="s">
        <v>265</v>
      </c>
      <c r="C2198" s="69"/>
      <c r="D2198" s="111"/>
      <c r="E2198" s="88">
        <f>VLOOKUP($B2198,[1]DG!A:D,[1]DG!$B$2,)</f>
        <v>0</v>
      </c>
      <c r="F2198" s="89" t="str">
        <f>VLOOKUP($B2198,[1]DG!A:D,[1]DG!$C$2,)</f>
        <v>Boulon 16x400+ 2 long đền vuông D18-50x50x3/Zn</v>
      </c>
      <c r="G2198" s="88" t="str">
        <f>VLOOKUP($B2198,[1]DG!A:D,[1]DG!$D$2,)</f>
        <v>bộ</v>
      </c>
      <c r="H2198" s="145">
        <f>H2195*2</f>
        <v>0</v>
      </c>
      <c r="I2198" s="91">
        <f t="shared" si="90"/>
        <v>0</v>
      </c>
      <c r="J2198" s="92"/>
      <c r="K2198" s="92"/>
      <c r="L2198" s="117"/>
      <c r="M2198" s="56">
        <v>630</v>
      </c>
    </row>
    <row r="2199" spans="1:13" s="51" customFormat="1" ht="25.2" hidden="1" customHeight="1">
      <c r="A2199" s="68">
        <f t="shared" si="88"/>
        <v>0</v>
      </c>
      <c r="B2199" s="69" t="s">
        <v>131</v>
      </c>
      <c r="C2199" s="69"/>
      <c r="D2199" s="111"/>
      <c r="E2199" s="88">
        <f>VLOOKUP($B2199,[1]DG!A:D,[1]DG!$B$2,)</f>
        <v>0</v>
      </c>
      <c r="F2199" s="89" t="str">
        <f>VLOOKUP($B2199,[1]DG!A:D,[1]DG!$C$2,)</f>
        <v>Boulon 12x40+ 2 long đền vuông D14-50x50x3/Zn</v>
      </c>
      <c r="G2199" s="88" t="str">
        <f>VLOOKUP($B2199,[1]DG!A:D,[1]DG!$D$2,)</f>
        <v>bộ</v>
      </c>
      <c r="H2199" s="145">
        <f>H2195*2</f>
        <v>0</v>
      </c>
      <c r="I2199" s="91">
        <f t="shared" si="90"/>
        <v>0</v>
      </c>
      <c r="J2199" s="92"/>
      <c r="K2199" s="92"/>
      <c r="L2199" s="117"/>
      <c r="M2199" s="56">
        <v>630</v>
      </c>
    </row>
    <row r="2200" spans="1:13" s="51" customFormat="1" ht="25.2" hidden="1" customHeight="1">
      <c r="A2200" s="68">
        <f t="shared" si="88"/>
        <v>0</v>
      </c>
      <c r="B2200" s="69" t="s">
        <v>363</v>
      </c>
      <c r="C2200" s="69"/>
      <c r="D2200" s="111"/>
      <c r="E2200" s="88" t="str">
        <f>VLOOKUP($B2200,[1]DG!A:D,[1]DG!$B$2,)</f>
        <v>05.6044</v>
      </c>
      <c r="F2200" s="89" t="str">
        <f>VLOOKUP($B2200,[1]DG!A:D,[1]DG!$C$2,)</f>
        <v>Lắp xà cột Pi loại ≤140kg/xà</v>
      </c>
      <c r="G2200" s="88" t="str">
        <f>VLOOKUP($B2200,[1]DG!A:D,[1]DG!$D$2,)</f>
        <v>bộ</v>
      </c>
      <c r="H2200" s="145">
        <f>H2195/2</f>
        <v>0</v>
      </c>
      <c r="I2200" s="91">
        <f t="shared" si="90"/>
        <v>0</v>
      </c>
      <c r="J2200" s="92"/>
      <c r="K2200" s="92"/>
      <c r="L2200" s="117"/>
      <c r="M2200" s="56">
        <v>630</v>
      </c>
    </row>
    <row r="2201" spans="1:13" s="51" customFormat="1" ht="25.2" hidden="1" customHeight="1">
      <c r="A2201" s="68">
        <f t="shared" si="88"/>
        <v>0</v>
      </c>
      <c r="B2201" s="69" t="s">
        <v>374</v>
      </c>
      <c r="C2201" s="69"/>
      <c r="D2201" s="111"/>
      <c r="E2201" s="88" t="str">
        <f>VLOOKUP($B2201,[1]DG!A:D,[1]DG!$B$2,)</f>
        <v>02.1115</v>
      </c>
      <c r="F2201" s="89" t="str">
        <f>VLOOKUP($B2201,[1]DG!A:D,[1]DG!$C$2,)</f>
        <v>Bốc dỡ xà, thép thanh</v>
      </c>
      <c r="G2201" s="88" t="str">
        <f>VLOOKUP($B2201,[1]DG!A:D,[1]DG!$D$2,)</f>
        <v>tấn</v>
      </c>
      <c r="H2201" s="145">
        <f>0.05*0</f>
        <v>0</v>
      </c>
      <c r="I2201" s="91">
        <f t="shared" si="90"/>
        <v>0</v>
      </c>
      <c r="J2201" s="92"/>
      <c r="K2201" s="92"/>
      <c r="L2201" s="117"/>
      <c r="M2201" s="56">
        <v>630</v>
      </c>
    </row>
    <row r="2202" spans="1:13" s="51" customFormat="1" ht="25.2" hidden="1" customHeight="1">
      <c r="A2202" s="68">
        <f t="shared" si="88"/>
        <v>0</v>
      </c>
      <c r="B2202" s="69" t="s">
        <v>65</v>
      </c>
      <c r="C2202" s="69"/>
      <c r="D2202" s="111"/>
      <c r="E2202" s="88">
        <f>VLOOKUP($B2202,[1]DG!A:D,[1]DG!$B$2,)</f>
        <v>0</v>
      </c>
      <c r="F2202" s="89" t="str">
        <f>VLOOKUP($B2202,[1]DG!A:D,[1]DG!$C$2,)</f>
        <v>Boulon 16x300+ 2 long đền vuông D18-50x50x3/Zn</v>
      </c>
      <c r="G2202" s="88" t="s">
        <v>375</v>
      </c>
      <c r="H2202" s="145">
        <f>H2195*2*0</f>
        <v>0</v>
      </c>
      <c r="I2202" s="91">
        <f t="shared" si="90"/>
        <v>0</v>
      </c>
      <c r="J2202" s="92"/>
      <c r="K2202" s="92"/>
      <c r="L2202" s="117"/>
      <c r="M2202" s="56">
        <v>630</v>
      </c>
    </row>
    <row r="2203" spans="1:13" s="51" customFormat="1" ht="25.2" hidden="1" customHeight="1">
      <c r="A2203" s="68">
        <f t="shared" si="88"/>
        <v>0</v>
      </c>
      <c r="B2203" s="69" t="s">
        <v>237</v>
      </c>
      <c r="C2203" s="69"/>
      <c r="D2203" s="111"/>
      <c r="E2203" s="88">
        <f>VLOOKUP($B2203,[1]DG!A:D,[1]DG!$B$2,)</f>
        <v>0</v>
      </c>
      <c r="F2203" s="89" t="str">
        <f>VLOOKUP($B2203,[1]DG!A:D,[1]DG!$C$2,)</f>
        <v>Boulon 16x250+ 2 long đền vuông D18-50x50x3/Zn</v>
      </c>
      <c r="G2203" s="88" t="s">
        <v>375</v>
      </c>
      <c r="H2203" s="145">
        <f>2*H2195*2*0</f>
        <v>0</v>
      </c>
      <c r="I2203" s="91">
        <f t="shared" si="90"/>
        <v>0</v>
      </c>
      <c r="J2203" s="92"/>
      <c r="K2203" s="92"/>
      <c r="L2203" s="117"/>
      <c r="M2203" s="56">
        <v>630</v>
      </c>
    </row>
    <row r="2204" spans="1:13" s="51" customFormat="1" ht="25.2" hidden="1" customHeight="1" collapsed="1">
      <c r="A2204" s="68">
        <f t="shared" si="88"/>
        <v>0</v>
      </c>
      <c r="B2204" s="69"/>
      <c r="C2204" s="69"/>
      <c r="D2204" s="220">
        <f>IF(H2204&gt;0,D2195+1,D2195)</f>
        <v>0</v>
      </c>
      <c r="E2204" s="238"/>
      <c r="F2204" s="329" t="s">
        <v>376</v>
      </c>
      <c r="G2204" s="220" t="s">
        <v>67</v>
      </c>
      <c r="H2204" s="240">
        <f>H2144*0</f>
        <v>0</v>
      </c>
      <c r="I2204" s="91">
        <f t="shared" si="90"/>
        <v>0</v>
      </c>
      <c r="J2204" s="146"/>
      <c r="K2204" s="146"/>
      <c r="L2204" s="96"/>
      <c r="M2204" s="56">
        <v>630</v>
      </c>
    </row>
    <row r="2205" spans="1:13" s="51" customFormat="1" ht="25.2" hidden="1" customHeight="1">
      <c r="A2205" s="68">
        <f>IF(A2204&gt;0,1,0)</f>
        <v>0</v>
      </c>
      <c r="B2205" s="69"/>
      <c r="C2205" s="69"/>
      <c r="D2205" s="111"/>
      <c r="E2205" s="242"/>
      <c r="F2205" s="243" t="s">
        <v>68</v>
      </c>
      <c r="G2205" s="87"/>
      <c r="H2205" s="145"/>
      <c r="I2205" s="91">
        <f t="shared" si="90"/>
        <v>0</v>
      </c>
      <c r="J2205" s="146"/>
      <c r="K2205" s="146"/>
      <c r="L2205" s="96"/>
      <c r="M2205" s="56">
        <v>630</v>
      </c>
    </row>
    <row r="2206" spans="1:13" s="51" customFormat="1" ht="25.2" hidden="1" customHeight="1">
      <c r="A2206" s="68">
        <f t="shared" si="88"/>
        <v>0</v>
      </c>
      <c r="B2206" s="69" t="s">
        <v>367</v>
      </c>
      <c r="C2206" s="69"/>
      <c r="D2206" s="111"/>
      <c r="E2206" s="88">
        <f>VLOOKUP($B2206,[1]DG!A:D,[1]DG!$B$2,)</f>
        <v>0</v>
      </c>
      <c r="F2206" s="89" t="str">
        <f>VLOOKUP($B2206,[1]DG!A:D,[1]DG!$C$2,)</f>
        <v>Sắt góc L75 x75 x8</v>
      </c>
      <c r="G2206" s="88" t="s">
        <v>377</v>
      </c>
      <c r="H2206" s="145">
        <f>H2204*9.02*(2.4+4*0.07)*2</f>
        <v>0</v>
      </c>
      <c r="I2206" s="91">
        <f t="shared" si="90"/>
        <v>0</v>
      </c>
      <c r="J2206" s="146"/>
      <c r="K2206" s="146"/>
      <c r="L2206" s="96"/>
      <c r="M2206" s="56">
        <v>630</v>
      </c>
    </row>
    <row r="2207" spans="1:13" s="51" customFormat="1" ht="25.2" hidden="1" customHeight="1">
      <c r="A2207" s="68">
        <f t="shared" ref="A2207:A2270" si="91">IF(I2207&gt;0,1,0)</f>
        <v>0</v>
      </c>
      <c r="B2207" s="69" t="s">
        <v>378</v>
      </c>
      <c r="C2207" s="69"/>
      <c r="D2207" s="111"/>
      <c r="E2207" s="88">
        <f>VLOOKUP($B2207,[1]DG!A:D,[1]DG!$B$2,)</f>
        <v>0</v>
      </c>
      <c r="F2207" s="89" t="str">
        <f>VLOOKUP($B2207,[1]DG!A:D,[1]DG!$C$2,)&amp;" (Thanh choáng 810)"</f>
        <v>Sắt góc L50 x50 x5 (Thanh choáng 810)</v>
      </c>
      <c r="G2207" s="88" t="s">
        <v>377</v>
      </c>
      <c r="H2207" s="145">
        <f>H2204*3.77*0.81*4</f>
        <v>0</v>
      </c>
      <c r="I2207" s="91">
        <f t="shared" si="90"/>
        <v>0</v>
      </c>
      <c r="J2207" s="146"/>
      <c r="K2207" s="146"/>
      <c r="L2207" s="96"/>
      <c r="M2207" s="56">
        <v>630</v>
      </c>
    </row>
    <row r="2208" spans="1:13" s="51" customFormat="1" ht="25.2" hidden="1" customHeight="1">
      <c r="A2208" s="68">
        <f t="shared" si="91"/>
        <v>0</v>
      </c>
      <c r="B2208" s="69" t="s">
        <v>65</v>
      </c>
      <c r="C2208" s="69"/>
      <c r="D2208" s="111"/>
      <c r="E2208" s="88">
        <f>VLOOKUP($B2208,[1]DG!A:D,[1]DG!$B$2,)</f>
        <v>0</v>
      </c>
      <c r="F2208" s="89" t="str">
        <f>VLOOKUP($B2208,[1]DG!A:D,[1]DG!$C$2,)</f>
        <v>Boulon 16x300+ 2 long đền vuông D18-50x50x3/Zn</v>
      </c>
      <c r="G2208" s="88" t="s">
        <v>375</v>
      </c>
      <c r="H2208" s="145">
        <f>H2204*2</f>
        <v>0</v>
      </c>
      <c r="I2208" s="91">
        <f t="shared" si="90"/>
        <v>0</v>
      </c>
      <c r="J2208" s="146"/>
      <c r="K2208" s="146"/>
      <c r="L2208" s="96"/>
      <c r="M2208" s="56">
        <v>630</v>
      </c>
    </row>
    <row r="2209" spans="1:13" s="51" customFormat="1" ht="25.2" hidden="1" customHeight="1">
      <c r="A2209" s="68">
        <f t="shared" si="91"/>
        <v>0</v>
      </c>
      <c r="B2209" s="69" t="s">
        <v>231</v>
      </c>
      <c r="C2209" s="69"/>
      <c r="D2209" s="111"/>
      <c r="E2209" s="88">
        <f>VLOOKUP($B2209,[1]DG!A:D,[1]DG!$B$2,)</f>
        <v>0</v>
      </c>
      <c r="F2209" s="89" t="str">
        <f>VLOOKUP($B2209,[1]DG!A:D,[1]DG!$C$2,)</f>
        <v>Boulon 16x50+ 2 long đền vuông D18-50x50x3/Zn</v>
      </c>
      <c r="G2209" s="88" t="s">
        <v>375</v>
      </c>
      <c r="H2209" s="145">
        <f>H2204*4</f>
        <v>0</v>
      </c>
      <c r="I2209" s="91">
        <f t="shared" si="90"/>
        <v>0</v>
      </c>
      <c r="J2209" s="146"/>
      <c r="K2209" s="146"/>
      <c r="L2209" s="96"/>
      <c r="M2209" s="56">
        <v>630</v>
      </c>
    </row>
    <row r="2210" spans="1:13" s="51" customFormat="1" ht="25.2" hidden="1" customHeight="1">
      <c r="A2210" s="68">
        <f t="shared" si="91"/>
        <v>0</v>
      </c>
      <c r="B2210" s="69" t="s">
        <v>368</v>
      </c>
      <c r="C2210" s="69"/>
      <c r="D2210" s="111"/>
      <c r="E2210" s="88">
        <f>VLOOKUP($B2210,[1]DG!A:D,[1]DG!$B$2,)</f>
        <v>0</v>
      </c>
      <c r="F2210" s="89" t="str">
        <f>VLOOKUP($B2210,[1]DG!A:D,[1]DG!$C$2,)</f>
        <v>Boulon 16x300VRS+ 4 long đền vuông D18-50x50x3/Zn</v>
      </c>
      <c r="G2210" s="88" t="s">
        <v>375</v>
      </c>
      <c r="H2210" s="145">
        <f>H2204*4</f>
        <v>0</v>
      </c>
      <c r="I2210" s="91">
        <f t="shared" si="90"/>
        <v>0</v>
      </c>
      <c r="J2210" s="146"/>
      <c r="K2210" s="146"/>
      <c r="L2210" s="96"/>
      <c r="M2210" s="56">
        <v>630</v>
      </c>
    </row>
    <row r="2211" spans="1:13" s="51" customFormat="1" ht="25.2" hidden="1" customHeight="1">
      <c r="A2211" s="68">
        <f t="shared" si="91"/>
        <v>0</v>
      </c>
      <c r="B2211" s="69" t="s">
        <v>379</v>
      </c>
      <c r="C2211" s="69"/>
      <c r="D2211" s="111"/>
      <c r="E2211" s="88" t="str">
        <f>VLOOKUP($B2211,[1]DG!A:D,[1]DG!$B$2,)</f>
        <v>05.6203</v>
      </c>
      <c r="F2211" s="89" t="str">
        <f>VLOOKUP($B2211,[1]DG!A:D,[1]DG!$C$2,)</f>
        <v>Lắp xà néo ≤ 100kg</v>
      </c>
      <c r="G2211" s="88" t="s">
        <v>375</v>
      </c>
      <c r="H2211" s="145">
        <f>H2204</f>
        <v>0</v>
      </c>
      <c r="I2211" s="91">
        <f t="shared" si="90"/>
        <v>0</v>
      </c>
      <c r="J2211" s="146"/>
      <c r="K2211" s="146"/>
      <c r="L2211" s="96"/>
      <c r="M2211" s="56">
        <v>630</v>
      </c>
    </row>
    <row r="2212" spans="1:13" s="51" customFormat="1" ht="25.2" hidden="1" customHeight="1">
      <c r="A2212" s="68">
        <f t="shared" si="91"/>
        <v>0</v>
      </c>
      <c r="B2212" s="69"/>
      <c r="C2212" s="69"/>
      <c r="D2212" s="220">
        <f>IF(H2212&gt;0,D2204+1,D2204)</f>
        <v>0</v>
      </c>
      <c r="E2212" s="238"/>
      <c r="F2212" s="329" t="s">
        <v>380</v>
      </c>
      <c r="G2212" s="220" t="s">
        <v>67</v>
      </c>
      <c r="H2212" s="240">
        <f>H2144*1*0</f>
        <v>0</v>
      </c>
      <c r="I2212" s="91">
        <f t="shared" si="90"/>
        <v>0</v>
      </c>
      <c r="J2212" s="146"/>
      <c r="K2212" s="146"/>
      <c r="L2212" s="96"/>
      <c r="M2212" s="56">
        <v>630</v>
      </c>
    </row>
    <row r="2213" spans="1:13" s="51" customFormat="1" ht="25.2" hidden="1" customHeight="1">
      <c r="A2213" s="68">
        <f>IF(A2212&gt;0,1,0)</f>
        <v>0</v>
      </c>
      <c r="B2213" s="69"/>
      <c r="C2213" s="69"/>
      <c r="D2213" s="111"/>
      <c r="E2213" s="242"/>
      <c r="F2213" s="243" t="s">
        <v>68</v>
      </c>
      <c r="G2213" s="87"/>
      <c r="H2213" s="145"/>
      <c r="I2213" s="91">
        <f t="shared" si="90"/>
        <v>0</v>
      </c>
      <c r="J2213" s="146"/>
      <c r="K2213" s="146"/>
      <c r="L2213" s="96"/>
      <c r="M2213" s="56">
        <v>630</v>
      </c>
    </row>
    <row r="2214" spans="1:13" s="51" customFormat="1" ht="25.2" hidden="1" customHeight="1">
      <c r="A2214" s="68">
        <f t="shared" si="91"/>
        <v>0</v>
      </c>
      <c r="B2214" s="69" t="s">
        <v>367</v>
      </c>
      <c r="C2214" s="69"/>
      <c r="D2214" s="111"/>
      <c r="E2214" s="88">
        <f>VLOOKUP($B2214,[1]DG!A:D,[1]DG!$B$2,)</f>
        <v>0</v>
      </c>
      <c r="F2214" s="89" t="str">
        <f>VLOOKUP($B2214,[1]DG!A:D,[1]DG!$C$2,)</f>
        <v>Sắt góc L75 x75 x8</v>
      </c>
      <c r="G2214" s="88" t="s">
        <v>377</v>
      </c>
      <c r="H2214" s="145">
        <f>H2212*9.02*(2.4+4*0.07)</f>
        <v>0</v>
      </c>
      <c r="I2214" s="91">
        <f t="shared" si="90"/>
        <v>0</v>
      </c>
      <c r="J2214" s="146"/>
      <c r="K2214" s="146"/>
      <c r="L2214" s="96"/>
      <c r="M2214" s="56">
        <v>630</v>
      </c>
    </row>
    <row r="2215" spans="1:13" s="51" customFormat="1" ht="25.2" hidden="1" customHeight="1">
      <c r="A2215" s="68">
        <f t="shared" si="91"/>
        <v>0</v>
      </c>
      <c r="B2215" s="69" t="s">
        <v>378</v>
      </c>
      <c r="C2215" s="69"/>
      <c r="D2215" s="111"/>
      <c r="E2215" s="88">
        <f>VLOOKUP($B2215,[1]DG!A:D,[1]DG!$B$2,)</f>
        <v>0</v>
      </c>
      <c r="F2215" s="89" t="str">
        <f>VLOOKUP($B2215,[1]DG!A:D,[1]DG!$C$2,)&amp;" (Thanh choáng 810)"</f>
        <v>Sắt góc L50 x50 x5 (Thanh choáng 810)</v>
      </c>
      <c r="G2215" s="88" t="s">
        <v>377</v>
      </c>
      <c r="H2215" s="145">
        <f>H2212*3.77*0.81*2</f>
        <v>0</v>
      </c>
      <c r="I2215" s="91">
        <f t="shared" si="90"/>
        <v>0</v>
      </c>
      <c r="J2215" s="146"/>
      <c r="K2215" s="146"/>
      <c r="L2215" s="96"/>
      <c r="M2215" s="56">
        <v>630</v>
      </c>
    </row>
    <row r="2216" spans="1:13" s="51" customFormat="1" ht="25.2" hidden="1" customHeight="1">
      <c r="A2216" s="68">
        <f t="shared" si="91"/>
        <v>0</v>
      </c>
      <c r="B2216" s="69" t="s">
        <v>123</v>
      </c>
      <c r="C2216" s="69"/>
      <c r="D2216" s="111"/>
      <c r="E2216" s="88">
        <f>VLOOKUP($B2216,[1]DG!A:D,[1]DG!$B$2,)</f>
        <v>0</v>
      </c>
      <c r="F2216" s="89" t="str">
        <f>VLOOKUP($B2216,[1]DG!A:D,[1]DG!$C$2,)</f>
        <v>Boulon 16x350+ 2 long đền vuông D18-50x50x3/Zn</v>
      </c>
      <c r="G2216" s="88" t="s">
        <v>375</v>
      </c>
      <c r="H2216" s="145">
        <f>H2212*2</f>
        <v>0</v>
      </c>
      <c r="I2216" s="91">
        <f t="shared" si="90"/>
        <v>0</v>
      </c>
      <c r="J2216" s="146"/>
      <c r="K2216" s="146"/>
      <c r="L2216" s="96"/>
      <c r="M2216" s="56">
        <v>630</v>
      </c>
    </row>
    <row r="2217" spans="1:13" s="51" customFormat="1" ht="25.2" hidden="1" customHeight="1">
      <c r="A2217" s="68">
        <f t="shared" si="91"/>
        <v>0</v>
      </c>
      <c r="B2217" s="69" t="s">
        <v>231</v>
      </c>
      <c r="C2217" s="69"/>
      <c r="D2217" s="111"/>
      <c r="E2217" s="88">
        <f>VLOOKUP($B2217,[1]DG!A:D,[1]DG!$B$2,)</f>
        <v>0</v>
      </c>
      <c r="F2217" s="89" t="str">
        <f>VLOOKUP($B2217,[1]DG!A:D,[1]DG!$C$2,)</f>
        <v>Boulon 16x50+ 2 long đền vuông D18-50x50x3/Zn</v>
      </c>
      <c r="G2217" s="88" t="s">
        <v>375</v>
      </c>
      <c r="H2217" s="145">
        <f>H2212*2</f>
        <v>0</v>
      </c>
      <c r="I2217" s="91">
        <f t="shared" si="90"/>
        <v>0</v>
      </c>
      <c r="J2217" s="146"/>
      <c r="K2217" s="146"/>
      <c r="L2217" s="96"/>
      <c r="M2217" s="56">
        <v>630</v>
      </c>
    </row>
    <row r="2218" spans="1:13" s="51" customFormat="1" ht="25.2" hidden="1" customHeight="1">
      <c r="A2218" s="68">
        <f t="shared" si="91"/>
        <v>0</v>
      </c>
      <c r="B2218" s="69" t="s">
        <v>381</v>
      </c>
      <c r="C2218" s="69"/>
      <c r="D2218" s="111"/>
      <c r="E2218" s="88">
        <f>VLOOKUP($B2218,[1]DG!A:D,[1]DG!$B$2,)</f>
        <v>0</v>
      </c>
      <c r="F2218" s="89" t="str">
        <f>VLOOKUP($B2218,[1]DG!A:D,[1]DG!$C$2,)</f>
        <v>Bass LI bắt FCO</v>
      </c>
      <c r="G2218" s="88" t="s">
        <v>375</v>
      </c>
      <c r="H2218" s="145">
        <f>IF(H2212&gt;0,3,)</f>
        <v>0</v>
      </c>
      <c r="I2218" s="91">
        <f t="shared" si="90"/>
        <v>0</v>
      </c>
      <c r="J2218" s="146"/>
      <c r="K2218" s="146"/>
      <c r="L2218" s="96"/>
      <c r="M2218" s="56">
        <v>630</v>
      </c>
    </row>
    <row r="2219" spans="1:13" s="51" customFormat="1" ht="25.2" hidden="1" customHeight="1">
      <c r="A2219" s="68">
        <f t="shared" si="91"/>
        <v>0</v>
      </c>
      <c r="B2219" s="69" t="s">
        <v>382</v>
      </c>
      <c r="C2219" s="69"/>
      <c r="D2219" s="111"/>
      <c r="E2219" s="88" t="str">
        <f>VLOOKUP($B2219,[1]DG!A:D,[1]DG!$B$2,)</f>
        <v>06.3231</v>
      </c>
      <c r="F2219" s="89" t="str">
        <f>VLOOKUP($B2219,[1]DG!A:D,[1]DG!$C$2,)</f>
        <v xml:space="preserve">Cổ dê chống lắc 8x80x800 </v>
      </c>
      <c r="G2219" s="88" t="s">
        <v>375</v>
      </c>
      <c r="H2219" s="145">
        <f>H2212*0</f>
        <v>0</v>
      </c>
      <c r="I2219" s="91">
        <f t="shared" si="90"/>
        <v>0</v>
      </c>
      <c r="J2219" s="146"/>
      <c r="K2219" s="146"/>
      <c r="L2219" s="96"/>
      <c r="M2219" s="56">
        <v>630</v>
      </c>
    </row>
    <row r="2220" spans="1:13" s="51" customFormat="1" ht="25.2" hidden="1" customHeight="1">
      <c r="A2220" s="68">
        <f t="shared" si="91"/>
        <v>0</v>
      </c>
      <c r="B2220" s="69" t="s">
        <v>383</v>
      </c>
      <c r="C2220" s="69"/>
      <c r="D2220" s="111"/>
      <c r="E2220" s="88" t="str">
        <f>VLOOKUP($B2220,[1]DG!A:D,[1]DG!$B$2,)</f>
        <v>05.6102</v>
      </c>
      <c r="F2220" s="89" t="str">
        <f>VLOOKUP($B2220,[1]DG!A:D,[1]DG!$C$2,)</f>
        <v>Lắp xà đỡ ≤ 50kg</v>
      </c>
      <c r="G2220" s="88" t="s">
        <v>375</v>
      </c>
      <c r="H2220" s="145">
        <f>H2212</f>
        <v>0</v>
      </c>
      <c r="I2220" s="91">
        <f t="shared" si="90"/>
        <v>0</v>
      </c>
      <c r="J2220" s="146"/>
      <c r="K2220" s="146"/>
      <c r="L2220" s="96"/>
      <c r="M2220" s="56">
        <v>630</v>
      </c>
    </row>
    <row r="2221" spans="1:13" s="51" customFormat="1" ht="25.2" hidden="1" customHeight="1">
      <c r="A2221" s="68">
        <f t="shared" si="91"/>
        <v>0</v>
      </c>
      <c r="B2221" s="69"/>
      <c r="C2221" s="69"/>
      <c r="D2221" s="220">
        <f>IF(H2221&gt;0,D2212+1,D2212)</f>
        <v>0</v>
      </c>
      <c r="E2221" s="238"/>
      <c r="F2221" s="329" t="s">
        <v>384</v>
      </c>
      <c r="G2221" s="220" t="s">
        <v>67</v>
      </c>
      <c r="H2221" s="240">
        <f>H2144</f>
        <v>0</v>
      </c>
      <c r="I2221" s="91">
        <f t="shared" si="90"/>
        <v>0</v>
      </c>
      <c r="J2221" s="146"/>
      <c r="K2221" s="146"/>
      <c r="L2221" s="96"/>
      <c r="M2221" s="56">
        <v>630</v>
      </c>
    </row>
    <row r="2222" spans="1:13" s="51" customFormat="1" ht="25.2" hidden="1" customHeight="1">
      <c r="A2222" s="68">
        <f>IF(A2221&gt;0,1,0)</f>
        <v>0</v>
      </c>
      <c r="B2222" s="330"/>
      <c r="C2222" s="330"/>
      <c r="D2222" s="111"/>
      <c r="E2222" s="242"/>
      <c r="F2222" s="243" t="s">
        <v>68</v>
      </c>
      <c r="G2222" s="87"/>
      <c r="H2222" s="145"/>
      <c r="I2222" s="91">
        <f t="shared" si="90"/>
        <v>0</v>
      </c>
      <c r="J2222" s="146"/>
      <c r="K2222" s="146"/>
      <c r="L2222" s="96"/>
      <c r="M2222" s="56">
        <v>630</v>
      </c>
    </row>
    <row r="2223" spans="1:13" s="51" customFormat="1" ht="25.2" hidden="1" customHeight="1">
      <c r="A2223" s="68">
        <f t="shared" si="91"/>
        <v>0</v>
      </c>
      <c r="B2223" s="69" t="s">
        <v>81</v>
      </c>
      <c r="C2223" s="69"/>
      <c r="D2223" s="111"/>
      <c r="E2223" s="88">
        <f>VLOOKUP($B2223,[1]DG!A:D,[1]DG!$B$2,)</f>
        <v>0</v>
      </c>
      <c r="F2223" s="89" t="str">
        <f>VLOOKUP($B2223,[1]DG!A:D,[1]DG!$C$2,)</f>
        <v>Cáp đồng trần M25mm2</v>
      </c>
      <c r="G2223" s="88" t="str">
        <f>VLOOKUP($B2223,[1]DG!A:D,[1]DG!$D$2,)</f>
        <v>kg</v>
      </c>
      <c r="H2223" s="145">
        <f>I3*0.224*H2221</f>
        <v>0</v>
      </c>
      <c r="I2223" s="91">
        <f t="shared" si="90"/>
        <v>0</v>
      </c>
      <c r="J2223" s="146"/>
      <c r="K2223" s="146"/>
      <c r="L2223" s="96"/>
      <c r="M2223" s="56">
        <v>630</v>
      </c>
    </row>
    <row r="2224" spans="1:13" s="51" customFormat="1" ht="25.2" hidden="1" customHeight="1">
      <c r="A2224" s="68">
        <f t="shared" si="91"/>
        <v>0</v>
      </c>
      <c r="B2224" s="69" t="s">
        <v>81</v>
      </c>
      <c r="C2224" s="69"/>
      <c r="D2224" s="111"/>
      <c r="E2224" s="88">
        <f>VLOOKUP($B2224,[1]DG!A:D,[1]DG!$B$2,)</f>
        <v>0</v>
      </c>
      <c r="F2224" s="89" t="str">
        <f>VLOOKUP($B2224,[1]DG!A:D,[1]DG!$C$2,)&amp;": 17m noái leân voû caùc thieát bò"</f>
        <v>Cáp đồng trần M25mm2: 17m noái leân voû caùc thieát bò</v>
      </c>
      <c r="G2224" s="88" t="str">
        <f>VLOOKUP($B2224,[1]DG!A:D,[1]DG!$D$2,)</f>
        <v>kg</v>
      </c>
      <c r="H2224" s="145">
        <f>17*0.224*H2221*0</f>
        <v>0</v>
      </c>
      <c r="I2224" s="91">
        <f t="shared" si="90"/>
        <v>0</v>
      </c>
      <c r="J2224" s="146"/>
      <c r="K2224" s="146"/>
      <c r="L2224" s="96"/>
      <c r="M2224" s="56">
        <v>630</v>
      </c>
    </row>
    <row r="2225" spans="1:13" s="51" customFormat="1" ht="25.2" hidden="1" customHeight="1">
      <c r="A2225" s="68">
        <f t="shared" si="91"/>
        <v>0</v>
      </c>
      <c r="B2225" s="86" t="s">
        <v>82</v>
      </c>
      <c r="C2225" s="86"/>
      <c r="D2225" s="111"/>
      <c r="E2225" s="88">
        <f>VLOOKUP($B2225,[1]DG!A:D,[1]DG!$B$2,)</f>
        <v>0</v>
      </c>
      <c r="F2225" s="89" t="str">
        <f>VLOOKUP($B2225,[1]DG!A:D,[1]DG!$C$2,)</f>
        <v>Cọc tiếp đất Þ 16- 2,4m + kẹp cọc mạ đồng</v>
      </c>
      <c r="G2225" s="88" t="str">
        <f>VLOOKUP($B2225,[1]DG!A:D,[1]DG!$D$2,)</f>
        <v>bộ</v>
      </c>
      <c r="H2225" s="145">
        <f>I2*H2221</f>
        <v>0</v>
      </c>
      <c r="I2225" s="91">
        <f t="shared" si="90"/>
        <v>0</v>
      </c>
      <c r="J2225" s="146"/>
      <c r="K2225" s="146"/>
      <c r="L2225" s="96"/>
      <c r="M2225" s="56">
        <v>630</v>
      </c>
    </row>
    <row r="2226" spans="1:13" s="51" customFormat="1" ht="25.2" hidden="1" customHeight="1">
      <c r="A2226" s="68">
        <f t="shared" si="91"/>
        <v>0</v>
      </c>
      <c r="B2226" s="86" t="s">
        <v>83</v>
      </c>
      <c r="C2226" s="86"/>
      <c r="D2226" s="111"/>
      <c r="E2226" s="88" t="str">
        <f>VLOOKUP($B2226,[1]DG!A:D,[1]DG!$B$2,)</f>
        <v>07.2403</v>
      </c>
      <c r="F2226" s="89" t="str">
        <f>VLOOKUP($B2226,[1]DG!A:D,[1]DG!$C$2,)</f>
        <v xml:space="preserve">Ống PVC D21x1,6mm </v>
      </c>
      <c r="G2226" s="88" t="str">
        <f>VLOOKUP($B2226,[1]DG!A:D,[1]DG!$D$2,)</f>
        <v>m</v>
      </c>
      <c r="H2226" s="145">
        <f>H2221*12</f>
        <v>0</v>
      </c>
      <c r="I2226" s="91">
        <f t="shared" si="90"/>
        <v>0</v>
      </c>
      <c r="J2226" s="146"/>
      <c r="K2226" s="146"/>
      <c r="L2226" s="117"/>
      <c r="M2226" s="56">
        <v>630</v>
      </c>
    </row>
    <row r="2227" spans="1:13" s="51" customFormat="1" ht="25.2" hidden="1" customHeight="1">
      <c r="A2227" s="68">
        <f t="shared" si="91"/>
        <v>0</v>
      </c>
      <c r="B2227" s="69" t="s">
        <v>184</v>
      </c>
      <c r="C2227" s="69"/>
      <c r="D2227" s="111"/>
      <c r="E2227" s="88">
        <f>VLOOKUP($B2227,[1]DG!A:D,[1]DG!$B$2,)</f>
        <v>0</v>
      </c>
      <c r="F2227" s="89" t="str">
        <f>VLOOKUP($B2227,[1]DG!A:D,[1]DG!$C$2,)&amp; " bắt dây trung tính "</f>
        <v xml:space="preserve">Kẹp ép WR cỡ dây 50mm2 bắt dây trung tính </v>
      </c>
      <c r="G2227" s="88" t="str">
        <f>VLOOKUP($B2227,[1]DG!A:D,[1]DG!$D$2,)</f>
        <v>cái</v>
      </c>
      <c r="H2227" s="145">
        <f>2*H2221</f>
        <v>0</v>
      </c>
      <c r="I2227" s="91">
        <f t="shared" si="90"/>
        <v>0</v>
      </c>
      <c r="J2227" s="146"/>
      <c r="K2227" s="146"/>
      <c r="L2227" s="96"/>
      <c r="M2227" s="56">
        <v>630</v>
      </c>
    </row>
    <row r="2228" spans="1:13" s="51" customFormat="1" ht="25.2" hidden="1" customHeight="1">
      <c r="A2228" s="68">
        <f t="shared" si="91"/>
        <v>0</v>
      </c>
      <c r="B2228" s="69" t="s">
        <v>386</v>
      </c>
      <c r="C2228" s="69"/>
      <c r="D2228" s="331"/>
      <c r="E2228" s="88">
        <f>VLOOKUP($B2228,[1]DG!A:D,[1]DG!$B$2,)</f>
        <v>0</v>
      </c>
      <c r="F2228" s="89" t="str">
        <f>VLOOKUP($B2228,[1]DG!A:D,[1]DG!$C$2,)&amp;":bắt lưới TĐ"</f>
        <v>Kẹp ép cỡ dây 25mm2:bắt lưới TĐ</v>
      </c>
      <c r="G2228" s="88" t="str">
        <f>VLOOKUP($B2228,[1]DG!A:D,[1]DG!$D$2,)</f>
        <v>cái</v>
      </c>
      <c r="H2228" s="340">
        <f>H2221*11</f>
        <v>0</v>
      </c>
      <c r="I2228" s="91">
        <f t="shared" si="90"/>
        <v>0</v>
      </c>
      <c r="J2228" s="146"/>
      <c r="K2228" s="146"/>
      <c r="L2228" s="96"/>
      <c r="M2228" s="56">
        <v>630</v>
      </c>
    </row>
    <row r="2229" spans="1:13" s="51" customFormat="1" ht="25.2" hidden="1" customHeight="1">
      <c r="A2229" s="68">
        <f t="shared" si="91"/>
        <v>0</v>
      </c>
      <c r="B2229" s="86" t="s">
        <v>131</v>
      </c>
      <c r="C2229" s="86"/>
      <c r="D2229" s="111"/>
      <c r="E2229" s="88">
        <f>VLOOKUP($B2229,[1]DG!A:D,[1]DG!$B$2,)</f>
        <v>0</v>
      </c>
      <c r="F2229" s="89" t="str">
        <f>VLOOKUP($B2229,[1]DG!A:D,[1]DG!$C$2,)</f>
        <v>Boulon 12x40+ 2 long đền vuông D14-50x50x3/Zn</v>
      </c>
      <c r="G2229" s="88" t="str">
        <f>VLOOKUP($B2229,[1]DG!A:D,[1]DG!$D$2,)</f>
        <v>bộ</v>
      </c>
      <c r="H2229" s="145">
        <f>H2221*1</f>
        <v>0</v>
      </c>
      <c r="I2229" s="91">
        <f t="shared" si="90"/>
        <v>0</v>
      </c>
      <c r="J2229" s="146"/>
      <c r="K2229" s="146"/>
      <c r="L2229" s="96"/>
      <c r="M2229" s="56">
        <v>630</v>
      </c>
    </row>
    <row r="2230" spans="1:13" s="51" customFormat="1" ht="25.2" hidden="1" customHeight="1">
      <c r="A2230" s="68">
        <f t="shared" si="91"/>
        <v>0</v>
      </c>
      <c r="B2230" s="86" t="s">
        <v>198</v>
      </c>
      <c r="C2230" s="86"/>
      <c r="D2230" s="111"/>
      <c r="E2230" s="88" t="str">
        <f>VLOOKUP($B2230,[1]DG!A:D,[1]DG!$B$2,)</f>
        <v>03.4001</v>
      </c>
      <c r="F2230" s="89" t="str">
        <f>VLOOKUP($B2230,[1]DG!A:D,[1]DG!$C$2,)</f>
        <v>Đầu cosse ép Cu 25mm2</v>
      </c>
      <c r="G2230" s="88" t="str">
        <f>VLOOKUP($B2230,[1]DG!A:D,[1]DG!$D$2,)</f>
        <v>cái</v>
      </c>
      <c r="H2230" s="145">
        <f>H2229*2</f>
        <v>0</v>
      </c>
      <c r="I2230" s="91">
        <f t="shared" si="90"/>
        <v>0</v>
      </c>
      <c r="J2230" s="146"/>
      <c r="K2230" s="146"/>
      <c r="L2230" s="96"/>
      <c r="M2230" s="56">
        <v>630</v>
      </c>
    </row>
    <row r="2231" spans="1:13" s="51" customFormat="1" ht="25.2" hidden="1" customHeight="1">
      <c r="A2231" s="68">
        <f t="shared" si="91"/>
        <v>0</v>
      </c>
      <c r="B2231" s="86" t="s">
        <v>86</v>
      </c>
      <c r="C2231" s="86"/>
      <c r="D2231" s="111"/>
      <c r="E2231" s="88" t="str">
        <f>VLOOKUP($B2231,[1]DG!A:D,[1]DG!$B$2,)</f>
        <v>06.3231</v>
      </c>
      <c r="F2231" s="89" t="str">
        <f>VLOOKUP($B2231,[1]DG!A:D,[1]DG!$C$2,)&amp;": CD-250"</f>
        <v>Cổ dê kẹp ống PVC  21: CD-250</v>
      </c>
      <c r="G2231" s="88" t="str">
        <f>VLOOKUP($B2231,[1]DG!A:D,[1]DG!$D$2,)</f>
        <v>bộ</v>
      </c>
      <c r="H2231" s="145">
        <f>H2221*0.415</f>
        <v>0</v>
      </c>
      <c r="I2231" s="91">
        <f t="shared" si="90"/>
        <v>0</v>
      </c>
      <c r="J2231" s="146"/>
      <c r="K2231" s="146"/>
      <c r="L2231" s="117"/>
      <c r="M2231" s="56">
        <v>630</v>
      </c>
    </row>
    <row r="2232" spans="1:13" s="51" customFormat="1" ht="25.2" hidden="1" customHeight="1">
      <c r="A2232" s="68">
        <f t="shared" si="91"/>
        <v>0</v>
      </c>
      <c r="B2232" s="86" t="s">
        <v>86</v>
      </c>
      <c r="C2232" s="86"/>
      <c r="D2232" s="111"/>
      <c r="E2232" s="88" t="str">
        <f>VLOOKUP($B2232,[1]DG!A:D,[1]DG!$B$2,)</f>
        <v>06.3231</v>
      </c>
      <c r="F2232" s="89" t="str">
        <f>VLOOKUP($B2232,[1]DG!A:D,[1]DG!$C$2,)&amp;": CD-280"</f>
        <v>Cổ dê kẹp ống PVC  21: CD-280</v>
      </c>
      <c r="G2232" s="88" t="str">
        <f>VLOOKUP($B2232,[1]DG!A:D,[1]DG!$D$2,)</f>
        <v>bộ</v>
      </c>
      <c r="H2232" s="145">
        <f>H2221*0.452</f>
        <v>0</v>
      </c>
      <c r="I2232" s="91">
        <f t="shared" si="90"/>
        <v>0</v>
      </c>
      <c r="J2232" s="146"/>
      <c r="K2232" s="146"/>
      <c r="L2232" s="117"/>
      <c r="M2232" s="56">
        <v>630</v>
      </c>
    </row>
    <row r="2233" spans="1:13" s="51" customFormat="1" ht="25.2" hidden="1" customHeight="1">
      <c r="A2233" s="68">
        <f t="shared" si="91"/>
        <v>0</v>
      </c>
      <c r="B2233" s="86" t="s">
        <v>86</v>
      </c>
      <c r="C2233" s="86"/>
      <c r="D2233" s="111"/>
      <c r="E2233" s="88" t="str">
        <f>VLOOKUP($B2233,[1]DG!A:D,[1]DG!$B$2,)</f>
        <v>06.3231</v>
      </c>
      <c r="F2233" s="89" t="str">
        <f>VLOOKUP($B2233,[1]DG!A:D,[1]DG!$C$2,)&amp;": CD-320"</f>
        <v>Cổ dê kẹp ống PVC  21: CD-320</v>
      </c>
      <c r="G2233" s="88" t="str">
        <f>VLOOKUP($B2233,[1]DG!A:D,[1]DG!$D$2,)</f>
        <v>bộ</v>
      </c>
      <c r="H2233" s="145">
        <f>H2221*0.501</f>
        <v>0</v>
      </c>
      <c r="I2233" s="91">
        <f t="shared" si="90"/>
        <v>0</v>
      </c>
      <c r="J2233" s="146"/>
      <c r="K2233" s="146"/>
      <c r="L2233" s="117"/>
      <c r="M2233" s="56">
        <v>630</v>
      </c>
    </row>
    <row r="2234" spans="1:13" s="51" customFormat="1" ht="25.2" hidden="1" customHeight="1">
      <c r="A2234" s="68">
        <f t="shared" si="91"/>
        <v>0</v>
      </c>
      <c r="B2234" s="86" t="s">
        <v>87</v>
      </c>
      <c r="C2234" s="86"/>
      <c r="D2234" s="111"/>
      <c r="E2234" s="88" t="str">
        <f>VLOOKUP($B2234,[1]DG!A:D,[1]DG!$B$2,)</f>
        <v>06.2110</v>
      </c>
      <c r="F2234" s="89" t="str">
        <f>VLOOKUP($B2234,[1]DG!A:D,[1]DG!$C$2,)&amp;": CD-320"</f>
        <v>Lắp cổ dề: CD-320</v>
      </c>
      <c r="G2234" s="88" t="str">
        <f>VLOOKUP($B2234,[1]DG!A:D,[1]DG!$D$2,)</f>
        <v>bộ</v>
      </c>
      <c r="H2234" s="145">
        <f>H2222*0.501</f>
        <v>0</v>
      </c>
      <c r="I2234" s="91">
        <f t="shared" ref="I2234:I2297" si="92">IF(M2234=$M$23,H2234+J2234-K2234,0)</f>
        <v>0</v>
      </c>
      <c r="J2234" s="146"/>
      <c r="K2234" s="146"/>
      <c r="L2234" s="117"/>
      <c r="M2234" s="56">
        <v>630</v>
      </c>
    </row>
    <row r="2235" spans="1:13" s="51" customFormat="1" ht="25.2" hidden="1" customHeight="1">
      <c r="A2235" s="68">
        <f t="shared" si="91"/>
        <v>0</v>
      </c>
      <c r="B2235" s="86" t="s">
        <v>131</v>
      </c>
      <c r="C2235" s="86"/>
      <c r="D2235" s="111"/>
      <c r="E2235" s="88">
        <f>VLOOKUP($B2235,[1]DG!A:D,[1]DG!$B$2,)</f>
        <v>0</v>
      </c>
      <c r="F2235" s="89" t="str">
        <f>VLOOKUP($B2235,[1]DG!A:D,[1]DG!$C$2,)</f>
        <v>Boulon 12x40+ 2 long đền vuông D14-50x50x3/Zn</v>
      </c>
      <c r="G2235" s="88" t="str">
        <f>VLOOKUP($B2235,[1]DG!A:D,[1]DG!$D$2,)</f>
        <v>bộ</v>
      </c>
      <c r="H2235" s="145">
        <f>H2221*6</f>
        <v>0</v>
      </c>
      <c r="I2235" s="91">
        <f t="shared" si="92"/>
        <v>0</v>
      </c>
      <c r="J2235" s="146"/>
      <c r="K2235" s="146"/>
      <c r="L2235" s="117"/>
      <c r="M2235" s="56">
        <v>630</v>
      </c>
    </row>
    <row r="2236" spans="1:13" s="51" customFormat="1" ht="25.2" hidden="1" customHeight="1">
      <c r="A2236" s="68">
        <f t="shared" si="91"/>
        <v>0</v>
      </c>
      <c r="B2236" s="86" t="s">
        <v>290</v>
      </c>
      <c r="C2236" s="86"/>
      <c r="D2236" s="111"/>
      <c r="E2236" s="88">
        <f>VLOOKUP($B2236,[1]DG!A:D,[1]DG!$B$2,)</f>
        <v>0</v>
      </c>
      <c r="F2236" s="89" t="str">
        <f>VLOOKUP($B2236,[1]DG!A:D,[1]DG!$C$2,)</f>
        <v>Giếng tiếp địa khoan đất</v>
      </c>
      <c r="G2236" s="88" t="str">
        <f>VLOOKUP($B2236,[1]DG!A:D,[1]DG!$D$2,)</f>
        <v>Cái</v>
      </c>
      <c r="H2236" s="145">
        <f>L3*H2221</f>
        <v>0</v>
      </c>
      <c r="I2236" s="91">
        <f t="shared" si="92"/>
        <v>0</v>
      </c>
      <c r="J2236" s="146"/>
      <c r="K2236" s="146"/>
      <c r="L2236" s="96"/>
      <c r="M2236" s="56">
        <v>630</v>
      </c>
    </row>
    <row r="2237" spans="1:13" s="51" customFormat="1" ht="25.2" hidden="1" customHeight="1">
      <c r="A2237" s="68">
        <f t="shared" si="91"/>
        <v>0</v>
      </c>
      <c r="B2237" s="86" t="str">
        <f>"DTD"&amp;chitiet!G5</f>
        <v>DTD3</v>
      </c>
      <c r="C2237" s="86"/>
      <c r="D2237" s="87"/>
      <c r="E2237" s="88" t="str">
        <f>VLOOKUP($B2237,[1]DG!A:D,[1]DG!$B$2,)</f>
        <v>03.3123</v>
      </c>
      <c r="F2237" s="89" t="str">
        <f>VLOOKUP($B2237,[1]DG!A:D,[1]DG!$C$2,)</f>
        <v>Đào rãnh tiếp địa đất cấp 3</v>
      </c>
      <c r="G2237" s="88" t="str">
        <f>VLOOKUP($B2237,[1]DG!A:D,[1]DG!$D$2,)</f>
        <v>m3</v>
      </c>
      <c r="H2237" s="94">
        <f>I3*H2221</f>
        <v>0</v>
      </c>
      <c r="I2237" s="91">
        <f t="shared" si="92"/>
        <v>0</v>
      </c>
      <c r="J2237" s="146"/>
      <c r="K2237" s="146"/>
      <c r="L2237" s="96"/>
      <c r="M2237" s="56">
        <v>630</v>
      </c>
    </row>
    <row r="2238" spans="1:13" s="51" customFormat="1" ht="25.2" hidden="1" customHeight="1">
      <c r="A2238" s="68">
        <f t="shared" si="91"/>
        <v>0</v>
      </c>
      <c r="B2238" s="86" t="str">
        <f>"DATD"&amp;chitiet!G5</f>
        <v>DATD3</v>
      </c>
      <c r="C2238" s="86"/>
      <c r="D2238" s="87"/>
      <c r="E2238" s="88" t="str">
        <f>VLOOKUP($B2238,[1]DG!A:D,[1]DG!$B$2,)</f>
        <v>03.4123</v>
      </c>
      <c r="F2238" s="89" t="str">
        <f>VLOOKUP($B2238,[1]DG!A:D,[1]DG!$C$2,)</f>
        <v>Đắp đất rãnh tiếp độ chặt k=0,85</v>
      </c>
      <c r="G2238" s="88" t="str">
        <f>VLOOKUP($B2238,[1]DG!A:D,[1]DG!$D$2,)</f>
        <v>m3</v>
      </c>
      <c r="H2238" s="94">
        <f>H2237</f>
        <v>0</v>
      </c>
      <c r="I2238" s="91">
        <f t="shared" si="92"/>
        <v>0</v>
      </c>
      <c r="J2238" s="146"/>
      <c r="K2238" s="146"/>
      <c r="L2238" s="96"/>
      <c r="M2238" s="56">
        <v>630</v>
      </c>
    </row>
    <row r="2239" spans="1:13" s="51" customFormat="1" ht="25.2" hidden="1" customHeight="1">
      <c r="A2239" s="68">
        <f t="shared" si="91"/>
        <v>0</v>
      </c>
      <c r="B2239" s="86" t="s">
        <v>89</v>
      </c>
      <c r="C2239" s="86"/>
      <c r="D2239" s="87"/>
      <c r="E2239" s="88" t="str">
        <f>VLOOKUP($B2239,[1]DG!A:D,[1]DG!$B$2,)</f>
        <v>04.7001</v>
      </c>
      <c r="F2239" s="89" t="str">
        <f>VLOOKUP($B2239,[1]DG!A:D,[1]DG!$C$2,)</f>
        <v>Đóng cọc tiếp địa trong TBA</v>
      </c>
      <c r="G2239" s="88" t="str">
        <f>VLOOKUP($B2239,[1]DG!A:D,[1]DG!$D$2,)</f>
        <v>cọc</v>
      </c>
      <c r="H2239" s="94">
        <f>H2225</f>
        <v>0</v>
      </c>
      <c r="I2239" s="91">
        <f t="shared" si="92"/>
        <v>0</v>
      </c>
      <c r="J2239" s="146"/>
      <c r="K2239" s="146"/>
      <c r="L2239" s="96"/>
      <c r="M2239" s="56">
        <v>630</v>
      </c>
    </row>
    <row r="2240" spans="1:13" s="51" customFormat="1" ht="25.2" hidden="1" customHeight="1">
      <c r="A2240" s="68">
        <f t="shared" si="91"/>
        <v>0</v>
      </c>
      <c r="B2240" s="86" t="s">
        <v>387</v>
      </c>
      <c r="C2240" s="86"/>
      <c r="D2240" s="111"/>
      <c r="E2240" s="88" t="str">
        <f>VLOOKUP($B2240,[1]DG!A:D,[1]DG!$B$2,)</f>
        <v>04.7002</v>
      </c>
      <c r="F2240" s="89" t="str">
        <f>VLOOKUP($B2240,[1]DG!A:D,[1]DG!$C$2,)</f>
        <v>Kéo dây tiếp địa trong TBA</v>
      </c>
      <c r="G2240" s="88" t="str">
        <f>VLOOKUP($B2240,[1]DG!A:D,[1]DG!$D$2,)</f>
        <v>mét</v>
      </c>
      <c r="H2240" s="145">
        <f>H2221*I3</f>
        <v>0</v>
      </c>
      <c r="I2240" s="91">
        <f t="shared" si="92"/>
        <v>0</v>
      </c>
      <c r="J2240" s="146"/>
      <c r="K2240" s="146"/>
      <c r="L2240" s="96"/>
      <c r="M2240" s="56">
        <v>630</v>
      </c>
    </row>
    <row r="2241" spans="1:16" s="51" customFormat="1" ht="25.2" hidden="1" customHeight="1">
      <c r="A2241" s="68">
        <f t="shared" si="91"/>
        <v>0</v>
      </c>
      <c r="B2241" s="69"/>
      <c r="C2241" s="69"/>
      <c r="D2241" s="220">
        <f>IF(H2241&gt;0,D2221+1,D2221)</f>
        <v>0</v>
      </c>
      <c r="E2241" s="238"/>
      <c r="F2241" s="239" t="s">
        <v>388</v>
      </c>
      <c r="G2241" s="220" t="s">
        <v>67</v>
      </c>
      <c r="H2241" s="240">
        <f>H2149</f>
        <v>0</v>
      </c>
      <c r="I2241" s="91">
        <f t="shared" si="92"/>
        <v>0</v>
      </c>
      <c r="J2241" s="146"/>
      <c r="K2241" s="146"/>
      <c r="L2241" s="117"/>
      <c r="M2241" s="56">
        <v>630</v>
      </c>
    </row>
    <row r="2242" spans="1:16" s="51" customFormat="1" ht="25.2" hidden="1" customHeight="1">
      <c r="A2242" s="68">
        <f>IF(A2241&gt;0,1,0)</f>
        <v>0</v>
      </c>
      <c r="B2242" s="69"/>
      <c r="C2242" s="69"/>
      <c r="D2242" s="111"/>
      <c r="E2242" s="242"/>
      <c r="F2242" s="243" t="s">
        <v>68</v>
      </c>
      <c r="G2242" s="87"/>
      <c r="H2242" s="145"/>
      <c r="I2242" s="91">
        <f t="shared" si="92"/>
        <v>0</v>
      </c>
      <c r="J2242" s="146"/>
      <c r="K2242" s="146"/>
      <c r="L2242" s="117"/>
      <c r="M2242" s="56">
        <v>630</v>
      </c>
    </row>
    <row r="2243" spans="1:16" s="51" customFormat="1" ht="25.2" hidden="1" customHeight="1">
      <c r="A2243" s="68">
        <f t="shared" si="91"/>
        <v>0</v>
      </c>
      <c r="B2243" s="69" t="s">
        <v>293</v>
      </c>
      <c r="C2243" s="69"/>
      <c r="D2243" s="87"/>
      <c r="E2243" s="88">
        <f>VLOOKUP($B2243,[1]DG!A:D,[1]DG!$B$2,)</f>
        <v>0</v>
      </c>
      <c r="F2243" s="89" t="str">
        <f>VLOOKUP($B2243,[1]DG!A:D,[1]DG!$C$2,)</f>
        <v>Ximăng (PC40)</v>
      </c>
      <c r="G2243" s="88" t="str">
        <f>VLOOKUP($B2243,[1]DG!A:D,[1]DG!$D$2,)</f>
        <v>kg</v>
      </c>
      <c r="H2243" s="145">
        <f>H2241*M2246</f>
        <v>0</v>
      </c>
      <c r="I2243" s="91">
        <f t="shared" si="92"/>
        <v>0</v>
      </c>
      <c r="J2243" s="146"/>
      <c r="K2243" s="146"/>
      <c r="L2243" s="117"/>
      <c r="M2243" s="56">
        <v>630</v>
      </c>
    </row>
    <row r="2244" spans="1:16" s="51" customFormat="1" ht="25.2" hidden="1" customHeight="1">
      <c r="A2244" s="68">
        <f t="shared" si="91"/>
        <v>0</v>
      </c>
      <c r="B2244" s="69" t="s">
        <v>389</v>
      </c>
      <c r="C2244" s="69"/>
      <c r="D2244" s="111"/>
      <c r="E2244" s="88">
        <f>VLOOKUP($B2244,[1]DG!A:D,[1]DG!$B$2,)</f>
        <v>0</v>
      </c>
      <c r="F2244" s="89" t="str">
        <f>VLOOKUP($B2244,[1]DG!A:D,[1]DG!$C$2,)</f>
        <v>Cát vàng</v>
      </c>
      <c r="G2244" s="88" t="str">
        <f>VLOOKUP($B2244,[1]DG!A:D,[1]DG!$D$2,)</f>
        <v>m3</v>
      </c>
      <c r="H2244" s="145">
        <f>H2241*N2246</f>
        <v>0</v>
      </c>
      <c r="I2244" s="91">
        <f t="shared" si="92"/>
        <v>0</v>
      </c>
      <c r="J2244" s="146"/>
      <c r="K2244" s="146"/>
      <c r="L2244" s="117"/>
      <c r="M2244" s="56">
        <v>630</v>
      </c>
    </row>
    <row r="2245" spans="1:16" s="51" customFormat="1" ht="25.2" hidden="1" customHeight="1">
      <c r="A2245" s="68">
        <f t="shared" si="91"/>
        <v>0</v>
      </c>
      <c r="B2245" s="69" t="s">
        <v>295</v>
      </c>
      <c r="C2245" s="69"/>
      <c r="D2245" s="111"/>
      <c r="E2245" s="88">
        <f>VLOOKUP($B2245,[1]DG!A:D,[1]DG!$B$2,)</f>
        <v>0</v>
      </c>
      <c r="F2245" s="89" t="str">
        <f>VLOOKUP($B2245,[1]DG!A:D,[1]DG!$C$2,)</f>
        <v>Đá 1x2</v>
      </c>
      <c r="G2245" s="88" t="str">
        <f>VLOOKUP($B2245,[1]DG!A:D,[1]DG!$D$2,)</f>
        <v>m3</v>
      </c>
      <c r="H2245" s="145">
        <f>H2241*O2246</f>
        <v>0</v>
      </c>
      <c r="I2245" s="91">
        <f t="shared" si="92"/>
        <v>0</v>
      </c>
      <c r="J2245" s="146"/>
      <c r="K2245" s="146"/>
      <c r="L2245" s="117"/>
      <c r="M2245" s="56">
        <v>630</v>
      </c>
    </row>
    <row r="2246" spans="1:16" s="51" customFormat="1" ht="25.2" hidden="1" customHeight="1">
      <c r="A2246" s="68">
        <f t="shared" si="91"/>
        <v>0</v>
      </c>
      <c r="B2246" s="69" t="s">
        <v>296</v>
      </c>
      <c r="C2246" s="69"/>
      <c r="D2246" s="87"/>
      <c r="E2246" s="88" t="str">
        <f>VLOOKUP($B2246,[1]DG!A:D,[1]DG!$B$2,)</f>
        <v>04.1203c</v>
      </c>
      <c r="F2246" s="89" t="str">
        <f>VLOOKUP($B2246,[1]DG!A:D,[1]DG!$C$2,)</f>
        <v>Đổ bê tông móng trụ &lt;=250cm-M200 đá 1x2</v>
      </c>
      <c r="G2246" s="88" t="str">
        <f>VLOOKUP($B2246,[1]DG!A:D,[1]DG!$D$2,)</f>
        <v>m3</v>
      </c>
      <c r="H2246" s="145">
        <f>H2241*(0.4*3*1-2*3.14*0.15^2*0.4)*1.025</f>
        <v>0</v>
      </c>
      <c r="I2246" s="91">
        <f t="shared" si="92"/>
        <v>0</v>
      </c>
      <c r="J2246" s="146"/>
      <c r="K2246" s="146"/>
      <c r="L2246" s="117"/>
      <c r="M2246" s="56">
        <v>630</v>
      </c>
      <c r="N2246" s="245">
        <f>1.025*0.45</f>
        <v>0.46124999999999999</v>
      </c>
      <c r="O2246" s="245">
        <f>1.025*0.866</f>
        <v>0.88764999999999994</v>
      </c>
      <c r="P2246" s="246"/>
    </row>
    <row r="2247" spans="1:16" s="51" customFormat="1" ht="25.2" hidden="1" customHeight="1">
      <c r="A2247" s="68">
        <f t="shared" si="91"/>
        <v>0</v>
      </c>
      <c r="B2247" s="69"/>
      <c r="C2247" s="69"/>
      <c r="D2247" s="220">
        <f>IF(H2247&gt;0,D2241+1,D2241)</f>
        <v>0</v>
      </c>
      <c r="E2247" s="238"/>
      <c r="F2247" s="239" t="s">
        <v>390</v>
      </c>
      <c r="G2247" s="220" t="s">
        <v>67</v>
      </c>
      <c r="H2247" s="240"/>
      <c r="I2247" s="91">
        <f t="shared" si="92"/>
        <v>0</v>
      </c>
      <c r="J2247" s="146"/>
      <c r="K2247" s="146"/>
      <c r="L2247" s="117"/>
      <c r="M2247" s="56">
        <v>630</v>
      </c>
    </row>
    <row r="2248" spans="1:16" s="51" customFormat="1" ht="25.2" hidden="1" customHeight="1">
      <c r="A2248" s="68">
        <f>IF(A2247&gt;0,1,0)</f>
        <v>0</v>
      </c>
      <c r="B2248" s="69"/>
      <c r="C2248" s="69"/>
      <c r="D2248" s="111"/>
      <c r="E2248" s="242"/>
      <c r="F2248" s="243" t="s">
        <v>68</v>
      </c>
      <c r="G2248" s="87"/>
      <c r="H2248" s="145"/>
      <c r="I2248" s="91">
        <f t="shared" si="92"/>
        <v>0</v>
      </c>
      <c r="J2248" s="146"/>
      <c r="K2248" s="146"/>
      <c r="L2248" s="117"/>
      <c r="M2248" s="56">
        <v>630</v>
      </c>
    </row>
    <row r="2249" spans="1:16" s="51" customFormat="1" ht="25.2" hidden="1" customHeight="1">
      <c r="A2249" s="68">
        <f t="shared" si="91"/>
        <v>0</v>
      </c>
      <c r="B2249" s="69" t="s">
        <v>293</v>
      </c>
      <c r="C2249" s="69"/>
      <c r="D2249" s="87"/>
      <c r="E2249" s="88">
        <f>VLOOKUP($B2249,[1]DG!A:D,[1]DG!$B$2,)</f>
        <v>0</v>
      </c>
      <c r="F2249" s="89" t="str">
        <f>VLOOKUP($B2249,[1]DG!A:D,[1]DG!$C$2,)</f>
        <v>Ximăng (PC40)</v>
      </c>
      <c r="G2249" s="88" t="str">
        <f>VLOOKUP($B2249,[1]DG!A:D,[1]DG!$D$2,)</f>
        <v>kg</v>
      </c>
      <c r="H2249" s="145">
        <f>H2252*M2252</f>
        <v>0</v>
      </c>
      <c r="I2249" s="91">
        <f t="shared" si="92"/>
        <v>0</v>
      </c>
      <c r="J2249" s="146"/>
      <c r="K2249" s="146"/>
      <c r="L2249" s="117"/>
      <c r="M2249" s="56">
        <v>630</v>
      </c>
    </row>
    <row r="2250" spans="1:16" s="51" customFormat="1" ht="25.2" hidden="1" customHeight="1">
      <c r="A2250" s="68">
        <f t="shared" si="91"/>
        <v>0</v>
      </c>
      <c r="B2250" s="69" t="s">
        <v>389</v>
      </c>
      <c r="C2250" s="69"/>
      <c r="D2250" s="111"/>
      <c r="E2250" s="88">
        <f>VLOOKUP($B2250,[1]DG!A:D,[1]DG!$B$2,)</f>
        <v>0</v>
      </c>
      <c r="F2250" s="89" t="str">
        <f>VLOOKUP($B2250,[1]DG!A:D,[1]DG!$C$2,)</f>
        <v>Cát vàng</v>
      </c>
      <c r="G2250" s="88" t="str">
        <f>VLOOKUP($B2250,[1]DG!A:D,[1]DG!$D$2,)</f>
        <v>m3</v>
      </c>
      <c r="H2250" s="244">
        <f>H2252*N2252</f>
        <v>0</v>
      </c>
      <c r="I2250" s="91">
        <f t="shared" si="92"/>
        <v>0</v>
      </c>
      <c r="J2250" s="146"/>
      <c r="K2250" s="146"/>
      <c r="L2250" s="117"/>
      <c r="M2250" s="56">
        <v>630</v>
      </c>
    </row>
    <row r="2251" spans="1:16" s="51" customFormat="1" ht="25.2" hidden="1" customHeight="1">
      <c r="A2251" s="68">
        <f t="shared" si="91"/>
        <v>0</v>
      </c>
      <c r="B2251" s="69" t="s">
        <v>295</v>
      </c>
      <c r="C2251" s="69"/>
      <c r="D2251" s="111"/>
      <c r="E2251" s="88">
        <f>VLOOKUP($B2251,[1]DG!A:D,[1]DG!$B$2,)</f>
        <v>0</v>
      </c>
      <c r="F2251" s="89" t="str">
        <f>VLOOKUP($B2251,[1]DG!A:D,[1]DG!$C$2,)</f>
        <v>Đá 1x2</v>
      </c>
      <c r="G2251" s="88" t="str">
        <f>VLOOKUP($B2251,[1]DG!A:D,[1]DG!$D$2,)</f>
        <v>m3</v>
      </c>
      <c r="H2251" s="244">
        <f>H2252*O2252</f>
        <v>0</v>
      </c>
      <c r="I2251" s="91">
        <f t="shared" si="92"/>
        <v>0</v>
      </c>
      <c r="J2251" s="146"/>
      <c r="K2251" s="146"/>
      <c r="L2251" s="117"/>
      <c r="M2251" s="56">
        <v>630</v>
      </c>
    </row>
    <row r="2252" spans="1:16" s="51" customFormat="1" ht="25.2" hidden="1" customHeight="1">
      <c r="A2252" s="68">
        <f t="shared" si="91"/>
        <v>0</v>
      </c>
      <c r="B2252" s="69" t="s">
        <v>296</v>
      </c>
      <c r="C2252" s="69"/>
      <c r="D2252" s="87"/>
      <c r="E2252" s="88" t="str">
        <f>VLOOKUP($B2252,[1]DG!A:D,[1]DG!$B$2,)</f>
        <v>04.1203c</v>
      </c>
      <c r="F2252" s="89" t="str">
        <f>VLOOKUP($B2252,[1]DG!A:D,[1]DG!$C$2,)</f>
        <v>Đổ bê tông móng trụ &lt;=250cm-M200 đá 1x2</v>
      </c>
      <c r="G2252" s="88" t="str">
        <f>VLOOKUP($B2252,[1]DG!A:D,[1]DG!$D$2,)</f>
        <v>m3</v>
      </c>
      <c r="H2252" s="145">
        <f>H2247*0.2*0.2*(0.2+0.2+0.8+0.8+2*4)</f>
        <v>0</v>
      </c>
      <c r="I2252" s="91">
        <f t="shared" si="92"/>
        <v>0</v>
      </c>
      <c r="J2252" s="146"/>
      <c r="K2252" s="146"/>
      <c r="L2252" s="117"/>
      <c r="M2252" s="56">
        <v>630</v>
      </c>
      <c r="N2252" s="245">
        <f>1.025*0.45</f>
        <v>0.46124999999999999</v>
      </c>
      <c r="O2252" s="245">
        <f>1.025*0.866</f>
        <v>0.88764999999999994</v>
      </c>
      <c r="P2252" s="246"/>
    </row>
    <row r="2253" spans="1:16" s="51" customFormat="1" ht="25.2" hidden="1" customHeight="1">
      <c r="A2253" s="68">
        <f t="shared" si="91"/>
        <v>0</v>
      </c>
      <c r="B2253" s="69"/>
      <c r="C2253" s="69"/>
      <c r="D2253" s="220">
        <f>IF(H2253&gt;0,D2247+1,D2247)</f>
        <v>0</v>
      </c>
      <c r="E2253" s="238"/>
      <c r="F2253" s="239" t="s">
        <v>391</v>
      </c>
      <c r="G2253" s="220" t="s">
        <v>67</v>
      </c>
      <c r="H2253" s="240">
        <f>H2144</f>
        <v>0</v>
      </c>
      <c r="I2253" s="91">
        <f t="shared" si="92"/>
        <v>0</v>
      </c>
      <c r="J2253" s="146"/>
      <c r="K2253" s="146"/>
      <c r="L2253" s="96"/>
      <c r="M2253" s="56">
        <v>630</v>
      </c>
    </row>
    <row r="2254" spans="1:16" s="51" customFormat="1" ht="25.2" hidden="1" customHeight="1">
      <c r="A2254" s="68">
        <f>IF(A2253&gt;0,1,0)</f>
        <v>0</v>
      </c>
      <c r="B2254" s="69"/>
      <c r="C2254" s="69"/>
      <c r="D2254" s="111"/>
      <c r="E2254" s="242"/>
      <c r="F2254" s="243" t="s">
        <v>68</v>
      </c>
      <c r="G2254" s="87"/>
      <c r="H2254" s="145"/>
      <c r="I2254" s="91">
        <f t="shared" si="92"/>
        <v>0</v>
      </c>
      <c r="J2254" s="146"/>
      <c r="K2254" s="146"/>
      <c r="L2254" s="96"/>
      <c r="M2254" s="56">
        <v>630</v>
      </c>
    </row>
    <row r="2255" spans="1:16" s="51" customFormat="1" ht="25.2" hidden="1" customHeight="1">
      <c r="A2255" s="68">
        <f t="shared" si="91"/>
        <v>0</v>
      </c>
      <c r="B2255" s="334" t="s">
        <v>392</v>
      </c>
      <c r="C2255" s="334"/>
      <c r="D2255" s="87"/>
      <c r="E2255" s="88" t="str">
        <f>VLOOKUP($B2255,[1]DG!A:D,[1]DG!$B$2,)</f>
        <v>05.1002</v>
      </c>
      <c r="F2255" s="89" t="str">
        <f>VLOOKUP($B2255,[1]DG!A:D,[1]DG!$C$2,)</f>
        <v>Vỏ tủ trạm giàn 2 ngăn + khóa tủ</v>
      </c>
      <c r="G2255" s="88" t="str">
        <f>VLOOKUP($B2255,[1]DG!A:D,[1]DG!$D$2,)</f>
        <v>cái</v>
      </c>
      <c r="H2255" s="145">
        <f>H2253</f>
        <v>0</v>
      </c>
      <c r="I2255" s="91">
        <f t="shared" si="92"/>
        <v>0</v>
      </c>
      <c r="J2255" s="146"/>
      <c r="K2255" s="146"/>
      <c r="L2255" s="96"/>
      <c r="M2255" s="56">
        <v>630</v>
      </c>
    </row>
    <row r="2256" spans="1:16" s="51" customFormat="1" ht="25.2" hidden="1" customHeight="1">
      <c r="A2256" s="68">
        <f t="shared" si="91"/>
        <v>0</v>
      </c>
      <c r="B2256" s="334" t="s">
        <v>500</v>
      </c>
      <c r="C2256" s="334"/>
      <c r="D2256" s="87"/>
      <c r="E2256" s="88" t="str">
        <f>VLOOKUP($B2256,[1]DG!A:D,[1]DG!$B$2,)</f>
        <v>05.1102</v>
      </c>
      <c r="F2256" s="89" t="str">
        <f>VLOOKUP($B2256,[1]DG!A:D,[1]DG!$C$2,)</f>
        <v>Khung đỡ tủ MCCB và tủ bù</v>
      </c>
      <c r="G2256" s="88" t="str">
        <f>VLOOKUP($B2256,[1]DG!A:D,[1]DG!$D$2,)</f>
        <v>trọn bộ</v>
      </c>
      <c r="H2256" s="145"/>
      <c r="I2256" s="91">
        <f t="shared" si="92"/>
        <v>0</v>
      </c>
      <c r="J2256" s="146"/>
      <c r="K2256" s="146"/>
      <c r="L2256" s="96"/>
      <c r="M2256" s="56">
        <v>630</v>
      </c>
    </row>
    <row r="2257" spans="1:14" s="51" customFormat="1" ht="25.2" hidden="1" customHeight="1">
      <c r="A2257" s="68">
        <f t="shared" si="91"/>
        <v>0</v>
      </c>
      <c r="B2257" s="69" t="s">
        <v>394</v>
      </c>
      <c r="C2257" s="69"/>
      <c r="D2257" s="111"/>
      <c r="E2257" s="88">
        <f>VLOOKUP($B2257,[1]DG!A:D,[1]DG!$B$2,)</f>
        <v>0</v>
      </c>
      <c r="F2257" s="89" t="str">
        <f>VLOOKUP($B2257,[1]DG!A:D,[1]DG!$C$2,)</f>
        <v>Giá nới + Thanh cái tủ CB</v>
      </c>
      <c r="G2257" s="88" t="str">
        <f>VLOOKUP($B2257,[1]DG!A:D,[1]DG!$D$2,)</f>
        <v>bộ</v>
      </c>
      <c r="H2257" s="244">
        <f>H2253*0</f>
        <v>0</v>
      </c>
      <c r="I2257" s="91">
        <f t="shared" si="92"/>
        <v>0</v>
      </c>
      <c r="J2257" s="146"/>
      <c r="K2257" s="146"/>
      <c r="L2257" s="96"/>
      <c r="M2257" s="56">
        <v>630</v>
      </c>
    </row>
    <row r="2258" spans="1:14" s="51" customFormat="1" ht="25.2" hidden="1" customHeight="1">
      <c r="A2258" s="68">
        <f t="shared" si="91"/>
        <v>0</v>
      </c>
      <c r="B2258" s="69" t="s">
        <v>96</v>
      </c>
      <c r="C2258" s="69"/>
      <c r="D2258" s="111"/>
      <c r="E2258" s="88">
        <f>VLOOKUP($B2258,[1]DG!A:D,[1]DG!$B$2,)</f>
        <v>0</v>
      </c>
      <c r="F2258" s="89" t="str">
        <f>VLOOKUP($B2258,[1]DG!A:D,[1]DG!$C$2,)</f>
        <v xml:space="preserve">Bakelit 550x450 dầy 10mm </v>
      </c>
      <c r="G2258" s="88" t="str">
        <f>VLOOKUP($B2258,[1]DG!A:D,[1]DG!$D$2,)</f>
        <v>cái</v>
      </c>
      <c r="H2258" s="244">
        <f>H2253*1</f>
        <v>0</v>
      </c>
      <c r="I2258" s="91">
        <f t="shared" si="92"/>
        <v>0</v>
      </c>
      <c r="J2258" s="146"/>
      <c r="K2258" s="146"/>
      <c r="L2258" s="96"/>
      <c r="M2258" s="56">
        <v>630</v>
      </c>
    </row>
    <row r="2259" spans="1:14" s="51" customFormat="1" ht="25.2" hidden="1" customHeight="1">
      <c r="A2259" s="68">
        <f t="shared" si="91"/>
        <v>0</v>
      </c>
      <c r="B2259" s="69" t="s">
        <v>117</v>
      </c>
      <c r="C2259" s="69"/>
      <c r="D2259" s="87"/>
      <c r="E2259" s="88" t="str">
        <f>VLOOKUP($B2259,[1]DG!A:D,[1]DG!$B$2,)</f>
        <v>06.3191</v>
      </c>
      <c r="F2259" s="89" t="str">
        <f>VLOOKUP($B2259,[1]DG!A:D,[1]DG!$C$2,)</f>
        <v>Bảng tên trạm, bảng báo nguy hiểm + đinh vít</v>
      </c>
      <c r="G2259" s="88" t="str">
        <f>VLOOKUP($B2259,[1]DG!A:D,[1]DG!$D$2,)</f>
        <v>bộ</v>
      </c>
      <c r="H2259" s="145">
        <f>H2253</f>
        <v>0</v>
      </c>
      <c r="I2259" s="91">
        <f t="shared" si="92"/>
        <v>0</v>
      </c>
      <c r="J2259" s="146"/>
      <c r="K2259" s="146"/>
      <c r="L2259" s="96"/>
      <c r="M2259" s="56">
        <v>630</v>
      </c>
    </row>
    <row r="2260" spans="1:14" s="51" customFormat="1" ht="25.2" hidden="1" customHeight="1">
      <c r="A2260" s="68">
        <f t="shared" si="91"/>
        <v>0</v>
      </c>
      <c r="B2260" s="69"/>
      <c r="C2260" s="69"/>
      <c r="D2260" s="220">
        <f>IF(H2260&gt;0,D2253+1,D2253)</f>
        <v>0</v>
      </c>
      <c r="E2260" s="238"/>
      <c r="F2260" s="239" t="s">
        <v>395</v>
      </c>
      <c r="G2260" s="220" t="s">
        <v>396</v>
      </c>
      <c r="H2260" s="240">
        <f>H2144*0</f>
        <v>0</v>
      </c>
      <c r="I2260" s="91">
        <f t="shared" si="92"/>
        <v>0</v>
      </c>
      <c r="J2260" s="146"/>
      <c r="K2260" s="146"/>
      <c r="L2260" s="117"/>
      <c r="M2260" s="56">
        <v>630</v>
      </c>
    </row>
    <row r="2261" spans="1:14" s="51" customFormat="1" ht="25.2" hidden="1" customHeight="1">
      <c r="A2261" s="68">
        <f>IF(A2260&gt;0,1,0)</f>
        <v>0</v>
      </c>
      <c r="B2261" s="69"/>
      <c r="C2261" s="69"/>
      <c r="D2261" s="111"/>
      <c r="E2261" s="242"/>
      <c r="F2261" s="243" t="s">
        <v>68</v>
      </c>
      <c r="G2261" s="87"/>
      <c r="H2261" s="145"/>
      <c r="I2261" s="91">
        <f t="shared" si="92"/>
        <v>0</v>
      </c>
      <c r="J2261" s="146"/>
      <c r="K2261" s="146"/>
      <c r="L2261" s="117"/>
      <c r="M2261" s="56">
        <v>630</v>
      </c>
    </row>
    <row r="2262" spans="1:14" s="51" customFormat="1" ht="25.2" hidden="1" customHeight="1">
      <c r="A2262" s="68">
        <f t="shared" si="91"/>
        <v>0</v>
      </c>
      <c r="B2262" s="69" t="s">
        <v>389</v>
      </c>
      <c r="C2262" s="69"/>
      <c r="D2262" s="87"/>
      <c r="E2262" s="88">
        <f>VLOOKUP($B2262,[1]DG!A:D,[1]DG!$B$2,)</f>
        <v>0</v>
      </c>
      <c r="F2262" s="92" t="str">
        <f>VLOOKUP($B2262,[1]DG!A:D,[1]DG!$C$2,)&amp;": 0,315m3/m"</f>
        <v>Cát vàng: 0,315m3/m</v>
      </c>
      <c r="G2262" s="88" t="str">
        <f>VLOOKUP($B2262,[1]DG!A:D,[1]DG!$D$2,)</f>
        <v>m3</v>
      </c>
      <c r="H2262" s="145">
        <f>H2260*0.315</f>
        <v>0</v>
      </c>
      <c r="I2262" s="91">
        <f t="shared" si="92"/>
        <v>0</v>
      </c>
      <c r="J2262" s="146"/>
      <c r="K2262" s="146"/>
      <c r="L2262" s="117"/>
      <c r="M2262" s="56">
        <v>630</v>
      </c>
    </row>
    <row r="2263" spans="1:14" s="51" customFormat="1" ht="25.2" hidden="1" customHeight="1">
      <c r="A2263" s="68">
        <f t="shared" si="91"/>
        <v>0</v>
      </c>
      <c r="B2263" s="98" t="s">
        <v>397</v>
      </c>
      <c r="C2263" s="98"/>
      <c r="D2263" s="87"/>
      <c r="E2263" s="88">
        <f>VLOOKUP($B2263,[1]DG!A:D,[1]DG!$B$2,)</f>
        <v>0</v>
      </c>
      <c r="F2263" s="92" t="str">
        <f>VLOOKUP($B2263,[1]DG!A:D,[1]DG!$C$2,)&amp;": 0,092m3/m"</f>
        <v>Đá 2x4: 0,092m3/m</v>
      </c>
      <c r="G2263" s="88" t="str">
        <f>VLOOKUP($B2263,[1]DG!A:D,[1]DG!$D$2,)</f>
        <v>m3</v>
      </c>
      <c r="H2263" s="145">
        <f>0.092*H2260</f>
        <v>0</v>
      </c>
      <c r="I2263" s="91">
        <f t="shared" si="92"/>
        <v>0</v>
      </c>
      <c r="J2263" s="146"/>
      <c r="K2263" s="146"/>
      <c r="L2263" s="117"/>
      <c r="M2263" s="56">
        <v>630</v>
      </c>
    </row>
    <row r="2264" spans="1:14" s="51" customFormat="1" ht="25.2" hidden="1" customHeight="1">
      <c r="A2264" s="68">
        <f t="shared" si="91"/>
        <v>0</v>
      </c>
      <c r="B2264" s="98" t="s">
        <v>398</v>
      </c>
      <c r="C2264" s="98"/>
      <c r="D2264" s="87"/>
      <c r="E2264" s="88">
        <f>VLOOKUP($B2264,[1]DG!A:D,[1]DG!$B$2,)</f>
        <v>0</v>
      </c>
      <c r="F2264" s="92" t="str">
        <f>VLOOKUP($B2264,[1]DG!A:D,[1]DG!$C$2,)&amp;": 3,3vieân/m"</f>
        <v>Gạch tàu: 3,3vieân/m</v>
      </c>
      <c r="G2264" s="88" t="str">
        <f>VLOOKUP($B2264,[1]DG!A:D,[1]DG!$D$2,)</f>
        <v>viên</v>
      </c>
      <c r="H2264" s="145">
        <f>3.3*H2260</f>
        <v>0</v>
      </c>
      <c r="I2264" s="91">
        <f t="shared" si="92"/>
        <v>0</v>
      </c>
      <c r="J2264" s="146"/>
      <c r="K2264" s="146"/>
      <c r="L2264" s="117"/>
      <c r="M2264" s="56">
        <v>630</v>
      </c>
    </row>
    <row r="2265" spans="1:14" s="51" customFormat="1" ht="25.2" hidden="1" customHeight="1">
      <c r="A2265" s="68">
        <f t="shared" si="91"/>
        <v>0</v>
      </c>
      <c r="B2265" s="98" t="s">
        <v>399</v>
      </c>
      <c r="C2265" s="98"/>
      <c r="D2265" s="87"/>
      <c r="E2265" s="88">
        <f>VLOOKUP($B2265,[1]DG!A:D,[1]DG!$B$2,)</f>
        <v>0</v>
      </c>
      <c r="F2265" s="92" t="str">
        <f>VLOOKUP($B2265,[1]DG!A:D,[1]DG!$C$2,)&amp;": 0,4m2/m"</f>
        <v>Tấm nilông màu cảnh báo: 0,4m2/m</v>
      </c>
      <c r="G2265" s="88" t="str">
        <f>VLOOKUP($B2265,[1]DG!A:D,[1]DG!$D$2,)</f>
        <v>m2</v>
      </c>
      <c r="H2265" s="145">
        <f>0.4*H2260</f>
        <v>0</v>
      </c>
      <c r="I2265" s="91">
        <f t="shared" si="92"/>
        <v>0</v>
      </c>
      <c r="J2265" s="146"/>
      <c r="K2265" s="146"/>
      <c r="L2265" s="117"/>
      <c r="M2265" s="56">
        <v>630</v>
      </c>
    </row>
    <row r="2266" spans="1:14" s="51" customFormat="1" ht="25.2" hidden="1" customHeight="1">
      <c r="A2266" s="68">
        <f t="shared" si="91"/>
        <v>0</v>
      </c>
      <c r="B2266" s="98" t="s">
        <v>400</v>
      </c>
      <c r="C2266" s="98"/>
      <c r="D2266" s="111"/>
      <c r="E2266" s="88">
        <f>VLOOKUP($B2266,[1]DG!A:D,[1]DG!$B$2,)</f>
        <v>0</v>
      </c>
      <c r="F2266" s="92" t="str">
        <f>VLOOKUP($B2266,[1]DG!A:D,[1]DG!$C$2,)</f>
        <v>Ống PVC D140x6,7mm</v>
      </c>
      <c r="G2266" s="88" t="str">
        <f>VLOOKUP($B2266,[1]DG!A:D,[1]DG!$D$2,)</f>
        <v>m</v>
      </c>
      <c r="H2266" s="145">
        <f>1*H2260</f>
        <v>0</v>
      </c>
      <c r="I2266" s="91">
        <f t="shared" si="92"/>
        <v>0</v>
      </c>
      <c r="J2266" s="146"/>
      <c r="K2266" s="146"/>
      <c r="L2266" s="117"/>
      <c r="M2266" s="56">
        <v>630</v>
      </c>
    </row>
    <row r="2267" spans="1:14" s="51" customFormat="1" ht="25.2" hidden="1" customHeight="1">
      <c r="A2267" s="68">
        <f t="shared" si="91"/>
        <v>0</v>
      </c>
      <c r="B2267" s="98" t="s">
        <v>401</v>
      </c>
      <c r="C2267" s="98"/>
      <c r="D2267" s="87"/>
      <c r="E2267" s="88" t="str">
        <f>VLOOKUP($B2267,[1]DG!A:D,[1]DG!$B$2,)</f>
        <v>03.7000</v>
      </c>
      <c r="F2267" s="92" t="str">
        <f>VLOOKUP($B2267,[1]DG!A:D,[1]DG!$C$2,)&amp;" + ñaép ñaù"</f>
        <v>Đắp cát  + ñaép ñaù</v>
      </c>
      <c r="G2267" s="88" t="str">
        <f>VLOOKUP($B2267,[1]DG!A:D,[1]DG!$D$2,)</f>
        <v>m3</v>
      </c>
      <c r="H2267" s="145">
        <f>H2262+H2263</f>
        <v>0</v>
      </c>
      <c r="I2267" s="91">
        <f t="shared" si="92"/>
        <v>0</v>
      </c>
      <c r="J2267" s="146"/>
      <c r="K2267" s="146"/>
      <c r="L2267" s="117"/>
      <c r="M2267" s="56">
        <v>630</v>
      </c>
    </row>
    <row r="2268" spans="1:14" s="51" customFormat="1" ht="25.2" hidden="1" customHeight="1">
      <c r="A2268" s="68">
        <f t="shared" si="91"/>
        <v>0</v>
      </c>
      <c r="B2268" s="98" t="s">
        <v>402</v>
      </c>
      <c r="C2268" s="98"/>
      <c r="D2268" s="87"/>
      <c r="E2268" s="88" t="str">
        <f>VLOOKUP($B2268,[1]DG!A:D,[1]DG!$B$2,)</f>
        <v>03.3103</v>
      </c>
      <c r="F2268" s="92" t="str">
        <f>VLOOKUP($B2268,[1]DG!A:D,[1]DG!$C$2,)&amp;" : 0,48m3/m"</f>
        <v>Đào mương cáp ngầm đất cấp 3 : 0,48m3/m</v>
      </c>
      <c r="G2268" s="88" t="str">
        <f>VLOOKUP($B2268,[1]DG!A:D,[1]DG!$D$2,)</f>
        <v>m3</v>
      </c>
      <c r="H2268" s="145">
        <f>H2260*0.48</f>
        <v>0</v>
      </c>
      <c r="I2268" s="91">
        <f t="shared" si="92"/>
        <v>0</v>
      </c>
      <c r="J2268" s="146"/>
      <c r="K2268" s="146"/>
      <c r="L2268" s="117"/>
      <c r="M2268" s="56">
        <v>630</v>
      </c>
    </row>
    <row r="2269" spans="1:14" s="51" customFormat="1" ht="25.2" hidden="1" customHeight="1">
      <c r="A2269" s="68">
        <f t="shared" si="91"/>
        <v>0</v>
      </c>
      <c r="B2269" s="98" t="s">
        <v>403</v>
      </c>
      <c r="C2269" s="98"/>
      <c r="D2269" s="87"/>
      <c r="E2269" s="88" t="str">
        <f>VLOOKUP($B2269,[1]DG!A:D,[1]DG!$B$2,)</f>
        <v>03.3203</v>
      </c>
      <c r="F2269" s="92" t="str">
        <f>VLOOKUP($B2269,[1]DG!A:D,[1]DG!$C$2,)&amp;" : 0,073m3/m"</f>
        <v>Đắp đất mương cáp ngầm, đất cấp 3 : 0,073m3/m</v>
      </c>
      <c r="G2269" s="88" t="str">
        <f>VLOOKUP($B2269,[1]DG!A:D,[1]DG!$D$2,)</f>
        <v>m3</v>
      </c>
      <c r="H2269" s="145">
        <f>H2260*0.073</f>
        <v>0</v>
      </c>
      <c r="I2269" s="91">
        <f t="shared" si="92"/>
        <v>0</v>
      </c>
      <c r="J2269" s="146"/>
      <c r="K2269" s="146"/>
      <c r="L2269" s="117"/>
      <c r="M2269" s="56">
        <v>630</v>
      </c>
      <c r="N2269" s="335">
        <v>0.47499999999999998</v>
      </c>
    </row>
    <row r="2270" spans="1:14" s="51" customFormat="1" ht="25.2" hidden="1" customHeight="1">
      <c r="A2270" s="68">
        <f t="shared" si="91"/>
        <v>0</v>
      </c>
      <c r="B2270" s="69"/>
      <c r="C2270" s="69"/>
      <c r="D2270" s="220">
        <f>IF(H2270&gt;0,D2260+1,D2260)</f>
        <v>0</v>
      </c>
      <c r="E2270" s="238"/>
      <c r="F2270" s="239" t="s">
        <v>404</v>
      </c>
      <c r="G2270" s="220" t="s">
        <v>67</v>
      </c>
      <c r="H2270" s="240">
        <f>H2279</f>
        <v>0</v>
      </c>
      <c r="I2270" s="91">
        <f t="shared" si="92"/>
        <v>0</v>
      </c>
      <c r="J2270" s="146"/>
      <c r="K2270" s="146"/>
      <c r="L2270" s="117"/>
      <c r="M2270" s="56">
        <v>630</v>
      </c>
      <c r="N2270" s="335">
        <v>0.88100000000000001</v>
      </c>
    </row>
    <row r="2271" spans="1:14" s="51" customFormat="1" ht="25.2" hidden="1" customHeight="1">
      <c r="A2271" s="68">
        <f>IF(A2270&gt;0,1,0)</f>
        <v>0</v>
      </c>
      <c r="B2271" s="69"/>
      <c r="C2271" s="69"/>
      <c r="D2271" s="111"/>
      <c r="E2271" s="242"/>
      <c r="F2271" s="243" t="s">
        <v>68</v>
      </c>
      <c r="G2271" s="87"/>
      <c r="H2271" s="145"/>
      <c r="I2271" s="91">
        <f t="shared" si="92"/>
        <v>0</v>
      </c>
      <c r="J2271" s="146"/>
      <c r="K2271" s="146"/>
      <c r="L2271" s="117"/>
      <c r="M2271" s="56">
        <v>630</v>
      </c>
    </row>
    <row r="2272" spans="1:14" s="51" customFormat="1" ht="25.2" hidden="1" customHeight="1">
      <c r="A2272" s="68">
        <f t="shared" ref="A2272:A2335" si="93">IF(I2272&gt;0,1,0)</f>
        <v>0</v>
      </c>
      <c r="B2272" s="69" t="s">
        <v>405</v>
      </c>
      <c r="C2272" s="69"/>
      <c r="D2272" s="87"/>
      <c r="E2272" s="88" t="str">
        <f>VLOOKUP($B2272,[1]DG!A:D,[1]DG!$B$2,)</f>
        <v>07.2204</v>
      </c>
      <c r="F2272" s="89" t="str">
        <f>VLOOKUP($B2272,[1]DG!A:D,[1]DG!$C$2,)</f>
        <v>ÔÁng sắt tráng kẽm D140</v>
      </c>
      <c r="G2272" s="88" t="str">
        <f>VLOOKUP($B2272,[1]DG!A:D,[1]DG!$D$2,)</f>
        <v>mét</v>
      </c>
      <c r="H2272" s="145">
        <f>H2270*5*0</f>
        <v>0</v>
      </c>
      <c r="I2272" s="91">
        <f t="shared" si="92"/>
        <v>0</v>
      </c>
      <c r="J2272" s="146"/>
      <c r="K2272" s="146"/>
      <c r="L2272" s="117"/>
      <c r="M2272" s="56">
        <v>630</v>
      </c>
    </row>
    <row r="2273" spans="1:13" s="51" customFormat="1" ht="25.2" hidden="1" customHeight="1">
      <c r="A2273" s="68">
        <f t="shared" si="93"/>
        <v>0</v>
      </c>
      <c r="B2273" s="98" t="s">
        <v>406</v>
      </c>
      <c r="C2273" s="98"/>
      <c r="D2273" s="111"/>
      <c r="E2273" s="88">
        <f>VLOOKUP($B2273,[1]DG!A:D,[1]DG!$B$2,)</f>
        <v>0</v>
      </c>
      <c r="F2273" s="89" t="str">
        <f>VLOOKUP($B2273,[1]DG!A:D,[1]DG!$C$2,)</f>
        <v>Co sừng 90 độ PVC 140</v>
      </c>
      <c r="G2273" s="88" t="str">
        <f>VLOOKUP($B2273,[1]DG!A:D,[1]DG!$D$2,)</f>
        <v>cái</v>
      </c>
      <c r="H2273" s="145">
        <f>H2270*0</f>
        <v>0</v>
      </c>
      <c r="I2273" s="91">
        <f t="shared" si="92"/>
        <v>0</v>
      </c>
      <c r="J2273" s="146"/>
      <c r="K2273" s="146"/>
      <c r="L2273" s="117"/>
      <c r="M2273" s="56">
        <v>630</v>
      </c>
    </row>
    <row r="2274" spans="1:13" s="51" customFormat="1" ht="25.2" hidden="1" customHeight="1">
      <c r="A2274" s="68">
        <f t="shared" si="93"/>
        <v>0</v>
      </c>
      <c r="B2274" s="69" t="s">
        <v>407</v>
      </c>
      <c r="C2274" s="69"/>
      <c r="D2274" s="87"/>
      <c r="E2274" s="88" t="str">
        <f>VLOOKUP($B2274,[1]DG!A:D,[1]DG!$B$2,)</f>
        <v>06.3231</v>
      </c>
      <c r="F2274" s="89" t="str">
        <f>VLOOKUP($B2274,[1]DG!A:D,[1]DG!$C$2,)</f>
        <v>Cổ dê giữ ống STK D140 vào tường+Boulon+long đền+tắc ke sắt</v>
      </c>
      <c r="G2274" s="88" t="str">
        <f>VLOOKUP($B2274,[1]DG!A:D,[1]DG!$D$2,)</f>
        <v>bộ</v>
      </c>
      <c r="H2274" s="145">
        <f>H2270*2*0</f>
        <v>0</v>
      </c>
      <c r="I2274" s="91">
        <f t="shared" si="92"/>
        <v>0</v>
      </c>
      <c r="J2274" s="146"/>
      <c r="K2274" s="146"/>
      <c r="L2274" s="117"/>
      <c r="M2274" s="56">
        <v>630</v>
      </c>
    </row>
    <row r="2275" spans="1:13" s="51" customFormat="1" ht="25.2" hidden="1" customHeight="1">
      <c r="A2275" s="68">
        <f t="shared" si="93"/>
        <v>0</v>
      </c>
      <c r="B2275" s="86" t="s">
        <v>408</v>
      </c>
      <c r="C2275" s="86"/>
      <c r="D2275" s="87"/>
      <c r="E2275" s="88">
        <f>VLOOKUP($B2275,[1]DG!A:D,[1]DG!$B$2,)</f>
        <v>0</v>
      </c>
      <c r="F2275" s="89" t="str">
        <f>VLOOKUP($B2275,[1]DG!A:D,[1]DG!$C$2,)</f>
        <v>Giá đỡ cáp ngầm (V63x6)</v>
      </c>
      <c r="G2275" s="88" t="str">
        <f>VLOOKUP($B2275,[1]DG!A:D,[1]DG!$D$2,)</f>
        <v>bộ</v>
      </c>
      <c r="H2275" s="145">
        <f>H2270*0</f>
        <v>0</v>
      </c>
      <c r="I2275" s="91">
        <f t="shared" si="92"/>
        <v>0</v>
      </c>
      <c r="J2275" s="146"/>
      <c r="K2275" s="146"/>
      <c r="L2275" s="117"/>
      <c r="M2275" s="56">
        <v>630</v>
      </c>
    </row>
    <row r="2276" spans="1:13" s="51" customFormat="1" ht="25.2" hidden="1" customHeight="1">
      <c r="A2276" s="68">
        <f t="shared" si="93"/>
        <v>0</v>
      </c>
      <c r="B2276" s="86" t="s">
        <v>409</v>
      </c>
      <c r="C2276" s="86"/>
      <c r="D2276" s="87"/>
      <c r="E2276" s="88">
        <f>VLOOKUP($B2276,[1]DG!A:D,[1]DG!$B$2,)</f>
        <v>0</v>
      </c>
      <c r="F2276" s="89" t="str">
        <f>VLOOKUP($B2276,[1]DG!A:D,[1]DG!$C$2,)</f>
        <v>Giá đỡ cáp trung hạ thế</v>
      </c>
      <c r="G2276" s="88" t="str">
        <f>VLOOKUP($B2276,[1]DG!A:D,[1]DG!$D$2,)</f>
        <v>bộ</v>
      </c>
      <c r="H2276" s="145">
        <f>H2270</f>
        <v>0</v>
      </c>
      <c r="I2276" s="91">
        <f t="shared" si="92"/>
        <v>0</v>
      </c>
      <c r="J2276" s="146"/>
      <c r="K2276" s="146"/>
      <c r="L2276" s="117"/>
      <c r="M2276" s="56">
        <v>630</v>
      </c>
    </row>
    <row r="2277" spans="1:13" s="51" customFormat="1" ht="25.2" hidden="1" customHeight="1">
      <c r="A2277" s="68">
        <f t="shared" si="93"/>
        <v>0</v>
      </c>
      <c r="B2277" s="69" t="s">
        <v>410</v>
      </c>
      <c r="C2277" s="69"/>
      <c r="D2277" s="111"/>
      <c r="E2277" s="88" t="str">
        <f>VLOOKUP($B2277,[1]DG!A:D,[1]DG!$B$2,)</f>
        <v>05.6101</v>
      </c>
      <c r="F2277" s="89" t="str">
        <f>VLOOKUP($B2277,[1]DG!A:D,[1]DG!$C$2,)</f>
        <v>Lắp Giá đỡ cáp</v>
      </c>
      <c r="G2277" s="88" t="str">
        <f>VLOOKUP($B2277,[1]DG!A:D,[1]DG!$D$2,)</f>
        <v>bộ</v>
      </c>
      <c r="H2277" s="145">
        <f>H2275+H2276</f>
        <v>0</v>
      </c>
      <c r="I2277" s="91">
        <f t="shared" si="92"/>
        <v>0</v>
      </c>
      <c r="J2277" s="146"/>
      <c r="K2277" s="146"/>
      <c r="L2277" s="117"/>
      <c r="M2277" s="56">
        <v>630</v>
      </c>
    </row>
    <row r="2278" spans="1:13" s="51" customFormat="1" ht="25.2" hidden="1" customHeight="1">
      <c r="A2278" s="68">
        <f t="shared" si="93"/>
        <v>0</v>
      </c>
      <c r="B2278" s="69" t="s">
        <v>117</v>
      </c>
      <c r="C2278" s="69"/>
      <c r="D2278" s="87"/>
      <c r="E2278" s="88" t="str">
        <f>VLOOKUP($B2278,[1]DG!A:D,[1]DG!$B$2,)</f>
        <v>06.3191</v>
      </c>
      <c r="F2278" s="89" t="str">
        <f>VLOOKUP($B2278,[1]DG!A:D,[1]DG!$C$2,)</f>
        <v>Bảng tên trạm, bảng báo nguy hiểm + đinh vít</v>
      </c>
      <c r="G2278" s="88" t="str">
        <f>VLOOKUP($B2278,[1]DG!A:D,[1]DG!$D$2,)</f>
        <v>bộ</v>
      </c>
      <c r="H2278" s="145">
        <f>H2270*0</f>
        <v>0</v>
      </c>
      <c r="I2278" s="91">
        <f t="shared" si="92"/>
        <v>0</v>
      </c>
      <c r="J2278" s="146"/>
      <c r="K2278" s="146"/>
      <c r="L2278" s="117"/>
      <c r="M2278" s="56">
        <v>630</v>
      </c>
    </row>
    <row r="2279" spans="1:13" s="51" customFormat="1" ht="25.2" hidden="1" customHeight="1">
      <c r="A2279" s="68">
        <f t="shared" si="93"/>
        <v>0</v>
      </c>
      <c r="B2279" s="69"/>
      <c r="C2279" s="69"/>
      <c r="D2279" s="220">
        <f>IF(H2279&gt;0,D2270+1,D2270)</f>
        <v>0</v>
      </c>
      <c r="E2279" s="238"/>
      <c r="F2279" s="247" t="s">
        <v>501</v>
      </c>
      <c r="G2279" s="220" t="s">
        <v>67</v>
      </c>
      <c r="H2279" s="240">
        <f>H2144*0</f>
        <v>0</v>
      </c>
      <c r="I2279" s="91">
        <f t="shared" si="92"/>
        <v>0</v>
      </c>
      <c r="J2279" s="146"/>
      <c r="K2279" s="146"/>
      <c r="L2279" s="117"/>
      <c r="M2279" s="56">
        <v>630</v>
      </c>
    </row>
    <row r="2280" spans="1:13" s="51" customFormat="1" ht="25.2" hidden="1" customHeight="1">
      <c r="A2280" s="68">
        <f>IF(A2279&gt;0,1,0)</f>
        <v>0</v>
      </c>
      <c r="B2280" s="69"/>
      <c r="C2280" s="69"/>
      <c r="D2280" s="111"/>
      <c r="E2280" s="242"/>
      <c r="F2280" s="248" t="s">
        <v>68</v>
      </c>
      <c r="G2280" s="111"/>
      <c r="H2280" s="244"/>
      <c r="I2280" s="91">
        <f t="shared" si="92"/>
        <v>0</v>
      </c>
      <c r="J2280" s="146"/>
      <c r="K2280" s="146"/>
      <c r="L2280" s="117"/>
      <c r="M2280" s="56">
        <v>630</v>
      </c>
    </row>
    <row r="2281" spans="1:13" s="51" customFormat="1" ht="25.2" hidden="1" customHeight="1">
      <c r="A2281" s="68">
        <f t="shared" si="93"/>
        <v>0</v>
      </c>
      <c r="B2281" s="86" t="s">
        <v>412</v>
      </c>
      <c r="C2281" s="86"/>
      <c r="D2281" s="87"/>
      <c r="E2281" s="88">
        <f>VLOOKUP($B2281,[1]DG!A:D,[1]DG!$B$2,)</f>
        <v>0</v>
      </c>
      <c r="F2281" s="89" t="str">
        <f>VLOOKUP($B2281,[1]DG!A:D,[1]DG!$C$2,)&amp;": trong möông vaø leân MBA"</f>
        <v>Cáp 24kV C/XLPE/DSTA/PVC3x50: trong möông vaø leân MBA</v>
      </c>
      <c r="G2281" s="88" t="str">
        <f>VLOOKUP($B2281,[1]DG!A:D,[1]DG!$D$2,)</f>
        <v>mét</v>
      </c>
      <c r="H2281" s="145">
        <f>H2260+H2279*8</f>
        <v>0</v>
      </c>
      <c r="I2281" s="91">
        <f t="shared" si="92"/>
        <v>0</v>
      </c>
      <c r="J2281" s="146"/>
      <c r="K2281" s="146"/>
      <c r="L2281" s="117"/>
      <c r="M2281" s="56">
        <v>630</v>
      </c>
    </row>
    <row r="2282" spans="1:13" s="51" customFormat="1" ht="25.2" hidden="1" customHeight="1">
      <c r="A2282" s="68">
        <f t="shared" si="93"/>
        <v>0</v>
      </c>
      <c r="B2282" s="86" t="s">
        <v>413</v>
      </c>
      <c r="C2282" s="86"/>
      <c r="D2282" s="87"/>
      <c r="E2282" s="88">
        <f>VLOOKUP($B2282,[1]DG!A:D,[1]DG!$B$2,)</f>
        <v>0</v>
      </c>
      <c r="F2282" s="89" t="str">
        <f>VLOOKUP($B2282,[1]DG!A:D,[1]DG!$C$2,)&amp;": trung tính"</f>
        <v>Cáp 24KV C/XLPE/PVC 50mm2: trung tính</v>
      </c>
      <c r="G2282" s="88" t="str">
        <f>VLOOKUP($B2282,[1]DG!A:D,[1]DG!$D$2,)</f>
        <v>mét</v>
      </c>
      <c r="H2282" s="145">
        <f>H2281</f>
        <v>0</v>
      </c>
      <c r="I2282" s="91">
        <f t="shared" si="92"/>
        <v>0</v>
      </c>
      <c r="J2282" s="146"/>
      <c r="K2282" s="146"/>
      <c r="L2282" s="117"/>
      <c r="M2282" s="56">
        <v>630</v>
      </c>
    </row>
    <row r="2283" spans="1:13" s="51" customFormat="1" ht="25.2" hidden="1" customHeight="1">
      <c r="A2283" s="68">
        <f t="shared" si="93"/>
        <v>0</v>
      </c>
      <c r="B2283" s="86" t="s">
        <v>413</v>
      </c>
      <c r="C2283" s="86"/>
      <c r="D2283" s="87"/>
      <c r="E2283" s="88">
        <f>VLOOKUP($B2283,[1]DG!A:D,[1]DG!$B$2,)</f>
        <v>0</v>
      </c>
      <c r="F2283" s="89" t="str">
        <f>VLOOKUP($B2283,[1]DG!A:D,[1]DG!$C$2,)&amp;": 0,5m/pha töø FCO xuoáng MBA"</f>
        <v>Cáp 24KV C/XLPE/PVC 50mm2: 0,5m/pha töø FCO xuoáng MBA</v>
      </c>
      <c r="G2283" s="88" t="str">
        <f>VLOOKUP($B2283,[1]DG!A:D,[1]DG!$D$2,)</f>
        <v>mét</v>
      </c>
      <c r="H2283" s="145">
        <f>H2279*0.5*3*0</f>
        <v>0</v>
      </c>
      <c r="I2283" s="91">
        <f t="shared" si="92"/>
        <v>0</v>
      </c>
      <c r="J2283" s="146"/>
      <c r="K2283" s="146"/>
      <c r="L2283" s="117"/>
      <c r="M2283" s="56">
        <v>630</v>
      </c>
    </row>
    <row r="2284" spans="1:13" s="51" customFormat="1" ht="25.2" hidden="1" customHeight="1">
      <c r="A2284" s="68">
        <f t="shared" si="93"/>
        <v>0</v>
      </c>
      <c r="B2284" s="86" t="s">
        <v>414</v>
      </c>
      <c r="C2284" s="86"/>
      <c r="D2284" s="87"/>
      <c r="E2284" s="88">
        <f>VLOOKUP($B2284,[1]DG!A:D,[1]DG!$B$2,)</f>
        <v>0</v>
      </c>
      <c r="F2284" s="89" t="str">
        <f>VLOOKUP($B2284,[1]DG!A:D,[1]DG!$C$2,)</f>
        <v>Đầu cáp ngầm 24KV 3x50mm2 outdoor</v>
      </c>
      <c r="G2284" s="88" t="str">
        <f>VLOOKUP($B2284,[1]DG!A:D,[1]DG!$D$2,)</f>
        <v>cái</v>
      </c>
      <c r="H2284" s="145">
        <f>H2279</f>
        <v>0</v>
      </c>
      <c r="I2284" s="91">
        <f t="shared" si="92"/>
        <v>0</v>
      </c>
      <c r="J2284" s="146"/>
      <c r="K2284" s="146"/>
      <c r="L2284" s="117"/>
      <c r="M2284" s="56">
        <v>630</v>
      </c>
    </row>
    <row r="2285" spans="1:13" s="51" customFormat="1" ht="25.2" hidden="1" customHeight="1">
      <c r="A2285" s="68">
        <f t="shared" si="93"/>
        <v>0</v>
      </c>
      <c r="B2285" s="86" t="s">
        <v>412</v>
      </c>
      <c r="C2285" s="86"/>
      <c r="D2285" s="87"/>
      <c r="E2285" s="88">
        <f>VLOOKUP($B2285,[1]DG!A:D,[1]DG!$B$2,)</f>
        <v>0</v>
      </c>
      <c r="F2285" s="89" t="str">
        <f>VLOOKUP($B2285,[1]DG!A:D,[1]DG!$C$2,)&amp;": töø tuû LBS ñeán MBA"</f>
        <v>Cáp 24kV C/XLPE/DSTA/PVC3x50: töø tuû LBS ñeán MBA</v>
      </c>
      <c r="G2285" s="88" t="str">
        <f>VLOOKUP($B2285,[1]DG!A:D,[1]DG!$D$2,)</f>
        <v>mét</v>
      </c>
      <c r="H2285" s="145">
        <f>(1.2+2.4)*H2279*0</f>
        <v>0</v>
      </c>
      <c r="I2285" s="91">
        <f t="shared" si="92"/>
        <v>0</v>
      </c>
      <c r="J2285" s="146"/>
      <c r="K2285" s="146"/>
      <c r="L2285" s="117"/>
      <c r="M2285" s="56">
        <v>630</v>
      </c>
    </row>
    <row r="2286" spans="1:13" s="51" customFormat="1" ht="25.2" hidden="1" customHeight="1">
      <c r="A2286" s="68">
        <f t="shared" si="93"/>
        <v>0</v>
      </c>
      <c r="B2286" s="86" t="s">
        <v>413</v>
      </c>
      <c r="C2286" s="86"/>
      <c r="D2286" s="87"/>
      <c r="E2286" s="88">
        <f>VLOOKUP($B2286,[1]DG!A:D,[1]DG!$B$2,)</f>
        <v>0</v>
      </c>
      <c r="F2286" s="89" t="str">
        <f>VLOOKUP($B2286,[1]DG!A:D,[1]DG!$C$2,)&amp;": töø tuû LBS ñeán MBA"</f>
        <v>Cáp 24KV C/XLPE/PVC 50mm2: töø tuû LBS ñeán MBA</v>
      </c>
      <c r="G2286" s="88" t="str">
        <f>VLOOKUP($B2286,[1]DG!A:D,[1]DG!$D$2,)</f>
        <v>mét</v>
      </c>
      <c r="H2286" s="145">
        <f>H2279*1.2*0</f>
        <v>0</v>
      </c>
      <c r="I2286" s="91">
        <f t="shared" si="92"/>
        <v>0</v>
      </c>
      <c r="J2286" s="146"/>
      <c r="K2286" s="146"/>
      <c r="L2286" s="117"/>
      <c r="M2286" s="56">
        <v>630</v>
      </c>
    </row>
    <row r="2287" spans="1:13" s="51" customFormat="1" ht="25.2" hidden="1" customHeight="1">
      <c r="A2287" s="68">
        <f t="shared" si="93"/>
        <v>0</v>
      </c>
      <c r="B2287" s="86" t="s">
        <v>415</v>
      </c>
      <c r="C2287" s="86"/>
      <c r="D2287" s="87"/>
      <c r="E2287" s="88">
        <f>VLOOKUP($B2287,[1]DG!A:D,[1]DG!$B$2,)</f>
        <v>0</v>
      </c>
      <c r="F2287" s="89" t="str">
        <f>VLOOKUP($B2287,[1]DG!A:D,[1]DG!$C$2,)</f>
        <v>Đầu cáp ngầm 24KV 3x50mm2 indoor</v>
      </c>
      <c r="G2287" s="88" t="str">
        <f>VLOOKUP($B2287,[1]DG!A:D,[1]DG!$D$2,)</f>
        <v>cái</v>
      </c>
      <c r="H2287" s="145">
        <f>H2279</f>
        <v>0</v>
      </c>
      <c r="I2287" s="91">
        <f t="shared" si="92"/>
        <v>0</v>
      </c>
      <c r="J2287" s="146"/>
      <c r="K2287" s="146"/>
      <c r="L2287" s="117"/>
      <c r="M2287" s="56">
        <v>630</v>
      </c>
    </row>
    <row r="2288" spans="1:13" s="51" customFormat="1" ht="25.2" hidden="1" customHeight="1">
      <c r="A2288" s="68">
        <f t="shared" si="93"/>
        <v>0</v>
      </c>
      <c r="B2288" s="86" t="s">
        <v>416</v>
      </c>
      <c r="C2288" s="86"/>
      <c r="D2288" s="87"/>
      <c r="E2288" s="88" t="str">
        <f>VLOOKUP($B2288,[1]DG!A:D,[1]DG!$B$2,)</f>
        <v>07.4312</v>
      </c>
      <c r="F2288" s="89" t="str">
        <f>VLOOKUP($B2288,[1]DG!A:D,[1]DG!$C$2,)</f>
        <v>Lắp đầu cáp trung thế 3x50mm2, 70mm2</v>
      </c>
      <c r="G2288" s="88" t="str">
        <f>VLOOKUP($B2288,[1]DG!A:D,[1]DG!$D$2,)</f>
        <v>cái</v>
      </c>
      <c r="H2288" s="145">
        <f>H2284+H2287</f>
        <v>0</v>
      </c>
      <c r="I2288" s="91">
        <f t="shared" si="92"/>
        <v>0</v>
      </c>
      <c r="J2288" s="146"/>
      <c r="K2288" s="146"/>
      <c r="L2288" s="117"/>
      <c r="M2288" s="56">
        <v>630</v>
      </c>
    </row>
    <row r="2289" spans="1:13" s="51" customFormat="1" ht="25.2" hidden="1" customHeight="1">
      <c r="A2289" s="68">
        <f t="shared" si="93"/>
        <v>0</v>
      </c>
      <c r="B2289" s="86" t="s">
        <v>417</v>
      </c>
      <c r="C2289" s="86"/>
      <c r="D2289" s="87"/>
      <c r="E2289" s="88" t="str">
        <f>VLOOKUP($B2289,[1]DG!A:D,[1]DG!$B$2,)</f>
        <v>03.1405</v>
      </c>
      <c r="F2289" s="89" t="str">
        <f>VLOOKUP($B2289,[1]DG!A:D,[1]DG!$C$2,)</f>
        <v>Lắp cáp trong ống bảo vệ trong TBA loại &lt;=6kg</v>
      </c>
      <c r="G2289" s="88" t="str">
        <f>VLOOKUP($B2289,[1]DG!A:D,[1]DG!$D$2,)</f>
        <v>mét</v>
      </c>
      <c r="H2289" s="145">
        <f>H2281+H2285</f>
        <v>0</v>
      </c>
      <c r="I2289" s="91">
        <f t="shared" si="92"/>
        <v>0</v>
      </c>
      <c r="J2289" s="146"/>
      <c r="K2289" s="146"/>
      <c r="L2289" s="117"/>
      <c r="M2289" s="56">
        <v>630</v>
      </c>
    </row>
    <row r="2290" spans="1:13" s="51" customFormat="1" ht="25.2" hidden="1" customHeight="1">
      <c r="A2290" s="68">
        <f t="shared" si="93"/>
        <v>0</v>
      </c>
      <c r="B2290" s="86" t="s">
        <v>418</v>
      </c>
      <c r="C2290" s="86"/>
      <c r="D2290" s="87"/>
      <c r="E2290" s="88" t="str">
        <f>VLOOKUP($B2290,[1]DG!A:D,[1]DG!$B$2,)</f>
        <v>03.1402</v>
      </c>
      <c r="F2290" s="89" t="str">
        <f>VLOOKUP($B2290,[1]DG!A:D,[1]DG!$C$2,)</f>
        <v>Lắp cáp trong ống bảo vệ trong TBA loại &lt;=2kg</v>
      </c>
      <c r="G2290" s="88" t="str">
        <f>VLOOKUP($B2290,[1]DG!A:D,[1]DG!$D$2,)</f>
        <v>mét</v>
      </c>
      <c r="H2290" s="145">
        <f>H2282+H2286</f>
        <v>0</v>
      </c>
      <c r="I2290" s="91">
        <f t="shared" si="92"/>
        <v>0</v>
      </c>
      <c r="J2290" s="146"/>
      <c r="K2290" s="146"/>
      <c r="L2290" s="117"/>
      <c r="M2290" s="56">
        <v>630</v>
      </c>
    </row>
    <row r="2291" spans="1:13" s="51" customFormat="1" ht="25.2" hidden="1" customHeight="1">
      <c r="A2291" s="68">
        <f t="shared" si="93"/>
        <v>0</v>
      </c>
      <c r="B2291" s="86" t="s">
        <v>101</v>
      </c>
      <c r="C2291" s="86"/>
      <c r="D2291" s="87"/>
      <c r="E2291" s="88" t="str">
        <f>VLOOKUP($B2291,[1]DG!A:D,[1]DG!$B$2,)</f>
        <v>04.4201</v>
      </c>
      <c r="F2291" s="89" t="str">
        <f>VLOOKUP($B2291,[1]DG!A:D,[1]DG!$C$2,)</f>
        <v>Lắp cáp đồng xuống thiết bị D ≤ 95mm2</v>
      </c>
      <c r="G2291" s="88" t="str">
        <f>VLOOKUP($B2291,[1]DG!A:D,[1]DG!$D$2,)</f>
        <v>m</v>
      </c>
      <c r="H2291" s="145">
        <f>H2283</f>
        <v>0</v>
      </c>
      <c r="I2291" s="91">
        <f t="shared" si="92"/>
        <v>0</v>
      </c>
      <c r="J2291" s="146"/>
      <c r="K2291" s="146"/>
      <c r="L2291" s="117"/>
      <c r="M2291" s="56">
        <v>630</v>
      </c>
    </row>
    <row r="2292" spans="1:13" s="51" customFormat="1" ht="25.2" hidden="1" customHeight="1">
      <c r="A2292" s="68">
        <f t="shared" si="93"/>
        <v>0</v>
      </c>
      <c r="B2292" s="86" t="s">
        <v>419</v>
      </c>
      <c r="C2292" s="86"/>
      <c r="D2292" s="87"/>
      <c r="E2292" s="88">
        <f>VLOOKUP($B2292,[1]DG!A:D,[1]DG!$B$2,)</f>
        <v>0</v>
      </c>
      <c r="F2292" s="89" t="str">
        <f>VLOOKUP($B2292,[1]DG!A:D,[1]DG!$C$2,)</f>
        <v>Dây rút cáp</v>
      </c>
      <c r="G2292" s="88" t="str">
        <f>VLOOKUP($B2292,[1]DG!A:D,[1]DG!$D$2,)</f>
        <v>bọc</v>
      </c>
      <c r="H2292" s="145">
        <f>H2279*2</f>
        <v>0</v>
      </c>
      <c r="I2292" s="91">
        <f t="shared" si="92"/>
        <v>0</v>
      </c>
      <c r="J2292" s="146"/>
      <c r="K2292" s="146"/>
      <c r="L2292" s="117"/>
      <c r="M2292" s="56">
        <v>630</v>
      </c>
    </row>
    <row r="2293" spans="1:13" s="51" customFormat="1" ht="25.2" hidden="1" customHeight="1">
      <c r="A2293" s="68">
        <f t="shared" si="93"/>
        <v>0</v>
      </c>
      <c r="B2293" s="69"/>
      <c r="C2293" s="69"/>
      <c r="D2293" s="220">
        <f>IF(H2293&gt;0,D2279+1,D2279)</f>
        <v>0</v>
      </c>
      <c r="E2293" s="238"/>
      <c r="F2293" s="247" t="s">
        <v>519</v>
      </c>
      <c r="G2293" s="220" t="s">
        <v>67</v>
      </c>
      <c r="H2293" s="240">
        <f>H2144</f>
        <v>0</v>
      </c>
      <c r="I2293" s="91">
        <f t="shared" si="92"/>
        <v>0</v>
      </c>
      <c r="J2293" s="146"/>
      <c r="K2293" s="146"/>
      <c r="L2293" s="96"/>
      <c r="M2293" s="56">
        <v>630</v>
      </c>
    </row>
    <row r="2294" spans="1:13" s="51" customFormat="1" ht="25.2" hidden="1" customHeight="1">
      <c r="A2294" s="68">
        <f>IF(A2293&gt;0,1,0)</f>
        <v>0</v>
      </c>
      <c r="B2294" s="69"/>
      <c r="C2294" s="69"/>
      <c r="D2294" s="111"/>
      <c r="E2294" s="242"/>
      <c r="F2294" s="248" t="s">
        <v>68</v>
      </c>
      <c r="G2294" s="111"/>
      <c r="H2294" s="244"/>
      <c r="I2294" s="91">
        <f t="shared" si="92"/>
        <v>0</v>
      </c>
      <c r="J2294" s="146"/>
      <c r="K2294" s="146"/>
      <c r="L2294" s="96"/>
      <c r="M2294" s="56">
        <v>630</v>
      </c>
    </row>
    <row r="2295" spans="1:13" s="51" customFormat="1" ht="25.2" hidden="1" customHeight="1">
      <c r="A2295" s="68">
        <f t="shared" si="93"/>
        <v>0</v>
      </c>
      <c r="B2295" s="86" t="s">
        <v>98</v>
      </c>
      <c r="C2295" s="86"/>
      <c r="D2295" s="87"/>
      <c r="E2295" s="88">
        <f>VLOOKUP($B2295,[1]DG!A:D,[1]DG!$B$2,)</f>
        <v>0</v>
      </c>
      <c r="F2295" s="89" t="str">
        <f>VLOOKUP($B2295,[1]DG!A:D,[1]DG!$C$2,)&amp;": 9m/1pha"</f>
        <v>Cáp 24KV CX-25mm2: 9m/1pha</v>
      </c>
      <c r="G2295" s="88" t="str">
        <f>VLOOKUP($B2295,[1]DG!A:D,[1]DG!$D$2,)</f>
        <v>mét</v>
      </c>
      <c r="H2295" s="145">
        <f>H2293*(9)*3</f>
        <v>0</v>
      </c>
      <c r="I2295" s="91">
        <f t="shared" si="92"/>
        <v>0</v>
      </c>
      <c r="J2295" s="146"/>
      <c r="K2295" s="146"/>
      <c r="L2295" s="96"/>
      <c r="M2295" s="56">
        <v>630</v>
      </c>
    </row>
    <row r="2296" spans="1:13" s="51" customFormat="1" ht="25.2" hidden="1" customHeight="1">
      <c r="A2296" s="68">
        <f t="shared" si="93"/>
        <v>0</v>
      </c>
      <c r="B2296" s="86" t="s">
        <v>98</v>
      </c>
      <c r="C2296" s="86"/>
      <c r="D2296" s="87"/>
      <c r="E2296" s="88">
        <f>VLOOKUP($B2296,[1]DG!A:D,[1]DG!$B$2,)</f>
        <v>0</v>
      </c>
      <c r="F2296" s="89" t="str">
        <f>VLOOKUP($B2296,[1]DG!A:D,[1]DG!$C$2,)&amp;": 1m/1pha ñaáu noái  LA"</f>
        <v>Cáp 24KV CX-25mm2: 1m/1pha ñaáu noái  LA</v>
      </c>
      <c r="G2296" s="88" t="str">
        <f>VLOOKUP($B2296,[1]DG!A:D,[1]DG!$D$2,)</f>
        <v>mét</v>
      </c>
      <c r="H2296" s="340">
        <f>H2293*3*1</f>
        <v>0</v>
      </c>
      <c r="I2296" s="91">
        <f t="shared" si="92"/>
        <v>0</v>
      </c>
      <c r="J2296" s="146"/>
      <c r="K2296" s="146"/>
      <c r="L2296" s="96"/>
      <c r="M2296" s="56">
        <v>630</v>
      </c>
    </row>
    <row r="2297" spans="1:13" s="51" customFormat="1" ht="25.2" hidden="1" customHeight="1">
      <c r="A2297" s="68">
        <f t="shared" si="93"/>
        <v>0</v>
      </c>
      <c r="B2297" s="86" t="s">
        <v>185</v>
      </c>
      <c r="C2297" s="86"/>
      <c r="D2297" s="87"/>
      <c r="E2297" s="88">
        <f>VLOOKUP($B2297,[1]DG!A:D,[1]DG!$B$2,)</f>
        <v>0</v>
      </c>
      <c r="F2297" s="89" t="str">
        <f>VLOOKUP($B2297,[1]DG!A:D,[1]DG!$C$2,)</f>
        <v>Kẹp ép cỡ dây 25mm2</v>
      </c>
      <c r="G2297" s="88" t="str">
        <f>VLOOKUP($B2297,[1]DG!A:D,[1]DG!$D$2,)</f>
        <v>cái</v>
      </c>
      <c r="H2297" s="340">
        <f>H2293*3*2</f>
        <v>0</v>
      </c>
      <c r="I2297" s="91">
        <f t="shared" si="92"/>
        <v>0</v>
      </c>
      <c r="J2297" s="146"/>
      <c r="K2297" s="146"/>
      <c r="L2297" s="117"/>
      <c r="M2297" s="56">
        <v>630</v>
      </c>
    </row>
    <row r="2298" spans="1:13" s="51" customFormat="1" ht="25.2" hidden="1" customHeight="1">
      <c r="A2298" s="68">
        <f t="shared" si="93"/>
        <v>0</v>
      </c>
      <c r="B2298" s="86" t="s">
        <v>421</v>
      </c>
      <c r="C2298" s="86"/>
      <c r="D2298" s="87"/>
      <c r="E2298" s="88">
        <f>VLOOKUP($B2298,[1]DG!A:D,[1]DG!$B$2,)</f>
        <v>0</v>
      </c>
      <c r="F2298" s="89" t="str">
        <f>VLOOKUP($B2298,[1]DG!A:D,[1]DG!$C$2,)&amp;" + LA"</f>
        <v>Bass LI bắt FCO + LA</v>
      </c>
      <c r="G2298" s="88" t="str">
        <f>VLOOKUP($B2298,[1]DG!A:D,[1]DG!$D$2,)</f>
        <v>Bộ</v>
      </c>
      <c r="H2298" s="340">
        <f>H2293*3*2</f>
        <v>0</v>
      </c>
      <c r="I2298" s="91">
        <f t="shared" ref="I2298:I2361" si="94">IF(M2298=$M$23,H2298+J2298-K2298,0)</f>
        <v>0</v>
      </c>
      <c r="J2298" s="146"/>
      <c r="K2298" s="146"/>
      <c r="L2298" s="117"/>
      <c r="M2298" s="56">
        <v>630</v>
      </c>
    </row>
    <row r="2299" spans="1:13" s="51" customFormat="1" ht="25.2" hidden="1" customHeight="1">
      <c r="A2299" s="68">
        <f t="shared" si="93"/>
        <v>0</v>
      </c>
      <c r="B2299" s="86" t="s">
        <v>99</v>
      </c>
      <c r="C2299" s="86"/>
      <c r="D2299" s="87"/>
      <c r="E2299" s="88" t="str">
        <f>VLOOKUP($B2299,[1]DG!A:D,[1]DG!$B$2,)</f>
        <v>04.3007</v>
      </c>
      <c r="F2299" s="89" t="str">
        <f>VLOOKUP($B2299,[1]DG!A:D,[1]DG!$C$2,)</f>
        <v>Kẹp quai 2/0</v>
      </c>
      <c r="G2299" s="88" t="str">
        <f>VLOOKUP($B2299,[1]DG!A:D,[1]DG!$D$2,)</f>
        <v>cái</v>
      </c>
      <c r="H2299" s="340">
        <f>H2293*3</f>
        <v>0</v>
      </c>
      <c r="I2299" s="91">
        <f t="shared" si="94"/>
        <v>0</v>
      </c>
      <c r="J2299" s="146"/>
      <c r="K2299" s="146"/>
      <c r="L2299" s="96"/>
      <c r="M2299" s="56">
        <v>630</v>
      </c>
    </row>
    <row r="2300" spans="1:13" s="51" customFormat="1" ht="25.2" hidden="1" customHeight="1">
      <c r="A2300" s="68">
        <f t="shared" si="93"/>
        <v>0</v>
      </c>
      <c r="B2300" s="86" t="s">
        <v>100</v>
      </c>
      <c r="C2300" s="86"/>
      <c r="D2300" s="87"/>
      <c r="E2300" s="88" t="str">
        <f>VLOOKUP($B2300,[1]DG!A:D,[1]DG!$B$2,)</f>
        <v>04.3007</v>
      </c>
      <c r="F2300" s="89" t="str">
        <f>VLOOKUP($B2300,[1]DG!A:D,[1]DG!$C$2,)&amp;": "</f>
        <v xml:space="preserve">Kẹp hotline 2/0: </v>
      </c>
      <c r="G2300" s="88" t="str">
        <f>VLOOKUP($B2300,[1]DG!A:D,[1]DG!$D$2,)</f>
        <v>cái</v>
      </c>
      <c r="H2300" s="145">
        <f>H2299</f>
        <v>0</v>
      </c>
      <c r="I2300" s="91">
        <f t="shared" si="94"/>
        <v>0</v>
      </c>
      <c r="J2300" s="146"/>
      <c r="K2300" s="146"/>
      <c r="L2300" s="96"/>
      <c r="M2300" s="56">
        <v>630</v>
      </c>
    </row>
    <row r="2301" spans="1:13" s="51" customFormat="1" ht="25.2" hidden="1" customHeight="1">
      <c r="A2301" s="68">
        <f t="shared" si="93"/>
        <v>0</v>
      </c>
      <c r="B2301" s="86" t="s">
        <v>138</v>
      </c>
      <c r="C2301" s="86"/>
      <c r="D2301" s="96"/>
      <c r="E2301" s="88">
        <f>VLOOKUP($B2301,[1]DG!A:D,[1]DG!$B$2,)</f>
        <v>0</v>
      </c>
      <c r="F2301" s="89" t="str">
        <f>VLOOKUP($B2301,[1]DG!A:D,[1]DG!$C$2,)</f>
        <v xml:space="preserve">Sứ đứng 24KV </v>
      </c>
      <c r="G2301" s="88" t="str">
        <f>VLOOKUP($B2301,[1]DG!A:D,[1]DG!$D$2,)</f>
        <v>cái</v>
      </c>
      <c r="H2301" s="145">
        <f>H2293*9</f>
        <v>0</v>
      </c>
      <c r="I2301" s="91">
        <f t="shared" si="94"/>
        <v>0</v>
      </c>
      <c r="J2301" s="146"/>
      <c r="K2301" s="146"/>
      <c r="L2301" s="96"/>
      <c r="M2301" s="56">
        <v>630</v>
      </c>
    </row>
    <row r="2302" spans="1:13" s="51" customFormat="1" ht="25.2" hidden="1" customHeight="1">
      <c r="A2302" s="68">
        <f t="shared" si="93"/>
        <v>0</v>
      </c>
      <c r="B2302" s="86" t="s">
        <v>139</v>
      </c>
      <c r="C2302" s="86"/>
      <c r="D2302" s="87"/>
      <c r="E2302" s="88">
        <f>VLOOKUP($B2302,[1]DG!A:D,[1]DG!$B$2,)</f>
        <v>0</v>
      </c>
      <c r="F2302" s="89" t="str">
        <f>VLOOKUP($B2302,[1]DG!A:D,[1]DG!$C$2,)</f>
        <v>Chân sứ đứng D20</v>
      </c>
      <c r="G2302" s="88" t="str">
        <f>VLOOKUP($B2302,[1]DG!A:D,[1]DG!$D$2,)</f>
        <v>cái</v>
      </c>
      <c r="H2302" s="145">
        <f>H2301</f>
        <v>0</v>
      </c>
      <c r="I2302" s="91">
        <f t="shared" si="94"/>
        <v>0</v>
      </c>
      <c r="J2302" s="146"/>
      <c r="K2302" s="146"/>
      <c r="L2302" s="96"/>
      <c r="M2302" s="56">
        <v>630</v>
      </c>
    </row>
    <row r="2303" spans="1:13" s="51" customFormat="1" ht="25.2" hidden="1" customHeight="1">
      <c r="A2303" s="68">
        <f t="shared" si="93"/>
        <v>0</v>
      </c>
      <c r="B2303" s="86" t="s">
        <v>422</v>
      </c>
      <c r="C2303" s="86"/>
      <c r="D2303" s="87"/>
      <c r="E2303" s="88">
        <f>VLOOKUP($B2303,[1]DG!A:D,[1]DG!$B$2,)</f>
        <v>0</v>
      </c>
      <c r="F2303" s="89" t="str">
        <f>VLOOKUP($B2303,[1]DG!A:D,[1]DG!$C$2,)</f>
        <v>Sứ treo polymer</v>
      </c>
      <c r="G2303" s="88" t="str">
        <f>VLOOKUP($B2303,[1]DG!A:D,[1]DG!$D$2,)</f>
        <v>chuỗi</v>
      </c>
      <c r="H2303" s="340">
        <f>H2293*6*0</f>
        <v>0</v>
      </c>
      <c r="I2303" s="91">
        <f t="shared" si="94"/>
        <v>0</v>
      </c>
      <c r="J2303" s="146"/>
      <c r="K2303" s="146"/>
      <c r="L2303" s="96"/>
      <c r="M2303" s="56">
        <v>630</v>
      </c>
    </row>
    <row r="2304" spans="1:13" s="51" customFormat="1" ht="25.2" hidden="1" customHeight="1">
      <c r="A2304" s="68">
        <f t="shared" si="93"/>
        <v>0</v>
      </c>
      <c r="B2304" s="86" t="s">
        <v>423</v>
      </c>
      <c r="C2304" s="86"/>
      <c r="D2304" s="87"/>
      <c r="E2304" s="88" t="str">
        <f>VLOOKUP($B2304,[1]DG!A:D,[1]DG!$B$2,)</f>
        <v>06.1115</v>
      </c>
      <c r="F2304" s="89" t="str">
        <f>VLOOKUP($B2304,[1]DG!A:D,[1]DG!$C$2,)</f>
        <v>Lắp sứ đứng 24KV</v>
      </c>
      <c r="G2304" s="88" t="str">
        <f>VLOOKUP($B2304,[1]DG!A:D,[1]DG!$D$2,)</f>
        <v>bộ</v>
      </c>
      <c r="H2304" s="145">
        <f>H2302</f>
        <v>0</v>
      </c>
      <c r="I2304" s="91">
        <f t="shared" si="94"/>
        <v>0</v>
      </c>
      <c r="J2304" s="146"/>
      <c r="K2304" s="146"/>
      <c r="L2304" s="96"/>
      <c r="M2304" s="56">
        <v>630</v>
      </c>
    </row>
    <row r="2305" spans="1:13" s="51" customFormat="1" ht="25.2" hidden="1" customHeight="1">
      <c r="A2305" s="68">
        <f t="shared" si="93"/>
        <v>0</v>
      </c>
      <c r="B2305" s="86" t="s">
        <v>424</v>
      </c>
      <c r="C2305" s="86"/>
      <c r="D2305" s="87"/>
      <c r="E2305" s="88" t="str">
        <f>VLOOKUP($B2305,[1]DG!A:D,[1]DG!$B$2,)</f>
        <v>06.1115</v>
      </c>
      <c r="F2305" s="89" t="str">
        <f>VLOOKUP($B2305,[1]DG!A:D,[1]DG!$C$2,)</f>
        <v>Tháo sứ đứng 24KV</v>
      </c>
      <c r="G2305" s="88" t="str">
        <f>VLOOKUP($B2305,[1]DG!A:D,[1]DG!$D$2,)</f>
        <v>bộ</v>
      </c>
      <c r="H2305" s="145"/>
      <c r="I2305" s="91">
        <f t="shared" si="94"/>
        <v>0</v>
      </c>
      <c r="J2305" s="146"/>
      <c r="K2305" s="146"/>
      <c r="L2305" s="96"/>
      <c r="M2305" s="56">
        <v>630</v>
      </c>
    </row>
    <row r="2306" spans="1:13" s="51" customFormat="1" ht="25.2" hidden="1" customHeight="1">
      <c r="A2306" s="68">
        <f t="shared" si="93"/>
        <v>0</v>
      </c>
      <c r="B2306" s="86" t="s">
        <v>425</v>
      </c>
      <c r="C2306" s="86"/>
      <c r="D2306" s="87"/>
      <c r="E2306" s="88" t="str">
        <f>VLOOKUP($B2306,[1]DG!A:D,[1]DG!$B$2,)</f>
        <v>06.2201</v>
      </c>
      <c r="F2306" s="89" t="str">
        <f>VLOOKUP($B2306,[1]DG!A:D,[1]DG!$C$2,)</f>
        <v>Lắp chuỗi sứ néo Polymer</v>
      </c>
      <c r="G2306" s="88" t="str">
        <f>VLOOKUP($B2306,[1]DG!A:D,[1]DG!$D$2,)</f>
        <v>chuỗi</v>
      </c>
      <c r="H2306" s="145">
        <f>H2303</f>
        <v>0</v>
      </c>
      <c r="I2306" s="91">
        <f t="shared" si="94"/>
        <v>0</v>
      </c>
      <c r="J2306" s="146"/>
      <c r="K2306" s="146"/>
      <c r="L2306" s="96"/>
      <c r="M2306" s="56">
        <v>630</v>
      </c>
    </row>
    <row r="2307" spans="1:13" s="51" customFormat="1" ht="25.2" hidden="1" customHeight="1">
      <c r="A2307" s="68">
        <f t="shared" si="93"/>
        <v>0</v>
      </c>
      <c r="B2307" s="86" t="s">
        <v>101</v>
      </c>
      <c r="C2307" s="86"/>
      <c r="D2307" s="87"/>
      <c r="E2307" s="88" t="str">
        <f>VLOOKUP($B2307,[1]DG!A:D,[1]DG!$B$2,)</f>
        <v>04.4201</v>
      </c>
      <c r="F2307" s="89" t="str">
        <f>VLOOKUP($B2307,[1]DG!A:D,[1]DG!$C$2,)</f>
        <v>Lắp cáp đồng xuống thiết bị D ≤ 95mm2</v>
      </c>
      <c r="G2307" s="88" t="str">
        <f>VLOOKUP($B2307,[1]DG!A:D,[1]DG!$D$2,)</f>
        <v>m</v>
      </c>
      <c r="H2307" s="145">
        <f>H2295+H2296</f>
        <v>0</v>
      </c>
      <c r="I2307" s="91">
        <f t="shared" si="94"/>
        <v>0</v>
      </c>
      <c r="J2307" s="146"/>
      <c r="K2307" s="146"/>
      <c r="L2307" s="96"/>
      <c r="M2307" s="56">
        <v>630</v>
      </c>
    </row>
    <row r="2308" spans="1:13" s="51" customFormat="1" ht="25.2" hidden="1" customHeight="1">
      <c r="A2308" s="68">
        <f t="shared" si="93"/>
        <v>0</v>
      </c>
      <c r="B2308" s="69"/>
      <c r="C2308" s="69"/>
      <c r="D2308" s="220">
        <f>IF(H2308&gt;0,D2293+1,D2293)</f>
        <v>0</v>
      </c>
      <c r="E2308" s="238"/>
      <c r="F2308" s="247" t="s">
        <v>297</v>
      </c>
      <c r="G2308" s="220" t="s">
        <v>67</v>
      </c>
      <c r="H2308" s="240">
        <f>H2173*0</f>
        <v>0</v>
      </c>
      <c r="I2308" s="91">
        <f t="shared" si="94"/>
        <v>0</v>
      </c>
      <c r="J2308" s="146"/>
      <c r="K2308" s="146"/>
      <c r="L2308" s="117"/>
      <c r="M2308" s="56">
        <v>630</v>
      </c>
    </row>
    <row r="2309" spans="1:13" s="51" customFormat="1" ht="25.2" hidden="1" customHeight="1">
      <c r="A2309" s="68">
        <f>IF(A2308&gt;0,1,0)</f>
        <v>0</v>
      </c>
      <c r="B2309" s="69"/>
      <c r="C2309" s="69"/>
      <c r="D2309" s="111"/>
      <c r="E2309" s="242"/>
      <c r="F2309" s="248" t="s">
        <v>68</v>
      </c>
      <c r="G2309" s="111"/>
      <c r="H2309" s="244"/>
      <c r="I2309" s="91">
        <f t="shared" si="94"/>
        <v>0</v>
      </c>
      <c r="J2309" s="146"/>
      <c r="K2309" s="146"/>
      <c r="L2309" s="117"/>
      <c r="M2309" s="56">
        <v>630</v>
      </c>
    </row>
    <row r="2310" spans="1:13" s="51" customFormat="1" ht="25.2" hidden="1" customHeight="1">
      <c r="A2310" s="68">
        <f t="shared" si="93"/>
        <v>0</v>
      </c>
      <c r="B2310" s="69" t="s">
        <v>298</v>
      </c>
      <c r="C2310" s="69"/>
      <c r="D2310" s="87"/>
      <c r="E2310" s="88" t="str">
        <f>VLOOKUP($B2310,[1]DG!A:D,[1]DG!$B$2,)</f>
        <v>04.8003</v>
      </c>
      <c r="F2310" s="89" t="str">
        <f>VLOOKUP($B2310,[1]DG!A:D,[1]DG!$C$2,)</f>
        <v xml:space="preserve">Ống PVC D90x3,8mm </v>
      </c>
      <c r="G2310" s="88" t="str">
        <f>VLOOKUP($B2310,[1]DG!A:D,[1]DG!$D$2,)</f>
        <v>m</v>
      </c>
      <c r="H2310" s="145">
        <f>H2308*2</f>
        <v>0</v>
      </c>
      <c r="I2310" s="91">
        <f t="shared" si="94"/>
        <v>0</v>
      </c>
      <c r="J2310" s="146"/>
      <c r="K2310" s="146"/>
      <c r="L2310" s="117"/>
      <c r="M2310" s="56">
        <v>630</v>
      </c>
    </row>
    <row r="2311" spans="1:13" s="51" customFormat="1" ht="25.2" hidden="1" customHeight="1">
      <c r="A2311" s="68">
        <f t="shared" si="93"/>
        <v>0</v>
      </c>
      <c r="B2311" s="69" t="s">
        <v>299</v>
      </c>
      <c r="C2311" s="69"/>
      <c r="D2311" s="87"/>
      <c r="E2311" s="88">
        <f>VLOOKUP($B2311,[1]DG!A:D,[1]DG!$B$2,)</f>
        <v>0</v>
      </c>
      <c r="F2311" s="89" t="str">
        <f>VLOOKUP($B2311,[1]DG!A:D,[1]DG!$C$2,)</f>
        <v>Co  90 độ PVC 90</v>
      </c>
      <c r="G2311" s="88" t="str">
        <f>VLOOKUP($B2311,[1]DG!A:D,[1]DG!$D$2,)</f>
        <v>cái</v>
      </c>
      <c r="H2311" s="145">
        <f>H2308</f>
        <v>0</v>
      </c>
      <c r="I2311" s="91">
        <f t="shared" si="94"/>
        <v>0</v>
      </c>
      <c r="J2311" s="146"/>
      <c r="K2311" s="146"/>
      <c r="L2311" s="117"/>
      <c r="M2311" s="56">
        <v>630</v>
      </c>
    </row>
    <row r="2312" spans="1:13" s="51" customFormat="1" ht="25.2" hidden="1" customHeight="1">
      <c r="A2312" s="68">
        <f t="shared" si="93"/>
        <v>0</v>
      </c>
      <c r="B2312" s="69" t="s">
        <v>486</v>
      </c>
      <c r="C2312" s="69"/>
      <c r="D2312" s="87"/>
      <c r="E2312" s="88">
        <f>VLOOKUP($B2312,[1]DG!A:D,[1]DG!$B$2,)</f>
        <v>0</v>
      </c>
      <c r="F2312" s="89" t="str">
        <f>VLOOKUP($B2312,[1]DG!A:D,[1]DG!$C$2,)</f>
        <v>Khâu ven răng trong D90</v>
      </c>
      <c r="G2312" s="88" t="str">
        <f>VLOOKUP($B2312,[1]DG!A:D,[1]DG!$D$2,)</f>
        <v>cái</v>
      </c>
      <c r="H2312" s="145">
        <f>H2308*2</f>
        <v>0</v>
      </c>
      <c r="I2312" s="91">
        <f t="shared" si="94"/>
        <v>0</v>
      </c>
      <c r="J2312" s="146"/>
      <c r="K2312" s="146"/>
      <c r="L2312" s="117"/>
      <c r="M2312" s="56">
        <v>630</v>
      </c>
    </row>
    <row r="2313" spans="1:13" s="51" customFormat="1" ht="25.2" hidden="1" customHeight="1">
      <c r="A2313" s="68">
        <f t="shared" si="93"/>
        <v>0</v>
      </c>
      <c r="B2313" s="69" t="s">
        <v>487</v>
      </c>
      <c r="C2313" s="69"/>
      <c r="D2313" s="87"/>
      <c r="E2313" s="88">
        <f>VLOOKUP($B2313,[1]DG!A:D,[1]DG!$B$2,)</f>
        <v>0</v>
      </c>
      <c r="F2313" s="89" t="str">
        <f>VLOOKUP($B2313,[1]DG!A:D,[1]DG!$C$2,)</f>
        <v>Khâu ven răng ngoài D90</v>
      </c>
      <c r="G2313" s="88" t="str">
        <f>VLOOKUP($B2313,[1]DG!A:D,[1]DG!$D$2,)</f>
        <v>cái</v>
      </c>
      <c r="H2313" s="145">
        <f>H2312</f>
        <v>0</v>
      </c>
      <c r="I2313" s="91">
        <f t="shared" si="94"/>
        <v>0</v>
      </c>
      <c r="J2313" s="146"/>
      <c r="K2313" s="146"/>
      <c r="L2313" s="117"/>
      <c r="M2313" s="56">
        <v>630</v>
      </c>
    </row>
    <row r="2314" spans="1:13" s="51" customFormat="1" ht="25.2" hidden="1" customHeight="1">
      <c r="A2314" s="68">
        <f t="shared" si="93"/>
        <v>0</v>
      </c>
      <c r="B2314" s="86"/>
      <c r="C2314" s="86"/>
      <c r="D2314" s="220">
        <f>IF(H2314&gt;0,D2308+1,D2308)</f>
        <v>0</v>
      </c>
      <c r="E2314" s="238"/>
      <c r="F2314" s="247" t="s">
        <v>430</v>
      </c>
      <c r="G2314" s="220" t="s">
        <v>67</v>
      </c>
      <c r="H2314" s="337">
        <f>H2253</f>
        <v>0</v>
      </c>
      <c r="I2314" s="91">
        <f t="shared" si="94"/>
        <v>0</v>
      </c>
      <c r="J2314" s="146"/>
      <c r="K2314" s="146"/>
      <c r="L2314" s="96"/>
      <c r="M2314" s="56">
        <v>630</v>
      </c>
    </row>
    <row r="2315" spans="1:13" s="51" customFormat="1" ht="25.2" hidden="1" customHeight="1">
      <c r="A2315" s="68">
        <f>IF(A2314&gt;0,1,0)</f>
        <v>0</v>
      </c>
      <c r="B2315" s="86"/>
      <c r="C2315" s="86"/>
      <c r="D2315" s="111"/>
      <c r="E2315" s="242"/>
      <c r="F2315" s="248" t="s">
        <v>68</v>
      </c>
      <c r="G2315" s="111"/>
      <c r="H2315" s="145"/>
      <c r="I2315" s="91">
        <f t="shared" si="94"/>
        <v>0</v>
      </c>
      <c r="J2315" s="146"/>
      <c r="K2315" s="146"/>
      <c r="L2315" s="96"/>
      <c r="M2315" s="56">
        <v>630</v>
      </c>
    </row>
    <row r="2316" spans="1:13" s="51" customFormat="1" ht="25.2" hidden="1" customHeight="1">
      <c r="A2316" s="68">
        <f t="shared" si="93"/>
        <v>0</v>
      </c>
      <c r="B2316" s="334" t="s">
        <v>520</v>
      </c>
      <c r="C2316" s="334"/>
      <c r="D2316" s="87"/>
      <c r="E2316" s="88">
        <f>VLOOKUP($B2316,[1]DG!A:D,[1]DG!$B$2,)</f>
        <v>0</v>
      </c>
      <c r="F2316" s="89" t="e">
        <f>VLOOKUP($B2316,[1]DG!A:D,[1]DG!$C$2,)&amp;":  "&amp;#REF!&amp;" x 8m/pha "</f>
        <v>#REF!</v>
      </c>
      <c r="G2316" s="88" t="str">
        <f>VLOOKUP($B2316,[1]DG!A:D,[1]DG!$D$2,)</f>
        <v>mét</v>
      </c>
      <c r="H2316" s="145">
        <f>8*3*H2314*L15</f>
        <v>0</v>
      </c>
      <c r="I2316" s="91">
        <f t="shared" si="94"/>
        <v>0</v>
      </c>
      <c r="J2316" s="146"/>
      <c r="K2316" s="146"/>
      <c r="L2316" s="96"/>
      <c r="M2316" s="56">
        <v>630</v>
      </c>
    </row>
    <row r="2317" spans="1:13" s="51" customFormat="1" ht="25.2" hidden="1" customHeight="1">
      <c r="A2317" s="68">
        <f t="shared" si="93"/>
        <v>0</v>
      </c>
      <c r="B2317" s="334" t="s">
        <v>319</v>
      </c>
      <c r="C2317" s="334"/>
      <c r="D2317" s="87"/>
      <c r="E2317" s="88">
        <f>VLOOKUP($B2317,[1]DG!A:D,[1]DG!$B$2,)</f>
        <v>0</v>
      </c>
      <c r="F2317" s="89" t="e">
        <f>VLOOKUP($B2317,[1]DG!A:D,[1]DG!$C$2,)&amp;":  "&amp;#REF!&amp;" x 8m/trung tính "</f>
        <v>#REF!</v>
      </c>
      <c r="G2317" s="88" t="str">
        <f>VLOOKUP($B2317,[1]DG!A:D,[1]DG!$D$2,)</f>
        <v>mét</v>
      </c>
      <c r="H2317" s="145">
        <f>8*H2314</f>
        <v>0</v>
      </c>
      <c r="I2317" s="91">
        <f t="shared" si="94"/>
        <v>0</v>
      </c>
      <c r="J2317" s="146"/>
      <c r="K2317" s="146"/>
      <c r="L2317" s="96"/>
      <c r="M2317" s="56">
        <v>630</v>
      </c>
    </row>
    <row r="2318" spans="1:13" s="51" customFormat="1" ht="25.2" hidden="1" customHeight="1">
      <c r="A2318" s="68">
        <f t="shared" si="93"/>
        <v>0</v>
      </c>
      <c r="B2318" s="69" t="s">
        <v>521</v>
      </c>
      <c r="C2318" s="69"/>
      <c r="D2318" s="87"/>
      <c r="E2318" s="88" t="str">
        <f>VLOOKUP($B2318,[1]DG!A:D,[1]DG!$B$2,)</f>
        <v>03.4008</v>
      </c>
      <c r="F2318" s="89" t="str">
        <f>VLOOKUP($B2318,[1]DG!A:D,[1]DG!$C$2,)&amp;": "</f>
        <v xml:space="preserve">Đầu cosse ép Cu 200mm2: </v>
      </c>
      <c r="G2318" s="88" t="str">
        <f>VLOOKUP($B2318,[1]DG!A:D,[1]DG!$D$2,)</f>
        <v>cái</v>
      </c>
      <c r="H2318" s="365"/>
      <c r="I2318" s="91">
        <f t="shared" si="94"/>
        <v>0</v>
      </c>
      <c r="J2318" s="146"/>
      <c r="K2318" s="146"/>
      <c r="L2318" s="96"/>
      <c r="M2318" s="56">
        <v>630</v>
      </c>
    </row>
    <row r="2319" spans="1:13" s="51" customFormat="1" ht="25.2" hidden="1" customHeight="1">
      <c r="A2319" s="68">
        <f t="shared" si="93"/>
        <v>0</v>
      </c>
      <c r="B2319" s="69" t="s">
        <v>553</v>
      </c>
      <c r="C2319" s="69"/>
      <c r="D2319" s="87"/>
      <c r="E2319" s="88" t="str">
        <f>VLOOKUP($B2319,[1]DG!A:D,[1]DG!$B$2,)</f>
        <v>03.4006</v>
      </c>
      <c r="F2319" s="89" t="str">
        <f>VLOOKUP($B2319,[1]DG!A:D,[1]DG!$C$2,)&amp;": "</f>
        <v xml:space="preserve">Đầu cosse ép Cu 150mm2: </v>
      </c>
      <c r="G2319" s="88" t="str">
        <f>VLOOKUP($B2319,[1]DG!A:D,[1]DG!$D$2,)</f>
        <v>cái</v>
      </c>
      <c r="H2319" s="145">
        <f>H2314*2</f>
        <v>0</v>
      </c>
      <c r="I2319" s="91">
        <f t="shared" si="94"/>
        <v>0</v>
      </c>
      <c r="J2319" s="146"/>
      <c r="K2319" s="146"/>
      <c r="L2319" s="96"/>
      <c r="M2319" s="56">
        <v>630</v>
      </c>
    </row>
    <row r="2320" spans="1:13" s="51" customFormat="1" ht="25.2" hidden="1" customHeight="1">
      <c r="A2320" s="68">
        <f t="shared" si="93"/>
        <v>0</v>
      </c>
      <c r="B2320" s="69" t="s">
        <v>522</v>
      </c>
      <c r="C2320" s="69"/>
      <c r="D2320" s="87"/>
      <c r="E2320" s="88">
        <f>VLOOKUP($B2320,[1]DG!A:D,[1]DG!$B$2,)</f>
        <v>0</v>
      </c>
      <c r="F2320" s="89" t="str">
        <f>VLOOKUP($B2320,[1]DG!A:D,[1]DG!$C$2,)&amp;": "</f>
        <v xml:space="preserve">Chụp đầu cosse  200mm2: </v>
      </c>
      <c r="G2320" s="88" t="str">
        <f>VLOOKUP($B2320,[1]DG!A:D,[1]DG!$D$2,)</f>
        <v>cái</v>
      </c>
      <c r="H2320" s="145">
        <f>H2318</f>
        <v>0</v>
      </c>
      <c r="I2320" s="91">
        <f t="shared" si="94"/>
        <v>0</v>
      </c>
      <c r="J2320" s="146"/>
      <c r="K2320" s="146"/>
      <c r="L2320" s="96"/>
      <c r="M2320" s="56">
        <v>630</v>
      </c>
    </row>
    <row r="2321" spans="1:13" s="51" customFormat="1" ht="25.2" hidden="1" customHeight="1">
      <c r="A2321" s="68">
        <f t="shared" si="93"/>
        <v>0</v>
      </c>
      <c r="B2321" s="69" t="s">
        <v>554</v>
      </c>
      <c r="C2321" s="69"/>
      <c r="D2321" s="87"/>
      <c r="E2321" s="88">
        <f>VLOOKUP($B2321,[1]DG!A:D,[1]DG!$B$2,)</f>
        <v>0</v>
      </c>
      <c r="F2321" s="89" t="str">
        <f>VLOOKUP($B2321,[1]DG!A:D,[1]DG!$C$2,)&amp;": "</f>
        <v xml:space="preserve">Chụp đầu cosse  150mm2: </v>
      </c>
      <c r="G2321" s="88" t="str">
        <f>VLOOKUP($B2321,[1]DG!A:D,[1]DG!$D$2,)</f>
        <v>cái</v>
      </c>
      <c r="H2321" s="145">
        <f>H2319</f>
        <v>0</v>
      </c>
      <c r="I2321" s="91">
        <f t="shared" si="94"/>
        <v>0</v>
      </c>
      <c r="J2321" s="146"/>
      <c r="K2321" s="146"/>
      <c r="L2321" s="96"/>
      <c r="M2321" s="56">
        <v>630</v>
      </c>
    </row>
    <row r="2322" spans="1:13" s="51" customFormat="1" ht="25.2" hidden="1" customHeight="1">
      <c r="A2322" s="68">
        <f t="shared" si="93"/>
        <v>0</v>
      </c>
      <c r="B2322" s="69" t="s">
        <v>144</v>
      </c>
      <c r="C2322" s="69"/>
      <c r="D2322" s="87"/>
      <c r="E2322" s="88">
        <f>VLOOKUP($B2322,[1]DG!A:D,[1]DG!$B$2,)</f>
        <v>0</v>
      </c>
      <c r="F2322" s="89" t="str">
        <f>VLOOKUP($B2322,[1]DG!A:D,[1]DG!$C$2,)</f>
        <v xml:space="preserve">Ống PVC D114x4,9mm </v>
      </c>
      <c r="G2322" s="88" t="str">
        <f>VLOOKUP($B2322,[1]DG!A:D,[1]DG!$D$2,)</f>
        <v>m</v>
      </c>
      <c r="H2322" s="365"/>
      <c r="I2322" s="91">
        <f t="shared" si="94"/>
        <v>0</v>
      </c>
      <c r="J2322" s="146"/>
      <c r="K2322" s="146"/>
      <c r="L2322" s="96"/>
      <c r="M2322" s="56">
        <v>630</v>
      </c>
    </row>
    <row r="2323" spans="1:13" s="51" customFormat="1" ht="25.2" hidden="1" customHeight="1">
      <c r="A2323" s="68">
        <f t="shared" si="93"/>
        <v>0</v>
      </c>
      <c r="B2323" s="86" t="s">
        <v>435</v>
      </c>
      <c r="C2323" s="86"/>
      <c r="D2323" s="87"/>
      <c r="E2323" s="88" t="str">
        <f>VLOOKUP($B2323,[1]DG!A:D,[1]DG!$B$2,)</f>
        <v>06.3231</v>
      </c>
      <c r="F2323" s="89" t="str">
        <f>VLOOKUP($B2323,[1]DG!A:D,[1]DG!$C$2,)&amp;": CD-250"</f>
        <v>Cổ dê kẹp ống PVC Ø 114: CD-250</v>
      </c>
      <c r="G2323" s="88" t="str">
        <f>VLOOKUP($B2323,[1]DG!A:D,[1]DG!$D$2,)</f>
        <v>bộ</v>
      </c>
      <c r="H2323" s="145">
        <f>H2314*1.031</f>
        <v>0</v>
      </c>
      <c r="I2323" s="91">
        <f t="shared" si="94"/>
        <v>0</v>
      </c>
      <c r="J2323" s="146"/>
      <c r="K2323" s="146"/>
      <c r="L2323" s="96"/>
      <c r="M2323" s="56">
        <v>630</v>
      </c>
    </row>
    <row r="2324" spans="1:13" s="51" customFormat="1" ht="25.2" hidden="1" customHeight="1">
      <c r="A2324" s="68">
        <f t="shared" si="93"/>
        <v>0</v>
      </c>
      <c r="B2324" s="86" t="s">
        <v>435</v>
      </c>
      <c r="C2324" s="86"/>
      <c r="D2324" s="87"/>
      <c r="E2324" s="88" t="str">
        <f>VLOOKUP($B2324,[1]DG!A:D,[1]DG!$B$2,)</f>
        <v>06.3231</v>
      </c>
      <c r="F2324" s="89" t="str">
        <f>VLOOKUP($B2324,[1]DG!A:D,[1]DG!$C$2,)&amp;": CD-250"</f>
        <v>Cổ dê kẹp ống PVC Ø 114: CD-250</v>
      </c>
      <c r="G2324" s="88" t="str">
        <f>VLOOKUP($B2324,[1]DG!A:D,[1]DG!$D$2,)</f>
        <v>bộ</v>
      </c>
      <c r="H2324" s="145">
        <f>H2314*1.031</f>
        <v>0</v>
      </c>
      <c r="I2324" s="91">
        <f t="shared" si="94"/>
        <v>0</v>
      </c>
      <c r="J2324" s="146"/>
      <c r="K2324" s="146"/>
      <c r="L2324" s="96"/>
      <c r="M2324" s="56">
        <v>630</v>
      </c>
    </row>
    <row r="2325" spans="1:13" s="51" customFormat="1" ht="25.2" hidden="1" customHeight="1">
      <c r="A2325" s="68">
        <f t="shared" si="93"/>
        <v>0</v>
      </c>
      <c r="B2325" s="86" t="s">
        <v>435</v>
      </c>
      <c r="C2325" s="86"/>
      <c r="D2325" s="87"/>
      <c r="E2325" s="88" t="str">
        <f>VLOOKUP($B2325,[1]DG!A:D,[1]DG!$B$2,)</f>
        <v>06.3231</v>
      </c>
      <c r="F2325" s="89" t="str">
        <f>VLOOKUP($B2325,[1]DG!A:D,[1]DG!$C$2,)&amp;": CD-280"</f>
        <v>Cổ dê kẹp ống PVC Ø 114: CD-280</v>
      </c>
      <c r="G2325" s="88" t="str">
        <f>VLOOKUP($B2325,[1]DG!A:D,[1]DG!$D$2,)</f>
        <v>bộ</v>
      </c>
      <c r="H2325" s="145">
        <f>H2314*1.031</f>
        <v>0</v>
      </c>
      <c r="I2325" s="91">
        <f t="shared" si="94"/>
        <v>0</v>
      </c>
      <c r="J2325" s="146"/>
      <c r="K2325" s="146"/>
      <c r="L2325" s="96"/>
      <c r="M2325" s="56">
        <v>630</v>
      </c>
    </row>
    <row r="2326" spans="1:13" s="51" customFormat="1" ht="25.2" hidden="1" customHeight="1">
      <c r="A2326" s="68">
        <f t="shared" si="93"/>
        <v>0</v>
      </c>
      <c r="B2326" s="86" t="s">
        <v>87</v>
      </c>
      <c r="C2326" s="86"/>
      <c r="D2326" s="87"/>
      <c r="E2326" s="88" t="str">
        <f>VLOOKUP($B2326,[1]DG!A:D,[1]DG!$B$2,)</f>
        <v>06.2110</v>
      </c>
      <c r="F2326" s="89" t="str">
        <f>VLOOKUP($B2326,[1]DG!A:D,[1]DG!$C$2,)&amp;": CD-280"</f>
        <v>Lắp cổ dề: CD-280</v>
      </c>
      <c r="G2326" s="88" t="str">
        <f>VLOOKUP($B2326,[1]DG!A:D,[1]DG!$D$2,)</f>
        <v>bộ</v>
      </c>
      <c r="H2326" s="145">
        <f>H2315*1.031</f>
        <v>0</v>
      </c>
      <c r="I2326" s="91">
        <f t="shared" si="94"/>
        <v>0</v>
      </c>
      <c r="J2326" s="146"/>
      <c r="K2326" s="146"/>
      <c r="L2326" s="96"/>
      <c r="M2326" s="56">
        <v>630</v>
      </c>
    </row>
    <row r="2327" spans="1:13" s="51" customFormat="1" ht="25.2" hidden="1" customHeight="1">
      <c r="A2327" s="68">
        <f t="shared" si="93"/>
        <v>0</v>
      </c>
      <c r="B2327" s="86" t="s">
        <v>131</v>
      </c>
      <c r="C2327" s="86"/>
      <c r="D2327" s="87"/>
      <c r="E2327" s="88">
        <f>VLOOKUP($B2327,[1]DG!A:D,[1]DG!$B$2,)</f>
        <v>0</v>
      </c>
      <c r="F2327" s="89" t="str">
        <f>VLOOKUP($B2327,[1]DG!A:D,[1]DG!$C$2,)</f>
        <v>Boulon 12x40+ 2 long đền vuông D14-50x50x3/Zn</v>
      </c>
      <c r="G2327" s="88" t="str">
        <f>VLOOKUP($B2327,[1]DG!A:D,[1]DG!$D$2,)</f>
        <v>bộ</v>
      </c>
      <c r="H2327" s="145">
        <f>H2314*6</f>
        <v>0</v>
      </c>
      <c r="I2327" s="91">
        <f t="shared" si="94"/>
        <v>0</v>
      </c>
      <c r="J2327" s="146"/>
      <c r="K2327" s="146"/>
      <c r="L2327" s="96"/>
      <c r="M2327" s="56">
        <v>630</v>
      </c>
    </row>
    <row r="2328" spans="1:13" s="51" customFormat="1" ht="25.2" hidden="1" customHeight="1">
      <c r="A2328" s="68">
        <f t="shared" si="93"/>
        <v>0</v>
      </c>
      <c r="B2328" s="69" t="s">
        <v>217</v>
      </c>
      <c r="C2328" s="69"/>
      <c r="D2328" s="87"/>
      <c r="E2328" s="88">
        <f>VLOOKUP($B2328,[1]DG!A:D,[1]DG!$B$2,)</f>
        <v>0</v>
      </c>
      <c r="F2328" s="89" t="str">
        <f>VLOOKUP($B2328,[1]DG!A:D,[1]DG!$C$2,)</f>
        <v>Khâu ven răng trong D114</v>
      </c>
      <c r="G2328" s="88" t="str">
        <f>VLOOKUP($B2328,[1]DG!A:D,[1]DG!$D$2,)</f>
        <v>cái</v>
      </c>
      <c r="H2328" s="145">
        <f>IF(H2322&gt;0,H2314*#REF!,)</f>
        <v>0</v>
      </c>
      <c r="I2328" s="91">
        <f t="shared" si="94"/>
        <v>0</v>
      </c>
      <c r="J2328" s="146"/>
      <c r="K2328" s="146"/>
      <c r="L2328" s="96"/>
      <c r="M2328" s="56">
        <v>630</v>
      </c>
    </row>
    <row r="2329" spans="1:13" s="51" customFormat="1" ht="25.2" hidden="1" customHeight="1">
      <c r="A2329" s="68">
        <f t="shared" si="93"/>
        <v>0</v>
      </c>
      <c r="B2329" s="69" t="s">
        <v>218</v>
      </c>
      <c r="C2329" s="69"/>
      <c r="D2329" s="87"/>
      <c r="E2329" s="88">
        <f>VLOOKUP($B2329,[1]DG!A:D,[1]DG!$B$2,)</f>
        <v>0</v>
      </c>
      <c r="F2329" s="89" t="str">
        <f>VLOOKUP($B2329,[1]DG!A:D,[1]DG!$C$2,)&amp;": "</f>
        <v xml:space="preserve">Khâu ven răng ngoài D114: </v>
      </c>
      <c r="G2329" s="88" t="str">
        <f>VLOOKUP($B2329,[1]DG!A:D,[1]DG!$D$2,)</f>
        <v>cái</v>
      </c>
      <c r="H2329" s="145">
        <f>H2328</f>
        <v>0</v>
      </c>
      <c r="I2329" s="91">
        <f t="shared" si="94"/>
        <v>0</v>
      </c>
      <c r="J2329" s="146"/>
      <c r="K2329" s="146"/>
      <c r="L2329" s="96"/>
      <c r="M2329" s="56">
        <v>630</v>
      </c>
    </row>
    <row r="2330" spans="1:13" s="51" customFormat="1" ht="25.2" hidden="1" customHeight="1">
      <c r="A2330" s="68">
        <f t="shared" si="93"/>
        <v>0</v>
      </c>
      <c r="B2330" s="69" t="s">
        <v>114</v>
      </c>
      <c r="C2330" s="69"/>
      <c r="D2330" s="87"/>
      <c r="E2330" s="88">
        <f>VLOOKUP($B2330,[1]DG!A:D,[1]DG!$B$2,)</f>
        <v>0</v>
      </c>
      <c r="F2330" s="89" t="str">
        <f>VLOOKUP($B2330,[1]DG!A:D,[1]DG!$C$2,)&amp;": "</f>
        <v xml:space="preserve">Keo dán ống PVC (100gr): </v>
      </c>
      <c r="G2330" s="88" t="str">
        <f>VLOOKUP($B2330,[1]DG!A:D,[1]DG!$D$2,)</f>
        <v>tuýp</v>
      </c>
      <c r="H2330" s="145">
        <f>IF(H2322&gt;0,H2314*#REF!,)</f>
        <v>0</v>
      </c>
      <c r="I2330" s="91">
        <f t="shared" si="94"/>
        <v>0</v>
      </c>
      <c r="J2330" s="146"/>
      <c r="K2330" s="146"/>
      <c r="L2330" s="96"/>
      <c r="M2330" s="56">
        <v>630</v>
      </c>
    </row>
    <row r="2331" spans="1:13" s="51" customFormat="1" ht="25.2" hidden="1" customHeight="1">
      <c r="A2331" s="68">
        <f t="shared" si="93"/>
        <v>0</v>
      </c>
      <c r="B2331" s="86" t="s">
        <v>436</v>
      </c>
      <c r="C2331" s="86"/>
      <c r="D2331" s="87"/>
      <c r="E2331" s="88"/>
      <c r="F2331" s="89" t="str">
        <f>VLOOKUP($B2331,[1]DG!A:D,[1]DG!$C$2,)&amp;":"</f>
        <v>Keo silicon bít miệng ống:</v>
      </c>
      <c r="G2331" s="88" t="str">
        <f>VLOOKUP($B2331,[1]DG!A:D,[1]DG!$D$2,)</f>
        <v>ống</v>
      </c>
      <c r="H2331" s="365"/>
      <c r="I2331" s="91">
        <f t="shared" si="94"/>
        <v>0</v>
      </c>
      <c r="J2331" s="146"/>
      <c r="K2331" s="146"/>
      <c r="L2331" s="117"/>
      <c r="M2331" s="56">
        <v>630</v>
      </c>
    </row>
    <row r="2332" spans="1:13" s="51" customFormat="1" ht="25.2" hidden="1" customHeight="1">
      <c r="A2332" s="68">
        <f t="shared" si="93"/>
        <v>0</v>
      </c>
      <c r="B2332" s="69" t="s">
        <v>273</v>
      </c>
      <c r="C2332" s="69"/>
      <c r="D2332" s="87"/>
      <c r="E2332" s="88" t="str">
        <f>VLOOKUP($B2332,[1]DG!A:D,[1]DG!$B$2,)</f>
        <v>03.1401</v>
      </c>
      <c r="F2332" s="89" t="str">
        <f>VLOOKUP($B2332,[1]DG!A:D,[1]DG!$C$2,)</f>
        <v xml:space="preserve">Cáp CVV 4x2,5mm2  </v>
      </c>
      <c r="G2332" s="88" t="str">
        <f>VLOOKUP($B2332,[1]DG!A:D,[1]DG!$D$2,)</f>
        <v>mét</v>
      </c>
      <c r="H2332" s="365"/>
      <c r="I2332" s="91">
        <f t="shared" si="94"/>
        <v>0</v>
      </c>
      <c r="J2332" s="146"/>
      <c r="K2332" s="146"/>
      <c r="L2332" s="117"/>
      <c r="M2332" s="56">
        <v>630</v>
      </c>
    </row>
    <row r="2333" spans="1:13" s="51" customFormat="1" ht="25.2" hidden="1" customHeight="1">
      <c r="A2333" s="68">
        <f t="shared" si="93"/>
        <v>0</v>
      </c>
      <c r="B2333" s="69" t="s">
        <v>437</v>
      </c>
      <c r="C2333" s="69"/>
      <c r="D2333" s="87"/>
      <c r="E2333" s="88">
        <f>VLOOKUP($B2333,[1]DG!A:D,[1]DG!$B$2,)</f>
        <v>0</v>
      </c>
      <c r="F2333" s="89" t="str">
        <f>VLOOKUP($B2333,[1]DG!A:D,[1]DG!$C$2,)</f>
        <v>Dây rút cáp</v>
      </c>
      <c r="G2333" s="88" t="str">
        <f>VLOOKUP($B2333,[1]DG!A:D,[1]DG!$D$2,)</f>
        <v>bọc</v>
      </c>
      <c r="H2333" s="365"/>
      <c r="I2333" s="91">
        <f t="shared" si="94"/>
        <v>0</v>
      </c>
      <c r="J2333" s="146"/>
      <c r="K2333" s="146"/>
      <c r="L2333" s="117"/>
      <c r="M2333" s="56">
        <v>630</v>
      </c>
    </row>
    <row r="2334" spans="1:13" s="51" customFormat="1" ht="25.2" hidden="1" customHeight="1">
      <c r="A2334" s="68">
        <f t="shared" si="93"/>
        <v>0</v>
      </c>
      <c r="B2334" s="86" t="s">
        <v>148</v>
      </c>
      <c r="C2334" s="86"/>
      <c r="D2334" s="87"/>
      <c r="E2334" s="88">
        <f>VLOOKUP($B2334,[1]DG!A:D,[1]DG!$B$2,)</f>
        <v>0</v>
      </c>
      <c r="F2334" s="89" t="str">
        <f>VLOOKUP($B2334,[1]DG!A:D,[1]DG!$C$2,)&amp;":"</f>
        <v>Băng keo cách điện:</v>
      </c>
      <c r="G2334" s="88" t="str">
        <f>VLOOKUP($B2334,[1]DG!A:D,[1]DG!$D$2,)</f>
        <v>cuộn</v>
      </c>
      <c r="H2334" s="365"/>
      <c r="I2334" s="91">
        <f t="shared" si="94"/>
        <v>0</v>
      </c>
      <c r="J2334" s="146"/>
      <c r="K2334" s="146"/>
      <c r="L2334" s="96"/>
      <c r="M2334" s="56">
        <v>630</v>
      </c>
    </row>
    <row r="2335" spans="1:13" s="51" customFormat="1" ht="25.2" hidden="1" customHeight="1">
      <c r="A2335" s="68">
        <f t="shared" si="93"/>
        <v>0</v>
      </c>
      <c r="B2335" s="86" t="s">
        <v>410</v>
      </c>
      <c r="C2335" s="86"/>
      <c r="D2335" s="87"/>
      <c r="E2335" s="88" t="str">
        <f>VLOOKUP($B2335,[1]DG!A:D,[1]DG!$B$2,)</f>
        <v>05.6101</v>
      </c>
      <c r="F2335" s="89" t="str">
        <f>VLOOKUP($B2335,[1]DG!A:D,[1]DG!$C$2,)&amp;":"</f>
        <v>Lắp Giá đỡ cáp:</v>
      </c>
      <c r="G2335" s="88" t="str">
        <f>VLOOKUP($B2335,[1]DG!A:D,[1]DG!$D$2,)</f>
        <v>bộ</v>
      </c>
      <c r="H2335" s="145"/>
      <c r="I2335" s="91">
        <f t="shared" si="94"/>
        <v>0</v>
      </c>
      <c r="J2335" s="146"/>
      <c r="K2335" s="146"/>
      <c r="L2335" s="96"/>
      <c r="M2335" s="56">
        <v>630</v>
      </c>
    </row>
    <row r="2336" spans="1:13" s="51" customFormat="1" ht="25.2" hidden="1" customHeight="1">
      <c r="A2336" s="68">
        <f t="shared" ref="A2336:A2399" si="95">IF(I2336&gt;0,1,0)</f>
        <v>0</v>
      </c>
      <c r="B2336" s="86" t="s">
        <v>438</v>
      </c>
      <c r="C2336" s="86"/>
      <c r="D2336" s="87"/>
      <c r="E2336" s="88" t="str">
        <f>VLOOKUP($B2336,[1]DG!A:D,[1]DG!$B$2,)</f>
        <v>04.4203</v>
      </c>
      <c r="F2336" s="89" t="str">
        <f>VLOOKUP($B2336,[1]DG!A:D,[1]DG!$C$2,)&amp;":"</f>
        <v>Lắp cáp đồng xuống thiết bị D &gt; 150mm2:</v>
      </c>
      <c r="G2336" s="88" t="str">
        <f>VLOOKUP($B2336,[1]DG!A:D,[1]DG!$D$2,)</f>
        <v>m</v>
      </c>
      <c r="H2336" s="145">
        <f>H2316+H2317</f>
        <v>0</v>
      </c>
      <c r="I2336" s="91">
        <f t="shared" si="94"/>
        <v>0</v>
      </c>
      <c r="J2336" s="146"/>
      <c r="K2336" s="146"/>
      <c r="L2336" s="96"/>
      <c r="M2336" s="56">
        <v>630</v>
      </c>
    </row>
    <row r="2337" spans="1:13" s="51" customFormat="1" ht="25.2" hidden="1" customHeight="1">
      <c r="A2337" s="68">
        <f t="shared" si="95"/>
        <v>0</v>
      </c>
      <c r="B2337" s="86" t="s">
        <v>326</v>
      </c>
      <c r="C2337" s="86"/>
      <c r="D2337" s="87"/>
      <c r="E2337" s="88" t="str">
        <f>VLOOKUP($B2337,[1]DG!A:D,[1]DG!$B$2,)</f>
        <v>04.4202</v>
      </c>
      <c r="F2337" s="89" t="str">
        <f>VLOOKUP($B2337,[1]DG!A:D,[1]DG!$C$2,)&amp;":"</f>
        <v>Lắp cáp đồng xuống thiết bị D ≤ 150mm2:</v>
      </c>
      <c r="G2337" s="88" t="str">
        <f>VLOOKUP($B2337,[1]DG!A:D,[1]DG!$D$2,)</f>
        <v>m</v>
      </c>
      <c r="H2337" s="145"/>
      <c r="I2337" s="91">
        <f t="shared" si="94"/>
        <v>0</v>
      </c>
      <c r="J2337" s="146"/>
      <c r="K2337" s="146"/>
      <c r="L2337" s="117"/>
      <c r="M2337" s="56">
        <v>630</v>
      </c>
    </row>
    <row r="2338" spans="1:13" s="51" customFormat="1" ht="25.2" hidden="1" customHeight="1">
      <c r="A2338" s="68">
        <f t="shared" si="95"/>
        <v>0</v>
      </c>
      <c r="B2338" s="86" t="s">
        <v>439</v>
      </c>
      <c r="C2338" s="86"/>
      <c r="D2338" s="87"/>
      <c r="E2338" s="88">
        <f>VLOOKUP($B2338,[1]DG!A:D,[1]DG!$B$2,)</f>
        <v>0</v>
      </c>
      <c r="F2338" s="89" t="str">
        <f>VLOOKUP($B2338,[1]DG!A:D,[1]DG!$C$2,)&amp;":"</f>
        <v>Bộ móng tủ bù 0,2x0,2x0,4x4móng:</v>
      </c>
      <c r="G2338" s="88" t="str">
        <f>VLOOKUP($B2338,[1]DG!A:D,[1]DG!$D$2,)</f>
        <v>trọn bộ</v>
      </c>
      <c r="H2338" s="145">
        <f>H2314*1*0</f>
        <v>0</v>
      </c>
      <c r="I2338" s="91">
        <f t="shared" si="94"/>
        <v>0</v>
      </c>
      <c r="J2338" s="146"/>
      <c r="K2338" s="146"/>
      <c r="L2338" s="117"/>
      <c r="M2338" s="56">
        <v>630</v>
      </c>
    </row>
    <row r="2339" spans="1:13" s="51" customFormat="1" ht="25.2" hidden="1" customHeight="1">
      <c r="A2339" s="68">
        <f t="shared" si="95"/>
        <v>0</v>
      </c>
      <c r="B2339" s="86"/>
      <c r="C2339" s="86"/>
      <c r="D2339" s="220">
        <f>IF(H2339&gt;0,D2314+1,D2314)</f>
        <v>0</v>
      </c>
      <c r="E2339" s="238"/>
      <c r="F2339" s="247" t="s">
        <v>327</v>
      </c>
      <c r="G2339" s="220" t="s">
        <v>67</v>
      </c>
      <c r="H2339" s="365"/>
      <c r="I2339" s="91">
        <f t="shared" si="94"/>
        <v>0</v>
      </c>
      <c r="J2339" s="146"/>
      <c r="K2339" s="146"/>
      <c r="L2339" s="96"/>
      <c r="M2339" s="56">
        <v>630</v>
      </c>
    </row>
    <row r="2340" spans="1:13" s="147" customFormat="1" ht="25.2" hidden="1" customHeight="1">
      <c r="A2340" s="68">
        <f>IF(A2339&gt;0,1,0)</f>
        <v>0</v>
      </c>
      <c r="B2340" s="338"/>
      <c r="C2340" s="338"/>
      <c r="D2340" s="111"/>
      <c r="E2340" s="242"/>
      <c r="F2340" s="248" t="s">
        <v>68</v>
      </c>
      <c r="G2340" s="111"/>
      <c r="H2340" s="244"/>
      <c r="I2340" s="91">
        <f t="shared" si="94"/>
        <v>0</v>
      </c>
      <c r="J2340" s="146"/>
      <c r="K2340" s="146"/>
      <c r="L2340" s="96"/>
      <c r="M2340" s="56">
        <v>630</v>
      </c>
    </row>
    <row r="2341" spans="1:13" s="51" customFormat="1" ht="25.2" hidden="1" customHeight="1">
      <c r="A2341" s="68">
        <f t="shared" si="95"/>
        <v>0</v>
      </c>
      <c r="B2341" s="69" t="s">
        <v>273</v>
      </c>
      <c r="C2341" s="69"/>
      <c r="D2341" s="96"/>
      <c r="E2341" s="88" t="str">
        <f>VLOOKUP($B2341,[1]DG!A:D,[1]DG!$B$2,)</f>
        <v>03.1401</v>
      </c>
      <c r="F2341" s="92" t="str">
        <f>VLOOKUP($B2341,[1]DG!A:D,[1]DG!$C$2,)</f>
        <v xml:space="preserve">Cáp CVV 4x2,5mm2  </v>
      </c>
      <c r="G2341" s="339" t="str">
        <f>VLOOKUP($B2341,[1]DG!A:D,[1]DG!$D$2,)</f>
        <v>mét</v>
      </c>
      <c r="H2341" s="145">
        <f>H2339*26</f>
        <v>0</v>
      </c>
      <c r="I2341" s="91">
        <f t="shared" si="94"/>
        <v>0</v>
      </c>
      <c r="J2341" s="95"/>
      <c r="K2341" s="95"/>
      <c r="L2341" s="96"/>
      <c r="M2341" s="56">
        <v>630</v>
      </c>
    </row>
    <row r="2342" spans="1:13" s="51" customFormat="1" ht="25.2" hidden="1" customHeight="1">
      <c r="A2342" s="68">
        <f t="shared" si="95"/>
        <v>0</v>
      </c>
      <c r="B2342" s="69" t="s">
        <v>440</v>
      </c>
      <c r="C2342" s="69"/>
      <c r="D2342" s="96"/>
      <c r="E2342" s="88" t="str">
        <f>VLOOKUP($B2342,[1]DG!A:D,[1]DG!$B$2,)</f>
        <v>05.6101</v>
      </c>
      <c r="F2342" s="92" t="str">
        <f>VLOOKUP($B2342,[1]DG!A:D,[1]DG!$C$2,)</f>
        <v>Xà kẹp TU, TI U50x32x4 350</v>
      </c>
      <c r="G2342" s="339" t="str">
        <f>VLOOKUP($B2342,[1]DG!A:D,[1]DG!$D$2,)</f>
        <v>Bộ</v>
      </c>
      <c r="H2342" s="145">
        <f>H2339*24</f>
        <v>0</v>
      </c>
      <c r="I2342" s="91">
        <f t="shared" si="94"/>
        <v>0</v>
      </c>
      <c r="J2342" s="95"/>
      <c r="K2342" s="95"/>
      <c r="L2342" s="96"/>
      <c r="M2342" s="56">
        <v>630</v>
      </c>
    </row>
    <row r="2343" spans="1:13" s="51" customFormat="1" ht="25.2" hidden="1" customHeight="1">
      <c r="A2343" s="68">
        <f t="shared" si="95"/>
        <v>0</v>
      </c>
      <c r="B2343" s="69" t="s">
        <v>441</v>
      </c>
      <c r="C2343" s="69"/>
      <c r="D2343" s="87"/>
      <c r="E2343" s="88" t="str">
        <f>VLOOKUP($B2343,[1]DG!A:D,[1]DG!$B$2,)</f>
        <v>03.4001</v>
      </c>
      <c r="F2343" s="92" t="str">
        <f>VLOOKUP($B2343,[1]DG!A:D,[1]DG!$C$2,)</f>
        <v xml:space="preserve">Đầu cosse ép Cu 2,5mm2 + bao PVC </v>
      </c>
      <c r="G2343" s="339" t="str">
        <f>VLOOKUP($B2343,[1]DG!A:D,[1]DG!$D$2,)</f>
        <v>cái</v>
      </c>
      <c r="H2343" s="145">
        <f>H2339*16</f>
        <v>0</v>
      </c>
      <c r="I2343" s="91">
        <f t="shared" si="94"/>
        <v>0</v>
      </c>
      <c r="J2343" s="95"/>
      <c r="K2343" s="95"/>
      <c r="L2343" s="96"/>
      <c r="M2343" s="56">
        <v>630</v>
      </c>
    </row>
    <row r="2344" spans="1:13" s="51" customFormat="1" ht="25.2" hidden="1" customHeight="1">
      <c r="A2344" s="68">
        <f t="shared" si="95"/>
        <v>0</v>
      </c>
      <c r="B2344" s="69" t="s">
        <v>442</v>
      </c>
      <c r="C2344" s="69"/>
      <c r="D2344" s="87"/>
      <c r="E2344" s="88">
        <f>VLOOKUP($B2344,[1]DG!A:D,[1]DG!$B$2,)</f>
        <v>0</v>
      </c>
      <c r="F2344" s="92" t="str">
        <f>VLOOKUP($B2344,[1]DG!A:D,[1]DG!$C$2,)</f>
        <v>Dây điện đôi 16/10</v>
      </c>
      <c r="G2344" s="339" t="str">
        <f>VLOOKUP($B2344,[1]DG!A:D,[1]DG!$D$2,)</f>
        <v>mét</v>
      </c>
      <c r="H2344" s="145">
        <f>2*H2339</f>
        <v>0</v>
      </c>
      <c r="I2344" s="91">
        <f t="shared" si="94"/>
        <v>0</v>
      </c>
      <c r="J2344" s="95"/>
      <c r="K2344" s="95"/>
      <c r="L2344" s="96"/>
      <c r="M2344" s="56">
        <v>630</v>
      </c>
    </row>
    <row r="2345" spans="1:13" s="51" customFormat="1" ht="25.2" hidden="1" customHeight="1">
      <c r="A2345" s="68">
        <f t="shared" si="95"/>
        <v>0</v>
      </c>
      <c r="B2345" s="69" t="s">
        <v>85</v>
      </c>
      <c r="C2345" s="69"/>
      <c r="D2345" s="87"/>
      <c r="E2345" s="88">
        <f>VLOOKUP($B2345,[1]DG!A:D,[1]DG!$B$2,)</f>
        <v>0</v>
      </c>
      <c r="F2345" s="92" t="str">
        <f>VLOOKUP($B2345,[1]DG!A:D,[1]DG!$C$2,)&amp;" (ñaáu TU )"</f>
        <v>Kẹp ép cỡ dây 25mm2 (ñaáu TU )</v>
      </c>
      <c r="G2345" s="339" t="str">
        <f>VLOOKUP($B2345,[1]DG!A:D,[1]DG!$D$2,)</f>
        <v>cái</v>
      </c>
      <c r="H2345" s="145">
        <f>+H2339*3</f>
        <v>0</v>
      </c>
      <c r="I2345" s="91">
        <f t="shared" si="94"/>
        <v>0</v>
      </c>
      <c r="J2345" s="95"/>
      <c r="K2345" s="95"/>
      <c r="L2345" s="96"/>
      <c r="M2345" s="56">
        <v>630</v>
      </c>
    </row>
    <row r="2346" spans="1:13" s="51" customFormat="1" ht="25.2" hidden="1" customHeight="1">
      <c r="A2346" s="68">
        <f t="shared" si="95"/>
        <v>0</v>
      </c>
      <c r="B2346" s="69" t="s">
        <v>426</v>
      </c>
      <c r="C2346" s="69"/>
      <c r="D2346" s="87"/>
      <c r="E2346" s="88" t="str">
        <f>VLOOKUP($B2346,[1]DG!A:D,[1]DG!$B$2,)</f>
        <v>07.2403</v>
      </c>
      <c r="F2346" s="92" t="str">
        <f>VLOOKUP($B2346,[1]DG!A:D,[1]DG!$C$2,)</f>
        <v>Ống PVC D42x2,1mm</v>
      </c>
      <c r="G2346" s="339" t="str">
        <f>VLOOKUP($B2346,[1]DG!A:D,[1]DG!$D$2,)</f>
        <v>m</v>
      </c>
      <c r="H2346" s="145">
        <f>H2339*16</f>
        <v>0</v>
      </c>
      <c r="I2346" s="91">
        <f t="shared" si="94"/>
        <v>0</v>
      </c>
      <c r="J2346" s="95"/>
      <c r="K2346" s="95"/>
      <c r="L2346" s="96"/>
      <c r="M2346" s="56">
        <v>630</v>
      </c>
    </row>
    <row r="2347" spans="1:13" s="51" customFormat="1" ht="25.2" hidden="1" customHeight="1">
      <c r="A2347" s="68">
        <f t="shared" si="95"/>
        <v>0</v>
      </c>
      <c r="B2347" s="86" t="s">
        <v>443</v>
      </c>
      <c r="C2347" s="86"/>
      <c r="D2347" s="87"/>
      <c r="E2347" s="88" t="str">
        <f>VLOOKUP($B2347,[1]DG!A:D,[1]DG!$B$2,)</f>
        <v>06.3231</v>
      </c>
      <c r="F2347" s="92" t="str">
        <f>VLOOKUP($B2347,[1]DG!A:D,[1]DG!$C$2,)</f>
        <v>Cổ dê giữ ống PVC D42</v>
      </c>
      <c r="G2347" s="339" t="str">
        <f>VLOOKUP($B2347,[1]DG!A:D,[1]DG!$D$2,)</f>
        <v>bộ</v>
      </c>
      <c r="H2347" s="145">
        <f>H2339*4</f>
        <v>0</v>
      </c>
      <c r="I2347" s="91">
        <f t="shared" si="94"/>
        <v>0</v>
      </c>
      <c r="J2347" s="95"/>
      <c r="K2347" s="95"/>
      <c r="L2347" s="96"/>
      <c r="M2347" s="56">
        <v>630</v>
      </c>
    </row>
    <row r="2348" spans="1:13" s="51" customFormat="1" ht="25.2" hidden="1" customHeight="1">
      <c r="A2348" s="68">
        <f t="shared" si="95"/>
        <v>0</v>
      </c>
      <c r="B2348" s="69" t="s">
        <v>444</v>
      </c>
      <c r="C2348" s="69"/>
      <c r="D2348" s="87"/>
      <c r="E2348" s="88">
        <f>VLOOKUP($B2348,[1]DG!A:D,[1]DG!$B$2,)</f>
        <v>0</v>
      </c>
      <c r="F2348" s="92" t="str">
        <f>VLOOKUP($B2348,[1]DG!A:D,[1]DG!$C$2,)</f>
        <v>Co 90 độ PVC 42</v>
      </c>
      <c r="G2348" s="339" t="str">
        <f>VLOOKUP($B2348,[1]DG!A:D,[1]DG!$D$2,)</f>
        <v>cái</v>
      </c>
      <c r="H2348" s="145">
        <f>H2339*5</f>
        <v>0</v>
      </c>
      <c r="I2348" s="91">
        <f t="shared" si="94"/>
        <v>0</v>
      </c>
      <c r="J2348" s="95"/>
      <c r="K2348" s="95"/>
      <c r="L2348" s="96"/>
      <c r="M2348" s="56">
        <v>630</v>
      </c>
    </row>
    <row r="2349" spans="1:13" s="51" customFormat="1" ht="25.2" hidden="1" customHeight="1">
      <c r="A2349" s="68">
        <f t="shared" si="95"/>
        <v>0</v>
      </c>
      <c r="B2349" s="69" t="s">
        <v>427</v>
      </c>
      <c r="C2349" s="69"/>
      <c r="D2349" s="87"/>
      <c r="E2349" s="88">
        <f>VLOOKUP($B2349,[1]DG!A:D,[1]DG!$B$2,)</f>
        <v>0</v>
      </c>
      <c r="F2349" s="92" t="str">
        <f>VLOOKUP($B2349,[1]DG!A:D,[1]DG!$C$2,)</f>
        <v>Co chữ T ống PVC 42</v>
      </c>
      <c r="G2349" s="339" t="str">
        <f>VLOOKUP($B2349,[1]DG!A:D,[1]DG!$D$2,)</f>
        <v>cái</v>
      </c>
      <c r="H2349" s="145">
        <f>H2339*5</f>
        <v>0</v>
      </c>
      <c r="I2349" s="91">
        <f t="shared" si="94"/>
        <v>0</v>
      </c>
      <c r="J2349" s="95"/>
      <c r="K2349" s="95"/>
      <c r="L2349" s="96"/>
      <c r="M2349" s="56">
        <v>630</v>
      </c>
    </row>
    <row r="2350" spans="1:13" s="51" customFormat="1" ht="25.2" hidden="1" customHeight="1">
      <c r="A2350" s="68">
        <f t="shared" si="95"/>
        <v>0</v>
      </c>
      <c r="B2350" s="69" t="s">
        <v>445</v>
      </c>
      <c r="C2350" s="69"/>
      <c r="D2350" s="87"/>
      <c r="E2350" s="88">
        <f>VLOOKUP($B2350,[1]DG!A:D,[1]DG!$B$2,)</f>
        <v>0</v>
      </c>
      <c r="F2350" s="92" t="str">
        <f>VLOOKUP($B2350,[1]DG!A:D,[1]DG!$C$2,)</f>
        <v>Nối thẳng ống PVC 42</v>
      </c>
      <c r="G2350" s="339" t="str">
        <f>VLOOKUP($B2350,[1]DG!A:D,[1]DG!$D$2,)</f>
        <v>cái</v>
      </c>
      <c r="H2350" s="145">
        <f>H2339</f>
        <v>0</v>
      </c>
      <c r="I2350" s="91">
        <f t="shared" si="94"/>
        <v>0</v>
      </c>
      <c r="J2350" s="95"/>
      <c r="K2350" s="95"/>
      <c r="L2350" s="96"/>
      <c r="M2350" s="56">
        <v>630</v>
      </c>
    </row>
    <row r="2351" spans="1:13" s="51" customFormat="1" ht="25.2" hidden="1" customHeight="1">
      <c r="A2351" s="68">
        <f t="shared" si="95"/>
        <v>0</v>
      </c>
      <c r="B2351" s="69" t="s">
        <v>98</v>
      </c>
      <c r="C2351" s="69"/>
      <c r="D2351" s="87"/>
      <c r="E2351" s="88">
        <f>VLOOKUP($B2351,[1]DG!A:D,[1]DG!$B$2,)</f>
        <v>0</v>
      </c>
      <c r="F2351" s="92" t="str">
        <f>VLOOKUP($B2351,[1]DG!A:D,[1]DG!$C$2,)&amp;" ñaáu TU"</f>
        <v>Cáp 24KV CX-25mm2 ñaáu TU</v>
      </c>
      <c r="G2351" s="339" t="str">
        <f>VLOOKUP($B2351,[1]DG!A:D,[1]DG!$D$2,)</f>
        <v>mét</v>
      </c>
      <c r="H2351" s="145">
        <f>H2339*2.5*3*0</f>
        <v>0</v>
      </c>
      <c r="I2351" s="91">
        <f t="shared" si="94"/>
        <v>0</v>
      </c>
      <c r="J2351" s="95"/>
      <c r="K2351" s="95"/>
      <c r="L2351" s="96"/>
      <c r="M2351" s="56">
        <v>630</v>
      </c>
    </row>
    <row r="2352" spans="1:13" s="51" customFormat="1" ht="25.2" hidden="1" customHeight="1">
      <c r="A2352" s="68">
        <f t="shared" si="95"/>
        <v>0</v>
      </c>
      <c r="B2352" s="69" t="s">
        <v>446</v>
      </c>
      <c r="C2352" s="69"/>
      <c r="D2352" s="87"/>
      <c r="E2352" s="88">
        <f>VLOOKUP($B2352,[1]DG!A:D,[1]DG!$B$2,)</f>
        <v>0</v>
      </c>
      <c r="F2352" s="92" t="str">
        <f>VLOOKUP($B2352,[1]DG!A:D,[1]DG!$C$2,)</f>
        <v>Keo dán ống PVC (500gr)</v>
      </c>
      <c r="G2352" s="339" t="str">
        <f>VLOOKUP($B2352,[1]DG!A:D,[1]DG!$D$2,)</f>
        <v>lon</v>
      </c>
      <c r="H2352" s="145">
        <f>H2339</f>
        <v>0</v>
      </c>
      <c r="I2352" s="91">
        <f t="shared" si="94"/>
        <v>0</v>
      </c>
      <c r="J2352" s="95"/>
      <c r="K2352" s="95"/>
      <c r="L2352" s="96"/>
      <c r="M2352" s="56">
        <v>630</v>
      </c>
    </row>
    <row r="2353" spans="1:13" s="51" customFormat="1" ht="25.2" hidden="1" customHeight="1">
      <c r="A2353" s="68">
        <f t="shared" si="95"/>
        <v>0</v>
      </c>
      <c r="B2353" s="86" t="s">
        <v>148</v>
      </c>
      <c r="C2353" s="86"/>
      <c r="D2353" s="87"/>
      <c r="E2353" s="88">
        <f>VLOOKUP($B2353,[1]DG!A:D,[1]DG!$B$2,)</f>
        <v>0</v>
      </c>
      <c r="F2353" s="92" t="str">
        <f>VLOOKUP($B2353,[1]DG!A:D,[1]DG!$C$2,)</f>
        <v>Băng keo cách điện</v>
      </c>
      <c r="G2353" s="339" t="str">
        <f>VLOOKUP($B2353,[1]DG!A:D,[1]DG!$D$2,)</f>
        <v>cuộn</v>
      </c>
      <c r="H2353" s="145">
        <f>H2339</f>
        <v>0</v>
      </c>
      <c r="I2353" s="91">
        <f t="shared" si="94"/>
        <v>0</v>
      </c>
      <c r="J2353" s="146"/>
      <c r="K2353" s="146"/>
      <c r="L2353" s="96"/>
      <c r="M2353" s="56">
        <v>630</v>
      </c>
    </row>
    <row r="2354" spans="1:13" s="51" customFormat="1" ht="25.2" hidden="1" customHeight="1">
      <c r="A2354" s="68">
        <f t="shared" si="95"/>
        <v>0</v>
      </c>
      <c r="B2354" s="69" t="s">
        <v>428</v>
      </c>
      <c r="C2354" s="69"/>
      <c r="D2354" s="87"/>
      <c r="E2354" s="88">
        <f>VLOOKUP($B2354,[1]DG!A:D,[1]DG!$B$2,)</f>
        <v>0</v>
      </c>
      <c r="F2354" s="92" t="str">
        <f>VLOOKUP($B2354,[1]DG!A:D,[1]DG!$C$2,)</f>
        <v>Khâu ven răng trong D42</v>
      </c>
      <c r="G2354" s="339" t="str">
        <f>VLOOKUP($B2354,[1]DG!A:D,[1]DG!$D$2,)</f>
        <v>cái</v>
      </c>
      <c r="H2354" s="145">
        <f>H2339</f>
        <v>0</v>
      </c>
      <c r="I2354" s="91">
        <f t="shared" si="94"/>
        <v>0</v>
      </c>
      <c r="J2354" s="146"/>
      <c r="K2354" s="146"/>
      <c r="L2354" s="96"/>
      <c r="M2354" s="56">
        <v>630</v>
      </c>
    </row>
    <row r="2355" spans="1:13" s="51" customFormat="1" ht="25.2" hidden="1" customHeight="1">
      <c r="A2355" s="68">
        <f t="shared" si="95"/>
        <v>0</v>
      </c>
      <c r="B2355" s="86" t="s">
        <v>429</v>
      </c>
      <c r="C2355" s="86"/>
      <c r="D2355" s="87"/>
      <c r="E2355" s="88">
        <f>VLOOKUP($B2355,[1]DG!A:D,[1]DG!$B$2,)</f>
        <v>0</v>
      </c>
      <c r="F2355" s="92" t="str">
        <f>VLOOKUP($B2355,[1]DG!A:D,[1]DG!$C$2,)</f>
        <v>Khâu ven răng ngoài D42</v>
      </c>
      <c r="G2355" s="339" t="str">
        <f>VLOOKUP($B2355,[1]DG!A:D,[1]DG!$D$2,)</f>
        <v>cái</v>
      </c>
      <c r="H2355" s="145">
        <f>H2339</f>
        <v>0</v>
      </c>
      <c r="I2355" s="91">
        <f t="shared" si="94"/>
        <v>0</v>
      </c>
      <c r="J2355" s="146"/>
      <c r="K2355" s="146"/>
      <c r="L2355" s="96"/>
      <c r="M2355" s="56">
        <v>630</v>
      </c>
    </row>
    <row r="2356" spans="1:13" s="51" customFormat="1" ht="25.2" hidden="1" customHeight="1">
      <c r="A2356" s="68">
        <f t="shared" si="95"/>
        <v>0</v>
      </c>
      <c r="B2356" s="86" t="s">
        <v>317</v>
      </c>
      <c r="C2356" s="86"/>
      <c r="D2356" s="87"/>
      <c r="E2356" s="88" t="str">
        <f>VLOOKUP($B2356,[1]DG!A:D,[1]DG!$B$2,)</f>
        <v>06.3231</v>
      </c>
      <c r="F2356" s="92" t="str">
        <f>VLOOKUP($B2356,[1]DG!A:D,[1]DG!$C$2,)</f>
        <v>Cổ dê CDĐKĐT( bắt thùng điện kế)</v>
      </c>
      <c r="G2356" s="339" t="str">
        <f>VLOOKUP($B2356,[1]DG!A:D,[1]DG!$D$2,)</f>
        <v>bộ</v>
      </c>
      <c r="H2356" s="340">
        <f>H2339*2*0</f>
        <v>0</v>
      </c>
      <c r="I2356" s="91">
        <f t="shared" si="94"/>
        <v>0</v>
      </c>
      <c r="J2356" s="146"/>
      <c r="K2356" s="146"/>
      <c r="L2356" s="117"/>
      <c r="M2356" s="56">
        <v>630</v>
      </c>
    </row>
    <row r="2357" spans="1:13" s="51" customFormat="1" ht="25.2" hidden="1" customHeight="1">
      <c r="A2357" s="68">
        <f t="shared" si="95"/>
        <v>0</v>
      </c>
      <c r="B2357" s="86" t="s">
        <v>447</v>
      </c>
      <c r="C2357" s="86"/>
      <c r="D2357" s="87"/>
      <c r="E2357" s="88" t="str">
        <f>VLOOKUP($B2357,[1]DG!A:D,[1]DG!$B$2,)</f>
        <v>05.1101</v>
      </c>
      <c r="F2357" s="92" t="str">
        <f>VLOOKUP($B2357,[1]DG!A:D,[1]DG!$C$2,)</f>
        <v>Thùng điện kế 450x300x200mm đo đếm trung thế</v>
      </c>
      <c r="G2357" s="339" t="str">
        <f>VLOOKUP($B2357,[1]DG!A:D,[1]DG!$D$2,)</f>
        <v>cái</v>
      </c>
      <c r="H2357" s="145">
        <f>H2339*0</f>
        <v>0</v>
      </c>
      <c r="I2357" s="91">
        <f t="shared" si="94"/>
        <v>0</v>
      </c>
      <c r="J2357" s="146"/>
      <c r="K2357" s="146"/>
      <c r="L2357" s="96"/>
      <c r="M2357" s="56">
        <v>630</v>
      </c>
    </row>
    <row r="2358" spans="1:13" s="51" customFormat="1" ht="25.2" hidden="1" customHeight="1">
      <c r="A2358" s="68">
        <f t="shared" si="95"/>
        <v>0</v>
      </c>
      <c r="B2358" s="86" t="s">
        <v>436</v>
      </c>
      <c r="C2358" s="86"/>
      <c r="D2358" s="87"/>
      <c r="E2358" s="88">
        <f>VLOOKUP($B2358,[1]DG!A:D,[1]DG!$B$2,)</f>
        <v>0</v>
      </c>
      <c r="F2358" s="92" t="str">
        <f>VLOOKUP($B2358,[1]DG!A:D,[1]DG!$C$2,)</f>
        <v>Keo silicon bít miệng ống</v>
      </c>
      <c r="G2358" s="339" t="str">
        <f>VLOOKUP($B2358,[1]DG!A:D,[1]DG!$D$2,)</f>
        <v>ống</v>
      </c>
      <c r="H2358" s="145">
        <f>H2339</f>
        <v>0</v>
      </c>
      <c r="I2358" s="91">
        <f t="shared" si="94"/>
        <v>0</v>
      </c>
      <c r="J2358" s="146"/>
      <c r="K2358" s="146"/>
      <c r="L2358" s="96"/>
      <c r="M2358" s="56">
        <v>630</v>
      </c>
    </row>
    <row r="2359" spans="1:13" s="51" customFormat="1" ht="25.2" hidden="1" customHeight="1">
      <c r="A2359" s="68">
        <f t="shared" si="95"/>
        <v>0</v>
      </c>
      <c r="B2359" s="86" t="s">
        <v>448</v>
      </c>
      <c r="C2359" s="86"/>
      <c r="D2359" s="87"/>
      <c r="E2359" s="88">
        <f>VLOOKUP($B2359,[1]DG!A:D,[1]DG!$B$2,)</f>
        <v>0</v>
      </c>
      <c r="F2359" s="92" t="str">
        <f>VLOOKUP($B2359,[1]DG!A:D,[1]DG!$C$2,)</f>
        <v>Dây đồng trần mềm dẹt</v>
      </c>
      <c r="G2359" s="339" t="str">
        <f>VLOOKUP($B2359,[1]DG!A:D,[1]DG!$D$2,)</f>
        <v>mét</v>
      </c>
      <c r="H2359" s="145">
        <f>H2339*4</f>
        <v>0</v>
      </c>
      <c r="I2359" s="91">
        <f t="shared" si="94"/>
        <v>0</v>
      </c>
      <c r="J2359" s="146"/>
      <c r="K2359" s="146"/>
      <c r="L2359" s="96"/>
      <c r="M2359" s="56">
        <v>630</v>
      </c>
    </row>
    <row r="2360" spans="1:13" s="51" customFormat="1" ht="25.2" hidden="1" customHeight="1">
      <c r="A2360" s="68">
        <f t="shared" si="95"/>
        <v>0</v>
      </c>
      <c r="B2360" s="86" t="s">
        <v>449</v>
      </c>
      <c r="C2360" s="86"/>
      <c r="D2360" s="87"/>
      <c r="E2360" s="88" t="str">
        <f>VLOOKUP($B2360,[1]DG!A:D,[1]DG!$B$2,)</f>
        <v>06.3191</v>
      </c>
      <c r="F2360" s="92" t="str">
        <f>VLOOKUP($B2360,[1]DG!A:D,[1]DG!$C$2,)</f>
        <v>Bảng tên trạm, bảng báo nguy hiểm + đinh vít</v>
      </c>
      <c r="G2360" s="339" t="str">
        <f>VLOOKUP($B2360,[1]DG!A:D,[1]DG!$D$2,)</f>
        <v>bộ</v>
      </c>
      <c r="H2360" s="145">
        <f>H2339</f>
        <v>0</v>
      </c>
      <c r="I2360" s="91">
        <f t="shared" si="94"/>
        <v>0</v>
      </c>
      <c r="J2360" s="146"/>
      <c r="K2360" s="146"/>
      <c r="L2360" s="96"/>
      <c r="M2360" s="56">
        <v>630</v>
      </c>
    </row>
    <row r="2361" spans="1:13" s="51" customFormat="1" ht="25.2" hidden="1" customHeight="1">
      <c r="A2361" s="68">
        <f t="shared" si="95"/>
        <v>0</v>
      </c>
      <c r="B2361" s="86" t="s">
        <v>157</v>
      </c>
      <c r="C2361" s="86"/>
      <c r="D2361" s="87"/>
      <c r="E2361" s="88">
        <f>VLOOKUP($B2361,[1]DG!A:D,[1]DG!$B$2,)</f>
        <v>0</v>
      </c>
      <c r="F2361" s="92" t="str">
        <f>VLOOKUP($B2361,[1]DG!A:D,[1]DG!$C$2,)&amp;" baét thuøng ÑKÑT"</f>
        <v>Boulon 12x60+ 2 long đền vuông D14-50x50x3/Zn baét thuøng ÑKÑT</v>
      </c>
      <c r="G2361" s="339" t="str">
        <f>VLOOKUP($B2361,[1]DG!A:D,[1]DG!$D$2,)</f>
        <v>bộ</v>
      </c>
      <c r="H2361" s="145">
        <f>4*H2339*0</f>
        <v>0</v>
      </c>
      <c r="I2361" s="91">
        <f t="shared" si="94"/>
        <v>0</v>
      </c>
      <c r="J2361" s="146"/>
      <c r="K2361" s="146"/>
      <c r="L2361" s="96"/>
      <c r="M2361" s="56">
        <v>630</v>
      </c>
    </row>
    <row r="2362" spans="1:13" s="51" customFormat="1" ht="25.2" hidden="1" customHeight="1">
      <c r="A2362" s="68">
        <f t="shared" si="95"/>
        <v>0</v>
      </c>
      <c r="B2362" s="86"/>
      <c r="C2362" s="86"/>
      <c r="D2362" s="276"/>
      <c r="E2362" s="277"/>
      <c r="F2362" s="267" t="s">
        <v>450</v>
      </c>
      <c r="G2362" s="267"/>
      <c r="H2362" s="191"/>
      <c r="I2362" s="91">
        <f t="shared" ref="I2362:I2425" si="96">IF(M2362=$M$23,H2362+J2362-K2362,0)</f>
        <v>0</v>
      </c>
      <c r="J2362" s="267"/>
      <c r="K2362" s="267"/>
      <c r="L2362" s="133"/>
      <c r="M2362" s="56">
        <v>630</v>
      </c>
    </row>
    <row r="2363" spans="1:13" s="51" customFormat="1" ht="25.2" hidden="1" customHeight="1">
      <c r="A2363" s="68">
        <f t="shared" si="95"/>
        <v>0</v>
      </c>
      <c r="B2363" s="86" t="s">
        <v>451</v>
      </c>
      <c r="C2363" s="86"/>
      <c r="D2363" s="87"/>
      <c r="E2363" s="88" t="str">
        <f>VLOOKUP($B2363,[1]DG!A:D,[1]DG!$B$2,)</f>
        <v>02.5114</v>
      </c>
      <c r="F2363" s="92" t="s">
        <v>452</v>
      </c>
      <c r="G2363" s="339" t="str">
        <f>VLOOKUP($B2363,[1]DG!A:D,[1]DG!$D$2,)</f>
        <v>cái</v>
      </c>
      <c r="H2363" s="145"/>
      <c r="I2363" s="91">
        <f t="shared" si="96"/>
        <v>0</v>
      </c>
      <c r="J2363" s="146"/>
      <c r="K2363" s="146"/>
      <c r="L2363" s="96" t="s">
        <v>453</v>
      </c>
      <c r="M2363" s="56">
        <v>630</v>
      </c>
    </row>
    <row r="2364" spans="1:13" s="51" customFormat="1" ht="25.2" hidden="1" customHeight="1">
      <c r="A2364" s="68">
        <f t="shared" si="95"/>
        <v>0</v>
      </c>
      <c r="B2364" s="86" t="s">
        <v>454</v>
      </c>
      <c r="C2364" s="86"/>
      <c r="D2364" s="87"/>
      <c r="E2364" s="88" t="str">
        <f>VLOOKUP($B2364,[1]DG!A:D,[1]DG!$B$2,)</f>
        <v>05.6011</v>
      </c>
      <c r="F2364" s="92" t="s">
        <v>455</v>
      </c>
      <c r="G2364" s="339" t="str">
        <f>VLOOKUP($B2364,[1]DG!A:D,[1]DG!$D$2,)</f>
        <v>bộ</v>
      </c>
      <c r="H2364" s="145"/>
      <c r="I2364" s="91">
        <f t="shared" si="96"/>
        <v>0</v>
      </c>
      <c r="J2364" s="146"/>
      <c r="K2364" s="146"/>
      <c r="L2364" s="117"/>
      <c r="M2364" s="56">
        <v>630</v>
      </c>
    </row>
    <row r="2365" spans="1:13" s="51" customFormat="1" ht="25.2" hidden="1" customHeight="1">
      <c r="A2365" s="68">
        <f t="shared" si="95"/>
        <v>0</v>
      </c>
      <c r="B2365" s="86"/>
      <c r="C2365" s="86"/>
      <c r="D2365" s="341"/>
      <c r="E2365" s="296"/>
      <c r="F2365" s="267"/>
      <c r="G2365" s="297"/>
      <c r="H2365" s="298"/>
      <c r="I2365" s="91">
        <f t="shared" si="96"/>
        <v>0</v>
      </c>
      <c r="J2365" s="342"/>
      <c r="K2365" s="343"/>
      <c r="L2365" s="100"/>
      <c r="M2365" s="56"/>
    </row>
    <row r="2366" spans="1:13" s="51" customFormat="1" ht="25.2" hidden="1" customHeight="1">
      <c r="A2366" s="68">
        <f t="shared" si="95"/>
        <v>0</v>
      </c>
      <c r="B2366" s="86"/>
      <c r="C2366" s="86"/>
      <c r="F2366" s="344"/>
      <c r="H2366" s="66"/>
      <c r="I2366" s="91">
        <f t="shared" si="96"/>
        <v>0</v>
      </c>
      <c r="M2366" s="56"/>
    </row>
    <row r="2367" spans="1:13" s="51" customFormat="1" ht="25.2" hidden="1" customHeight="1">
      <c r="A2367" s="68">
        <f t="shared" si="95"/>
        <v>0</v>
      </c>
      <c r="B2367" s="262"/>
      <c r="C2367" s="262"/>
      <c r="D2367" s="263" t="e">
        <f>"BAÛNG TOÅNG HÔÏP VAÄT LIEÄU, NHAÂN COÂNG, MAÙY THI COÂNG : "&amp;#REF!&amp;" TRAÏM 3P_1000KVA"</f>
        <v>#REF!</v>
      </c>
      <c r="E2367" s="263"/>
      <c r="F2367" s="263"/>
      <c r="G2367" s="263"/>
      <c r="H2367" s="264"/>
      <c r="I2367" s="91">
        <f t="shared" si="96"/>
        <v>0</v>
      </c>
      <c r="J2367" s="345"/>
      <c r="K2367" s="345"/>
      <c r="L2367" s="346"/>
      <c r="M2367" s="56"/>
    </row>
    <row r="2368" spans="1:13" s="51" customFormat="1" ht="25.2" hidden="1" customHeight="1">
      <c r="A2368" s="68">
        <f t="shared" si="95"/>
        <v>0</v>
      </c>
      <c r="B2368" s="69"/>
      <c r="C2368" s="69"/>
      <c r="D2368" s="265"/>
      <c r="E2368" s="266"/>
      <c r="F2368" s="267" t="s">
        <v>53</v>
      </c>
      <c r="G2368" s="268"/>
      <c r="H2368" s="305"/>
      <c r="I2368" s="91">
        <f t="shared" si="96"/>
        <v>0</v>
      </c>
      <c r="J2368" s="268"/>
      <c r="K2368" s="268"/>
      <c r="L2368" s="133"/>
      <c r="M2368" s="56">
        <v>1000</v>
      </c>
    </row>
    <row r="2369" spans="1:13" s="51" customFormat="1" ht="25.2" hidden="1" customHeight="1">
      <c r="A2369" s="68">
        <f t="shared" si="95"/>
        <v>0</v>
      </c>
      <c r="B2369" s="86" t="s">
        <v>555</v>
      </c>
      <c r="C2369" s="86"/>
      <c r="D2369" s="87">
        <f>IF(H2369&gt;0,1,0)</f>
        <v>0</v>
      </c>
      <c r="E2369" s="88" t="str">
        <f>VLOOKUP($B2369,[1]DG!A:D,[1]DG!$B$2,)</f>
        <v>01.1147</v>
      </c>
      <c r="F2369" s="89" t="str">
        <f>VLOOKUP($B2369,[1]DG!A:D,[1]DG!$C$2,)</f>
        <v>Máy biến áp 22/0,4kV- 1000kVA</v>
      </c>
      <c r="G2369" s="88" t="str">
        <f>VLOOKUP($B2369,[1]DG!A:D,[1]DG!$D$2,)</f>
        <v>máy</v>
      </c>
      <c r="H2369" s="306">
        <f>L16</f>
        <v>0</v>
      </c>
      <c r="I2369" s="91">
        <f t="shared" si="96"/>
        <v>0</v>
      </c>
      <c r="J2369" s="92"/>
      <c r="K2369" s="92"/>
      <c r="L2369" s="366"/>
      <c r="M2369" s="56">
        <v>1000</v>
      </c>
    </row>
    <row r="2370" spans="1:13" s="51" customFormat="1" ht="25.2" hidden="1" customHeight="1">
      <c r="A2370" s="68">
        <f t="shared" si="95"/>
        <v>0</v>
      </c>
      <c r="B2370" s="86" t="s">
        <v>556</v>
      </c>
      <c r="C2370" s="86"/>
      <c r="D2370" s="87">
        <f t="shared" ref="D2370:D2376" si="97">IF(H2370&gt;0,D2369+1,D2369)</f>
        <v>0</v>
      </c>
      <c r="E2370" s="88" t="str">
        <f>VLOOKUP($B2370,[1]DG!A:D,[1]DG!$B$2,)</f>
        <v>02.3302</v>
      </c>
      <c r="F2370" s="89" t="str">
        <f>VLOOKUP($B2370,[1]DG!A:D,[1]DG!$C$2,)</f>
        <v xml:space="preserve">DS 3P - 24KV - 630A </v>
      </c>
      <c r="G2370" s="88" t="str">
        <f>VLOOKUP($B2370,[1]DG!A:D,[1]DG!$D$2,)</f>
        <v>bộ</v>
      </c>
      <c r="H2370" s="145">
        <f>H2369</f>
        <v>0</v>
      </c>
      <c r="I2370" s="91">
        <f t="shared" si="96"/>
        <v>0</v>
      </c>
      <c r="J2370" s="92"/>
      <c r="K2370" s="92"/>
      <c r="L2370" s="117"/>
      <c r="M2370" s="56">
        <v>1000</v>
      </c>
    </row>
    <row r="2371" spans="1:13" s="51" customFormat="1" ht="25.2" hidden="1" customHeight="1">
      <c r="A2371" s="68">
        <f t="shared" si="95"/>
        <v>0</v>
      </c>
      <c r="B2371" s="69" t="s">
        <v>557</v>
      </c>
      <c r="C2371" s="69"/>
      <c r="D2371" s="87">
        <f t="shared" si="97"/>
        <v>0</v>
      </c>
      <c r="E2371" s="88" t="str">
        <f>VLOOKUP($B2371,[1]DG!A:D,[1]DG!$B$2,)</f>
        <v>05.2102</v>
      </c>
      <c r="F2371" s="89" t="str">
        <f>VLOOKUP($B2371,[1]DG!A:D,[1]DG!$C$2,)</f>
        <v>Tủ LBS 3 pha 630-800A</v>
      </c>
      <c r="G2371" s="88" t="str">
        <f>VLOOKUP($B2371,[1]DG!A:D,[1]DG!$D$2,)</f>
        <v>tủ</v>
      </c>
      <c r="H2371" s="145">
        <f>H2369</f>
        <v>0</v>
      </c>
      <c r="I2371" s="91">
        <f t="shared" si="96"/>
        <v>0</v>
      </c>
      <c r="J2371" s="92"/>
      <c r="K2371" s="92"/>
      <c r="L2371" s="96" t="s">
        <v>558</v>
      </c>
      <c r="M2371" s="56">
        <v>1000</v>
      </c>
    </row>
    <row r="2372" spans="1:13" s="51" customFormat="1" ht="25.2" hidden="1" customHeight="1">
      <c r="A2372" s="68">
        <f t="shared" si="95"/>
        <v>0</v>
      </c>
      <c r="B2372" s="86" t="s">
        <v>56</v>
      </c>
      <c r="C2372" s="86"/>
      <c r="D2372" s="87">
        <f t="shared" si="97"/>
        <v>0</v>
      </c>
      <c r="E2372" s="88" t="str">
        <f>VLOOKUP($B2372,[1]DG!A:D,[1]DG!$B$2,)</f>
        <v>02.3155</v>
      </c>
      <c r="F2372" s="89" t="str">
        <f>VLOOKUP($B2372,[1]DG!A:D,[1]DG!$C$2,)</f>
        <v>FCO 27kV - 100A</v>
      </c>
      <c r="G2372" s="88" t="str">
        <f>VLOOKUP($B2372,[1]DG!A:D,[1]DG!$D$2,)</f>
        <v>cái</v>
      </c>
      <c r="H2372" s="145">
        <f>+H2369*3</f>
        <v>0</v>
      </c>
      <c r="I2372" s="91">
        <f t="shared" si="96"/>
        <v>0</v>
      </c>
      <c r="J2372" s="146"/>
      <c r="K2372" s="146"/>
      <c r="L2372" s="117"/>
      <c r="M2372" s="56">
        <v>1000</v>
      </c>
    </row>
    <row r="2373" spans="1:13" s="51" customFormat="1" ht="25.2" hidden="1" customHeight="1">
      <c r="A2373" s="68">
        <f t="shared" si="95"/>
        <v>0</v>
      </c>
      <c r="B2373" s="86" t="s">
        <v>559</v>
      </c>
      <c r="C2373" s="86"/>
      <c r="D2373" s="87">
        <f t="shared" si="97"/>
        <v>0</v>
      </c>
      <c r="E2373" s="88">
        <f>VLOOKUP($B2373,[1]DG!A:D,[1]DG!$B$2,)</f>
        <v>0</v>
      </c>
      <c r="F2373" s="89" t="str">
        <f>VLOOKUP($B2373,[1]DG!A:D,[1]DG!$C$2,)</f>
        <v>Dây chảy 40K</v>
      </c>
      <c r="G2373" s="88" t="str">
        <f>VLOOKUP($B2373,[1]DG!A:D,[1]DG!$D$2,)</f>
        <v>Sợi</v>
      </c>
      <c r="H2373" s="145">
        <f>H2372</f>
        <v>0</v>
      </c>
      <c r="I2373" s="91">
        <f t="shared" si="96"/>
        <v>0</v>
      </c>
      <c r="J2373" s="146"/>
      <c r="K2373" s="146"/>
      <c r="L2373" s="117"/>
      <c r="M2373" s="56">
        <v>1000</v>
      </c>
    </row>
    <row r="2374" spans="1:13" s="51" customFormat="1" ht="25.2" hidden="1" customHeight="1">
      <c r="A2374" s="68">
        <f t="shared" si="95"/>
        <v>0</v>
      </c>
      <c r="B2374" s="69" t="s">
        <v>58</v>
      </c>
      <c r="C2374" s="69"/>
      <c r="D2374" s="87">
        <f t="shared" si="97"/>
        <v>0</v>
      </c>
      <c r="E2374" s="88" t="str">
        <f>VLOOKUP($B2374,[1]DG!A:D,[1]DG!$B$2,)</f>
        <v>02.5114</v>
      </c>
      <c r="F2374" s="89" t="str">
        <f>VLOOKUP($B2374,[1]DG!A:D,[1]DG!$C$2,)</f>
        <v>Chống sét van LA-18KV-10KA</v>
      </c>
      <c r="G2374" s="88" t="str">
        <f>VLOOKUP($B2374,[1]DG!A:D,[1]DG!$D$2,)</f>
        <v>cái</v>
      </c>
      <c r="H2374" s="145">
        <f>H2369*3</f>
        <v>0</v>
      </c>
      <c r="I2374" s="91">
        <f t="shared" si="96"/>
        <v>0</v>
      </c>
      <c r="J2374" s="146"/>
      <c r="K2374" s="146"/>
      <c r="L2374" s="117"/>
      <c r="M2374" s="56">
        <v>1000</v>
      </c>
    </row>
    <row r="2375" spans="1:13" s="51" customFormat="1" ht="25.2" hidden="1" customHeight="1">
      <c r="A2375" s="68">
        <f t="shared" si="95"/>
        <v>0</v>
      </c>
      <c r="B2375" s="86" t="s">
        <v>525</v>
      </c>
      <c r="C2375" s="86"/>
      <c r="D2375" s="87">
        <f t="shared" si="97"/>
        <v>0</v>
      </c>
      <c r="E2375" s="88" t="str">
        <f>VLOOKUP($B2375,[1]DG!A:D,[1]DG!$B$2,)</f>
        <v>02.8404</v>
      </c>
      <c r="F2375" s="89" t="str">
        <f>VLOOKUP($B2375,[1]DG!A:D,[1]DG!$C$2,)</f>
        <v>MCCB 3 cực 400V -1000A - 50KA</v>
      </c>
      <c r="G2375" s="88" t="str">
        <f>VLOOKUP($B2375,[1]DG!A:D,[1]DG!$D$2,)</f>
        <v>cái</v>
      </c>
      <c r="H2375" s="145">
        <f>H2369</f>
        <v>0</v>
      </c>
      <c r="I2375" s="91">
        <f t="shared" si="96"/>
        <v>0</v>
      </c>
      <c r="J2375" s="146"/>
      <c r="K2375" s="146"/>
      <c r="L2375" s="117"/>
      <c r="M2375" s="56">
        <v>1000</v>
      </c>
    </row>
    <row r="2376" spans="1:13" s="51" customFormat="1" ht="25.2" hidden="1" customHeight="1">
      <c r="A2376" s="68">
        <f t="shared" si="95"/>
        <v>0</v>
      </c>
      <c r="B2376" s="86" t="s">
        <v>560</v>
      </c>
      <c r="C2376" s="86"/>
      <c r="D2376" s="87">
        <f t="shared" si="97"/>
        <v>0</v>
      </c>
      <c r="E2376" s="88" t="str">
        <f>VLOOKUP($B2376,[1]DG!A:D,[1]DG!$B$2,)</f>
        <v>02.8534</v>
      </c>
      <c r="F2376" s="89" t="str">
        <f>VLOOKUP($B2376,[1]DG!A:D,[1]DG!$C$2,)</f>
        <v>Tủ tụ bù hạ thế 400kVAr</v>
      </c>
      <c r="G2376" s="88" t="str">
        <f>VLOOKUP($B2376,[1]DG!A:D,[1]DG!$D$2,)</f>
        <v>tủ</v>
      </c>
      <c r="H2376" s="145">
        <f>H2375</f>
        <v>0</v>
      </c>
      <c r="I2376" s="91">
        <f t="shared" si="96"/>
        <v>0</v>
      </c>
      <c r="J2376" s="146"/>
      <c r="K2376" s="146"/>
      <c r="L2376" s="117"/>
      <c r="M2376" s="56">
        <v>1000</v>
      </c>
    </row>
    <row r="2377" spans="1:13" s="51" customFormat="1" ht="25.2" hidden="1" customHeight="1">
      <c r="A2377" s="68">
        <f t="shared" si="95"/>
        <v>0</v>
      </c>
      <c r="B2377" s="86" t="s">
        <v>561</v>
      </c>
      <c r="C2377" s="86"/>
      <c r="D2377" s="87">
        <f>IF(H2377&gt;0,D2375+1,D2375)</f>
        <v>0</v>
      </c>
      <c r="E2377" s="88" t="str">
        <f>VLOOKUP($B2377,[1]DG!A:D,[1]DG!$B$2,)</f>
        <v>02.1124</v>
      </c>
      <c r="F2377" s="89" t="str">
        <f>VLOOKUP($B2377,[1]DG!A:D,[1]DG!$C$2,)</f>
        <v>Biến dòng 24kV  25/5A</v>
      </c>
      <c r="G2377" s="88" t="str">
        <f>VLOOKUP($B2377,[1]DG!A:D,[1]DG!$D$2,)</f>
        <v>cái</v>
      </c>
      <c r="H2377" s="308">
        <f>H2369*3</f>
        <v>0</v>
      </c>
      <c r="I2377" s="91">
        <f t="shared" si="96"/>
        <v>0</v>
      </c>
      <c r="J2377" s="146"/>
      <c r="K2377" s="146"/>
      <c r="L2377" s="309" t="s">
        <v>61</v>
      </c>
      <c r="M2377" s="56">
        <v>1000</v>
      </c>
    </row>
    <row r="2378" spans="1:13" s="51" customFormat="1" ht="25.2" hidden="1" customHeight="1">
      <c r="A2378" s="68">
        <f t="shared" si="95"/>
        <v>0</v>
      </c>
      <c r="B2378" s="86" t="s">
        <v>336</v>
      </c>
      <c r="C2378" s="86"/>
      <c r="D2378" s="87">
        <f>IF(H2378&gt;0,D2376+1,D2376)</f>
        <v>0</v>
      </c>
      <c r="E2378" s="88">
        <f>VLOOKUP($B2378,[1]DG!A:D,[1]DG!$B$2,)</f>
        <v>0</v>
      </c>
      <c r="F2378" s="89" t="str">
        <f>VLOOKUP($B2378,[1]DG!A:D,[1]DG!$C$2,)</f>
        <v>Biến dòng 600V - 250/5A</v>
      </c>
      <c r="G2378" s="88" t="str">
        <f>VLOOKUP($B2378,[1]DG!A:D,[1]DG!$D$2,)</f>
        <v>cái</v>
      </c>
      <c r="H2378" s="308">
        <f>H2369*3</f>
        <v>0</v>
      </c>
      <c r="I2378" s="91">
        <f t="shared" si="96"/>
        <v>0</v>
      </c>
      <c r="J2378" s="146"/>
      <c r="K2378" s="146"/>
      <c r="L2378" s="309" t="s">
        <v>61</v>
      </c>
      <c r="M2378" s="56">
        <v>1000</v>
      </c>
    </row>
    <row r="2379" spans="1:13" s="51" customFormat="1" ht="25.2" hidden="1" customHeight="1">
      <c r="A2379" s="68">
        <f t="shared" si="95"/>
        <v>0</v>
      </c>
      <c r="B2379" s="86" t="s">
        <v>516</v>
      </c>
      <c r="C2379" s="86"/>
      <c r="D2379" s="87">
        <f>IF(H2379&gt;0,D2378+1,D2378)</f>
        <v>0</v>
      </c>
      <c r="E2379" s="88" t="str">
        <f>VLOOKUP($B2379,[1]DG!A:D,[1]DG!$B$2,)</f>
        <v>02.1114</v>
      </c>
      <c r="F2379" s="89" t="str">
        <f>VLOOKUP($B2379,[1]DG!A:D,[1]DG!$C$2,)</f>
        <v>Biến điện áp 12000/120(60)V</v>
      </c>
      <c r="G2379" s="88" t="str">
        <f>VLOOKUP($B2379,[1]DG!A:D,[1]DG!$D$2,)</f>
        <v>cái</v>
      </c>
      <c r="H2379" s="367">
        <f>+H2378</f>
        <v>0</v>
      </c>
      <c r="I2379" s="91">
        <f t="shared" si="96"/>
        <v>0</v>
      </c>
      <c r="J2379" s="146"/>
      <c r="K2379" s="146"/>
      <c r="L2379" s="309" t="s">
        <v>61</v>
      </c>
      <c r="M2379" s="56">
        <v>1000</v>
      </c>
    </row>
    <row r="2380" spans="1:13" s="51" customFormat="1" ht="25.2" hidden="1" customHeight="1">
      <c r="A2380" s="68">
        <f t="shared" si="95"/>
        <v>0</v>
      </c>
      <c r="B2380" s="368" t="s">
        <v>495</v>
      </c>
      <c r="C2380" s="368"/>
      <c r="D2380" s="87">
        <f>IF(H2380&gt;0,D2379+1,D2379)</f>
        <v>0</v>
      </c>
      <c r="E2380" s="88">
        <f>VLOOKUP($B2380,[1]DG!A:D,[1]DG!$B$2,)</f>
        <v>0</v>
      </c>
      <c r="F2380" s="89" t="str">
        <f>VLOOKUP($B2380,[1]DG!A:D,[1]DG!$C$2,)</f>
        <v>Điện kế 3 pha điện tử 600V-5A</v>
      </c>
      <c r="G2380" s="88" t="str">
        <f>VLOOKUP($B2380,[1]DG!A:D,[1]DG!$D$2,)</f>
        <v>cái</v>
      </c>
      <c r="H2380" s="308">
        <f>H2369</f>
        <v>0</v>
      </c>
      <c r="I2380" s="91">
        <f t="shared" si="96"/>
        <v>0</v>
      </c>
      <c r="J2380" s="92"/>
      <c r="K2380" s="92"/>
      <c r="L2380" s="311" t="s">
        <v>61</v>
      </c>
      <c r="M2380" s="56">
        <v>1000</v>
      </c>
    </row>
    <row r="2381" spans="1:13" s="51" customFormat="1" ht="25.2" hidden="1" customHeight="1">
      <c r="A2381" s="68">
        <f t="shared" si="95"/>
        <v>0</v>
      </c>
      <c r="B2381" s="69"/>
      <c r="C2381" s="69"/>
      <c r="D2381" s="272"/>
      <c r="E2381" s="273"/>
      <c r="F2381" s="274"/>
      <c r="G2381" s="272"/>
      <c r="H2381" s="207"/>
      <c r="I2381" s="91">
        <f t="shared" si="96"/>
        <v>0</v>
      </c>
      <c r="J2381" s="274"/>
      <c r="K2381" s="272"/>
      <c r="L2381" s="133"/>
      <c r="M2381" s="56">
        <v>1000</v>
      </c>
    </row>
    <row r="2382" spans="1:13" s="51" customFormat="1" ht="25.2" hidden="1" customHeight="1">
      <c r="A2382" s="68">
        <f t="shared" si="95"/>
        <v>0</v>
      </c>
      <c r="B2382" s="69"/>
      <c r="C2382" s="69"/>
      <c r="D2382" s="276"/>
      <c r="E2382" s="277"/>
      <c r="F2382" s="267" t="s">
        <v>64</v>
      </c>
      <c r="G2382" s="267"/>
      <c r="H2382" s="191"/>
      <c r="I2382" s="91">
        <f t="shared" si="96"/>
        <v>0</v>
      </c>
      <c r="J2382" s="267"/>
      <c r="K2382" s="267"/>
      <c r="L2382" s="133"/>
      <c r="M2382" s="56">
        <v>1000</v>
      </c>
    </row>
    <row r="2383" spans="1:13" s="51" customFormat="1" ht="25.2" hidden="1" customHeight="1">
      <c r="A2383" s="68">
        <f t="shared" si="95"/>
        <v>0</v>
      </c>
      <c r="B2383" s="313"/>
      <c r="C2383" s="313"/>
      <c r="D2383" s="314">
        <f>IF(H2383&gt;0,1,0)</f>
        <v>0</v>
      </c>
      <c r="E2383" s="315"/>
      <c r="F2383" s="316" t="s">
        <v>341</v>
      </c>
      <c r="G2383" s="317" t="s">
        <v>339</v>
      </c>
      <c r="H2383" s="317">
        <f>H2369</f>
        <v>0</v>
      </c>
      <c r="I2383" s="91">
        <f t="shared" si="96"/>
        <v>0</v>
      </c>
      <c r="J2383" s="318"/>
      <c r="K2383" s="318"/>
      <c r="L2383" s="117"/>
      <c r="M2383" s="56">
        <v>1000</v>
      </c>
    </row>
    <row r="2384" spans="1:13" s="51" customFormat="1" ht="25.2" hidden="1" customHeight="1">
      <c r="A2384" s="68">
        <f t="shared" si="95"/>
        <v>0</v>
      </c>
      <c r="B2384" s="86" t="s">
        <v>562</v>
      </c>
      <c r="C2384" s="86"/>
      <c r="D2384" s="319"/>
      <c r="E2384" s="88"/>
      <c r="F2384" s="320" t="str">
        <f>VLOOKUP($B2384,[1]DG!A:D,[1]DG!$C$2,)</f>
        <v>Trụ BTLT 10,5m F350 dự ứng lực</v>
      </c>
      <c r="G2384" s="88" t="str">
        <f>VLOOKUP($B2384,[1]DG!A:D,[1]DG!$D$2,)</f>
        <v>trụ</v>
      </c>
      <c r="H2384" s="321">
        <f>H2383</f>
        <v>0</v>
      </c>
      <c r="I2384" s="91">
        <f t="shared" si="96"/>
        <v>0</v>
      </c>
      <c r="J2384" s="92"/>
      <c r="K2384" s="111"/>
      <c r="L2384" s="117"/>
      <c r="M2384" s="56">
        <v>1000</v>
      </c>
    </row>
    <row r="2385" spans="1:13" s="51" customFormat="1" ht="25.2" hidden="1" customHeight="1">
      <c r="A2385" s="68">
        <f t="shared" si="95"/>
        <v>0</v>
      </c>
      <c r="B2385" s="86" t="s">
        <v>70</v>
      </c>
      <c r="C2385" s="86"/>
      <c r="D2385" s="319"/>
      <c r="E2385" s="88"/>
      <c r="F2385" s="320" t="str">
        <f>VLOOKUP($B2385,[1]DG!A:D,[1]DG!$C$2,)</f>
        <v>Vật liệu dựng trụ</v>
      </c>
      <c r="G2385" s="88" t="str">
        <f>VLOOKUP($B2385,[1]DG!A:D,[1]DG!$D$2,)</f>
        <v>trụ</v>
      </c>
      <c r="H2385" s="321">
        <f>H2384</f>
        <v>0</v>
      </c>
      <c r="I2385" s="91">
        <f t="shared" si="96"/>
        <v>0</v>
      </c>
      <c r="J2385" s="111"/>
      <c r="K2385" s="111"/>
      <c r="L2385" s="117"/>
      <c r="M2385" s="56">
        <v>1000</v>
      </c>
    </row>
    <row r="2386" spans="1:13" s="51" customFormat="1" ht="25.2" hidden="1" customHeight="1">
      <c r="A2386" s="68">
        <f t="shared" si="95"/>
        <v>0</v>
      </c>
      <c r="B2386" s="86" t="s">
        <v>563</v>
      </c>
      <c r="C2386" s="86"/>
      <c r="D2386" s="319"/>
      <c r="E2386" s="88" t="str">
        <f>VLOOKUP($B2386,[1]DG!A:D,[1]DG!$B$2,)</f>
        <v>05.5402</v>
      </c>
      <c r="F2386" s="320" t="str">
        <f>VLOOKUP($B2386,[1]DG!A:D,[1]DG!$C$2,)</f>
        <v>Dựng trụ BTLT 10,5m thủ công + cơ giới</v>
      </c>
      <c r="G2386" s="88" t="str">
        <f>VLOOKUP($B2386,[1]DG!A:D,[1]DG!$D$2,)</f>
        <v>trụ</v>
      </c>
      <c r="H2386" s="321">
        <f>H2384</f>
        <v>0</v>
      </c>
      <c r="I2386" s="91">
        <f t="shared" si="96"/>
        <v>0</v>
      </c>
      <c r="J2386" s="92"/>
      <c r="K2386" s="92"/>
      <c r="L2386" s="117"/>
      <c r="M2386" s="56">
        <v>1000</v>
      </c>
    </row>
    <row r="2387" spans="1:13" s="51" customFormat="1" ht="25.2" hidden="1" customHeight="1">
      <c r="A2387" s="68">
        <f t="shared" si="95"/>
        <v>0</v>
      </c>
      <c r="B2387" s="86" t="s">
        <v>564</v>
      </c>
      <c r="C2387" s="86"/>
      <c r="D2387" s="319"/>
      <c r="E2387" s="88"/>
      <c r="F2387" s="320" t="str">
        <f>VLOOKUP($B2387,[1]DG!A:D,[1]DG!$C$2,)</f>
        <v>Đào hố móng đất cấp 3 sâu &gt;1m</v>
      </c>
      <c r="G2387" s="88" t="str">
        <f>VLOOKUP($B2387,[1]DG!A:D,[1]DG!$D$2,)</f>
        <v>m3</v>
      </c>
      <c r="H2387" s="321">
        <f>H2383*0.201</f>
        <v>0</v>
      </c>
      <c r="I2387" s="91">
        <f t="shared" si="96"/>
        <v>0</v>
      </c>
      <c r="J2387" s="92"/>
      <c r="K2387" s="92"/>
      <c r="L2387" s="117"/>
      <c r="M2387" s="56">
        <v>1000</v>
      </c>
    </row>
    <row r="2388" spans="1:13" s="51" customFormat="1" ht="25.2" hidden="1" customHeight="1">
      <c r="A2388" s="68">
        <f t="shared" si="95"/>
        <v>0</v>
      </c>
      <c r="B2388" s="86" t="s">
        <v>76</v>
      </c>
      <c r="C2388" s="86"/>
      <c r="D2388" s="319"/>
      <c r="E2388" s="88" t="str">
        <f>VLOOKUP($B2388,[1]DG!A:D,[1]DG!$B$2,)</f>
        <v>03.4113</v>
      </c>
      <c r="F2388" s="320" t="str">
        <f>VLOOKUP($B2388,[1]DG!A:D,[1]DG!$C$2,)</f>
        <v>Đắp đất hố móng, độ chặt k=0,95</v>
      </c>
      <c r="G2388" s="88" t="str">
        <f>VLOOKUP($B2388,[1]DG!A:D,[1]DG!$D$2,)</f>
        <v>m3</v>
      </c>
      <c r="H2388" s="321">
        <f>H2383*0.182</f>
        <v>0</v>
      </c>
      <c r="I2388" s="91">
        <f t="shared" si="96"/>
        <v>0</v>
      </c>
      <c r="J2388" s="92"/>
      <c r="K2388" s="92"/>
      <c r="L2388" s="117"/>
      <c r="M2388" s="56">
        <v>1000</v>
      </c>
    </row>
    <row r="2389" spans="1:13" s="51" customFormat="1" ht="25.2" hidden="1" customHeight="1">
      <c r="A2389" s="68">
        <f t="shared" si="95"/>
        <v>0</v>
      </c>
      <c r="B2389" s="322"/>
      <c r="C2389" s="322"/>
      <c r="D2389" s="220">
        <f>IF(H2389&gt;0,D2383+1,D2383)</f>
        <v>0</v>
      </c>
      <c r="E2389" s="315"/>
      <c r="F2389" s="316" t="s">
        <v>565</v>
      </c>
      <c r="G2389" s="317" t="s">
        <v>344</v>
      </c>
      <c r="H2389" s="317">
        <f>H2383*0</f>
        <v>0</v>
      </c>
      <c r="I2389" s="91">
        <f t="shared" si="96"/>
        <v>0</v>
      </c>
      <c r="J2389" s="111"/>
      <c r="K2389" s="111"/>
      <c r="L2389" s="117"/>
      <c r="M2389" s="56">
        <v>1000</v>
      </c>
    </row>
    <row r="2390" spans="1:13" s="51" customFormat="1" ht="25.2" hidden="1" customHeight="1">
      <c r="A2390" s="68">
        <f t="shared" si="95"/>
        <v>0</v>
      </c>
      <c r="B2390" s="86" t="s">
        <v>73</v>
      </c>
      <c r="C2390" s="86"/>
      <c r="D2390" s="319"/>
      <c r="E2390" s="88" t="str">
        <f>VLOOKUP($B2390,[1]DG!A:D,[1]DG!$B$2,)</f>
        <v>04.4001</v>
      </c>
      <c r="F2390" s="320" t="str">
        <f>VLOOKUP($B2390,[1]DG!A:D,[1]DG!$C$2,)</f>
        <v>Đà cản BTCT 1,2m</v>
      </c>
      <c r="G2390" s="88" t="str">
        <f>VLOOKUP($B2390,[1]DG!A:D,[1]DG!$D$2,)</f>
        <v>cái</v>
      </c>
      <c r="H2390" s="321">
        <f>H2389</f>
        <v>0</v>
      </c>
      <c r="I2390" s="91">
        <f t="shared" si="96"/>
        <v>0</v>
      </c>
      <c r="J2390" s="92"/>
      <c r="K2390" s="111"/>
      <c r="L2390" s="117"/>
      <c r="M2390" s="56">
        <v>1000</v>
      </c>
    </row>
    <row r="2391" spans="1:13" s="51" customFormat="1" ht="25.2" hidden="1" customHeight="1">
      <c r="A2391" s="68">
        <f t="shared" si="95"/>
        <v>0</v>
      </c>
      <c r="B2391" s="86" t="s">
        <v>74</v>
      </c>
      <c r="C2391" s="86"/>
      <c r="D2391" s="319"/>
      <c r="E2391" s="88"/>
      <c r="F2391" s="320" t="str">
        <f>VLOOKUP($B2391,[1]DG!A:D,[1]DG!$C$2,)</f>
        <v>Boulon 22x650+ 2 long đền vuông D24-50x50x3/Zn</v>
      </c>
      <c r="G2391" s="88" t="str">
        <f>VLOOKUP($B2391,[1]DG!A:D,[1]DG!$D$2,)</f>
        <v>bộ</v>
      </c>
      <c r="H2391" s="321">
        <f>H2390</f>
        <v>0</v>
      </c>
      <c r="I2391" s="91">
        <f t="shared" si="96"/>
        <v>0</v>
      </c>
      <c r="J2391" s="320"/>
      <c r="K2391" s="111"/>
      <c r="L2391" s="117"/>
      <c r="M2391" s="56">
        <v>1000</v>
      </c>
    </row>
    <row r="2392" spans="1:13" s="51" customFormat="1" ht="25.2" hidden="1" customHeight="1">
      <c r="A2392" s="68">
        <f t="shared" si="95"/>
        <v>0</v>
      </c>
      <c r="B2392" s="86" t="str">
        <f>IF(chitiet!G5=1,"MDD1",IF(chitiet!G5=2,"MDD2",IF(chitiet!G5=3,"MDD3",IF(chitiet!G5=4,"MDD4"))))</f>
        <v>MDD3</v>
      </c>
      <c r="C2392" s="86"/>
      <c r="D2392" s="319"/>
      <c r="E2392" s="88" t="str">
        <f>VLOOKUP($B2392,[1]DG!A:D,[1]DG!$B$2,)</f>
        <v>03.1013</v>
      </c>
      <c r="F2392" s="320" t="str">
        <f>VLOOKUP($B2392,[1]DG!A:D,[1]DG!$C$2,)</f>
        <v>Đào hố móng đất cấp 3 sâu &gt;1m</v>
      </c>
      <c r="G2392" s="88" t="str">
        <f>VLOOKUP($B2392,[1]DG!A:D,[1]DG!$D$2,)</f>
        <v>m3</v>
      </c>
      <c r="H2392" s="323">
        <f>1.48*H2390</f>
        <v>0</v>
      </c>
      <c r="I2392" s="91">
        <f t="shared" si="96"/>
        <v>0</v>
      </c>
      <c r="J2392" s="324"/>
      <c r="K2392" s="111"/>
      <c r="L2392" s="117"/>
      <c r="M2392" s="56">
        <v>1000</v>
      </c>
    </row>
    <row r="2393" spans="1:13" s="51" customFormat="1" ht="25.2" hidden="1" customHeight="1">
      <c r="A2393" s="68">
        <f t="shared" si="95"/>
        <v>0</v>
      </c>
      <c r="B2393" s="86" t="str">
        <f>IF(chitiet!G5=1,"MDAP1",IF(chitiet!G5=2,"MDAP2",IF(chitiet!G5=3,"MDAP3",IF(chitiet!G5=4,"MDAP4"))))</f>
        <v>MDAP3</v>
      </c>
      <c r="C2393" s="86"/>
      <c r="D2393" s="319"/>
      <c r="E2393" s="88" t="str">
        <f>VLOOKUP($B2393,[1]DG!A:D,[1]DG!$B$2,)</f>
        <v>03.4113</v>
      </c>
      <c r="F2393" s="320" t="str">
        <f>VLOOKUP($B2393,[1]DG!A:D,[1]DG!$C$2,)</f>
        <v>Đắp đất hố móng, độ chặt k=0,95</v>
      </c>
      <c r="G2393" s="88" t="str">
        <f>VLOOKUP($B2393,[1]DG!A:D,[1]DG!$D$2,)</f>
        <v>m3</v>
      </c>
      <c r="H2393" s="323">
        <f>1.39*H2389</f>
        <v>0</v>
      </c>
      <c r="I2393" s="91">
        <f t="shared" si="96"/>
        <v>0</v>
      </c>
      <c r="J2393" s="324"/>
      <c r="K2393" s="111"/>
      <c r="L2393" s="117"/>
      <c r="M2393" s="56">
        <v>1000</v>
      </c>
    </row>
    <row r="2394" spans="1:13" s="51" customFormat="1" ht="25.2" hidden="1" customHeight="1">
      <c r="A2394" s="68">
        <f t="shared" si="95"/>
        <v>0</v>
      </c>
      <c r="B2394" s="69"/>
      <c r="C2394" s="69"/>
      <c r="D2394" s="220">
        <f>IF(H2394&gt;0,D2389+1,D2389)</f>
        <v>0</v>
      </c>
      <c r="E2394" s="325"/>
      <c r="F2394" s="316" t="s">
        <v>464</v>
      </c>
      <c r="G2394" s="314" t="s">
        <v>67</v>
      </c>
      <c r="H2394" s="326">
        <f>H2369</f>
        <v>0</v>
      </c>
      <c r="I2394" s="91">
        <f t="shared" si="96"/>
        <v>0</v>
      </c>
      <c r="J2394" s="327"/>
      <c r="K2394" s="327"/>
      <c r="L2394" s="117"/>
      <c r="M2394" s="56">
        <v>1000</v>
      </c>
    </row>
    <row r="2395" spans="1:13" s="51" customFormat="1" ht="25.2" hidden="1" customHeight="1">
      <c r="A2395" s="68">
        <f>IF(A2394&gt;0,1,0)</f>
        <v>0</v>
      </c>
      <c r="B2395" s="69"/>
      <c r="C2395" s="69"/>
      <c r="D2395" s="111"/>
      <c r="E2395" s="328"/>
      <c r="F2395" s="243" t="s">
        <v>68</v>
      </c>
      <c r="G2395" s="87"/>
      <c r="H2395" s="145"/>
      <c r="I2395" s="91">
        <f t="shared" si="96"/>
        <v>0</v>
      </c>
      <c r="J2395" s="282"/>
      <c r="K2395" s="282"/>
      <c r="L2395" s="117"/>
      <c r="M2395" s="56">
        <v>1000</v>
      </c>
    </row>
    <row r="2396" spans="1:13" s="51" customFormat="1" ht="25.2" hidden="1" customHeight="1">
      <c r="A2396" s="68">
        <f t="shared" si="95"/>
        <v>0</v>
      </c>
      <c r="B2396" s="86" t="s">
        <v>347</v>
      </c>
      <c r="C2396" s="86"/>
      <c r="D2396" s="111"/>
      <c r="E2396" s="88" t="str">
        <f>VLOOKUP($B2396,[1]DG!A:D,[1]DG!$B$2,)</f>
        <v>05.6105</v>
      </c>
      <c r="F2396" s="89" t="str">
        <f>VLOOKUP($B2396,[1]DG!A:D,[1]DG!$C$2,)</f>
        <v>Đà U160x68x5x2800 đỡ MBA</v>
      </c>
      <c r="G2396" s="88" t="str">
        <f>VLOOKUP($B2396,[1]DG!A:D,[1]DG!$D$2,)</f>
        <v>cái</v>
      </c>
      <c r="H2396" s="271">
        <f>2*H2394</f>
        <v>0</v>
      </c>
      <c r="I2396" s="91">
        <f t="shared" si="96"/>
        <v>0</v>
      </c>
      <c r="J2396" s="92"/>
      <c r="K2396" s="92"/>
      <c r="L2396" s="117"/>
      <c r="M2396" s="56">
        <v>1000</v>
      </c>
    </row>
    <row r="2397" spans="1:13" s="51" customFormat="1" ht="25.2" hidden="1" customHeight="1">
      <c r="A2397" s="68">
        <f t="shared" si="95"/>
        <v>0</v>
      </c>
      <c r="B2397" s="86" t="s">
        <v>348</v>
      </c>
      <c r="C2397" s="86"/>
      <c r="D2397" s="111"/>
      <c r="E2397" s="88" t="str">
        <f>VLOOKUP($B2397,[1]DG!A:D,[1]DG!$B$2,)</f>
        <v>05.6101</v>
      </c>
      <c r="F2397" s="89" t="str">
        <f>VLOOKUP($B2397,[1]DG!A:D,[1]DG!$C$2,)</f>
        <v xml:space="preserve">Đà U100x46x4.5x400 </v>
      </c>
      <c r="G2397" s="88" t="str">
        <f>VLOOKUP($B2397,[1]DG!A:D,[1]DG!$D$2,)</f>
        <v>cái</v>
      </c>
      <c r="H2397" s="271">
        <f>H2394*4</f>
        <v>0</v>
      </c>
      <c r="I2397" s="91">
        <f t="shared" si="96"/>
        <v>0</v>
      </c>
      <c r="J2397" s="92"/>
      <c r="K2397" s="92"/>
      <c r="L2397" s="117"/>
      <c r="M2397" s="56">
        <v>1000</v>
      </c>
    </row>
    <row r="2398" spans="1:13" s="51" customFormat="1" ht="25.2" hidden="1" customHeight="1">
      <c r="A2398" s="68">
        <f t="shared" si="95"/>
        <v>0</v>
      </c>
      <c r="B2398" s="86" t="s">
        <v>349</v>
      </c>
      <c r="C2398" s="86"/>
      <c r="D2398" s="111"/>
      <c r="E2398" s="88" t="str">
        <f>VLOOKUP($B2398,[1]DG!A:D,[1]DG!$B$2,)</f>
        <v>05.6101</v>
      </c>
      <c r="F2398" s="89" t="str">
        <f>VLOOKUP($B2398,[1]DG!A:D,[1]DG!$C$2,)</f>
        <v xml:space="preserve">Đà U100x46x5x800 </v>
      </c>
      <c r="G2398" s="88" t="str">
        <f>VLOOKUP($B2398,[1]DG!A:D,[1]DG!$D$2,)</f>
        <v>cái</v>
      </c>
      <c r="H2398" s="271">
        <f>H2394*2</f>
        <v>0</v>
      </c>
      <c r="I2398" s="91">
        <f t="shared" si="96"/>
        <v>0</v>
      </c>
      <c r="J2398" s="92"/>
      <c r="K2398" s="92"/>
      <c r="L2398" s="117"/>
      <c r="M2398" s="56">
        <v>1000</v>
      </c>
    </row>
    <row r="2399" spans="1:13" s="51" customFormat="1" ht="25.2" hidden="1" customHeight="1">
      <c r="A2399" s="68">
        <f t="shared" si="95"/>
        <v>0</v>
      </c>
      <c r="B2399" s="69" t="s">
        <v>350</v>
      </c>
      <c r="C2399" s="69"/>
      <c r="D2399" s="111"/>
      <c r="E2399" s="88">
        <f>VLOOKUP($B2399,[1]DG!A:D,[1]DG!$B$2,)</f>
        <v>0</v>
      </c>
      <c r="F2399" s="89" t="str">
        <f>VLOOKUP($B2399,[1]DG!A:D,[1]DG!$C$2,)</f>
        <v>Boulon 16x400VRS+ 4 long đền vuông D18-50x50x3/Zn</v>
      </c>
      <c r="G2399" s="88" t="str">
        <f>VLOOKUP($B2399,[1]DG!A:D,[1]DG!$D$2,)</f>
        <v>bộ</v>
      </c>
      <c r="H2399" s="145">
        <f>H2394*12</f>
        <v>0</v>
      </c>
      <c r="I2399" s="91">
        <f t="shared" si="96"/>
        <v>0</v>
      </c>
      <c r="J2399" s="92"/>
      <c r="K2399" s="92"/>
      <c r="L2399" s="117"/>
      <c r="M2399" s="56">
        <v>1000</v>
      </c>
    </row>
    <row r="2400" spans="1:13" s="51" customFormat="1" ht="25.2" hidden="1" customHeight="1">
      <c r="A2400" s="68">
        <f t="shared" ref="A2400:A2463" si="98">IF(I2400&gt;0,1,0)</f>
        <v>0</v>
      </c>
      <c r="B2400" s="69" t="s">
        <v>265</v>
      </c>
      <c r="C2400" s="69"/>
      <c r="D2400" s="111"/>
      <c r="E2400" s="88">
        <f>VLOOKUP($B2400,[1]DG!A:D,[1]DG!$B$2,)</f>
        <v>0</v>
      </c>
      <c r="F2400" s="89" t="str">
        <f>VLOOKUP($B2400,[1]DG!A:D,[1]DG!$C$2,)</f>
        <v>Boulon 16x400+ 2 long đền vuông D18-50x50x3/Zn</v>
      </c>
      <c r="G2400" s="88" t="str">
        <f>VLOOKUP($B2400,[1]DG!A:D,[1]DG!$D$2,)</f>
        <v>bộ</v>
      </c>
      <c r="H2400" s="145">
        <f>H2394*2</f>
        <v>0</v>
      </c>
      <c r="I2400" s="91">
        <f t="shared" si="96"/>
        <v>0</v>
      </c>
      <c r="J2400" s="92"/>
      <c r="K2400" s="92"/>
      <c r="L2400" s="117"/>
      <c r="M2400" s="56">
        <v>1000</v>
      </c>
    </row>
    <row r="2401" spans="1:13" s="51" customFormat="1" ht="25.2" hidden="1" customHeight="1">
      <c r="A2401" s="68">
        <f t="shared" si="98"/>
        <v>0</v>
      </c>
      <c r="B2401" s="69" t="s">
        <v>123</v>
      </c>
      <c r="C2401" s="69"/>
      <c r="D2401" s="111"/>
      <c r="E2401" s="88">
        <f>VLOOKUP($B2401,[1]DG!A:D,[1]DG!$B$2,)</f>
        <v>0</v>
      </c>
      <c r="F2401" s="89" t="str">
        <f>VLOOKUP($B2401,[1]DG!A:D,[1]DG!$C$2,)</f>
        <v>Boulon 16x350+ 2 long đền vuông D18-50x50x3/Zn</v>
      </c>
      <c r="G2401" s="88" t="str">
        <f>VLOOKUP($B2401,[1]DG!A:D,[1]DG!$D$2,)</f>
        <v>bộ</v>
      </c>
      <c r="H2401" s="145">
        <f>+H2394*4</f>
        <v>0</v>
      </c>
      <c r="I2401" s="91">
        <f t="shared" si="96"/>
        <v>0</v>
      </c>
      <c r="J2401" s="92"/>
      <c r="K2401" s="92"/>
      <c r="L2401" s="117"/>
      <c r="M2401" s="56">
        <v>1000</v>
      </c>
    </row>
    <row r="2402" spans="1:13" s="51" customFormat="1" ht="25.2" hidden="1" customHeight="1">
      <c r="A2402" s="68">
        <f t="shared" si="98"/>
        <v>0</v>
      </c>
      <c r="B2402" s="69"/>
      <c r="C2402" s="69"/>
      <c r="D2402" s="220">
        <f>IF(H2402&gt;0,D2394+1,D2394)</f>
        <v>0</v>
      </c>
      <c r="E2402" s="238"/>
      <c r="F2402" s="329" t="s">
        <v>366</v>
      </c>
      <c r="G2402" s="220" t="s">
        <v>67</v>
      </c>
      <c r="H2402" s="240">
        <f>H2394*2</f>
        <v>0</v>
      </c>
      <c r="I2402" s="91">
        <f t="shared" si="96"/>
        <v>0</v>
      </c>
      <c r="J2402" s="95"/>
      <c r="K2402" s="95"/>
      <c r="L2402" s="117"/>
      <c r="M2402" s="56">
        <v>1000</v>
      </c>
    </row>
    <row r="2403" spans="1:13" s="51" customFormat="1" ht="25.2" hidden="1" customHeight="1">
      <c r="A2403" s="68">
        <f>IF(A2402&gt;0,1,0)</f>
        <v>0</v>
      </c>
      <c r="B2403" s="69"/>
      <c r="C2403" s="69"/>
      <c r="D2403" s="111"/>
      <c r="E2403" s="242"/>
      <c r="F2403" s="243" t="s">
        <v>68</v>
      </c>
      <c r="G2403" s="87"/>
      <c r="H2403" s="145"/>
      <c r="I2403" s="91">
        <f t="shared" si="96"/>
        <v>0</v>
      </c>
      <c r="J2403" s="95"/>
      <c r="K2403" s="95"/>
      <c r="L2403" s="117"/>
      <c r="M2403" s="56">
        <v>1000</v>
      </c>
    </row>
    <row r="2404" spans="1:13" s="51" customFormat="1" ht="25.2" hidden="1" customHeight="1">
      <c r="A2404" s="68">
        <f t="shared" si="98"/>
        <v>0</v>
      </c>
      <c r="B2404" s="86" t="s">
        <v>367</v>
      </c>
      <c r="C2404" s="86"/>
      <c r="D2404" s="111"/>
      <c r="E2404" s="88">
        <v>0</v>
      </c>
      <c r="F2404" s="89" t="str">
        <f>VLOOKUP($B2404,[1]DG!A:D,[1]DG!$C$2,)</f>
        <v>Sắt góc L75 x75 x8</v>
      </c>
      <c r="G2404" s="88" t="s">
        <v>377</v>
      </c>
      <c r="H2404" s="145">
        <f>H2402*9.02*(2.6+3*0.07)*2</f>
        <v>0</v>
      </c>
      <c r="I2404" s="91">
        <f t="shared" si="96"/>
        <v>0</v>
      </c>
      <c r="J2404" s="92"/>
      <c r="K2404" s="92"/>
      <c r="L2404" s="117"/>
      <c r="M2404" s="56">
        <v>1000</v>
      </c>
    </row>
    <row r="2405" spans="1:13" s="51" customFormat="1" ht="25.2" hidden="1" customHeight="1">
      <c r="A2405" s="68">
        <f t="shared" si="98"/>
        <v>0</v>
      </c>
      <c r="B2405" s="69" t="s">
        <v>368</v>
      </c>
      <c r="C2405" s="69"/>
      <c r="D2405" s="111"/>
      <c r="E2405" s="88">
        <v>0</v>
      </c>
      <c r="F2405" s="89" t="str">
        <f>VLOOKUP($B2405,[1]DG!A:D,[1]DG!$C$2,)</f>
        <v>Boulon 16x300VRS+ 4 long đền vuông D18-50x50x3/Zn</v>
      </c>
      <c r="G2405" s="88" t="s">
        <v>375</v>
      </c>
      <c r="H2405" s="145">
        <f>H2402*2</f>
        <v>0</v>
      </c>
      <c r="I2405" s="91">
        <f t="shared" si="96"/>
        <v>0</v>
      </c>
      <c r="J2405" s="92"/>
      <c r="K2405" s="92"/>
      <c r="L2405" s="117"/>
      <c r="M2405" s="56">
        <v>1000</v>
      </c>
    </row>
    <row r="2406" spans="1:13" s="51" customFormat="1" ht="25.2" hidden="1" customHeight="1">
      <c r="A2406" s="68">
        <f t="shared" si="98"/>
        <v>0</v>
      </c>
      <c r="B2406" s="69" t="s">
        <v>65</v>
      </c>
      <c r="C2406" s="69"/>
      <c r="D2406" s="111"/>
      <c r="E2406" s="88">
        <v>0</v>
      </c>
      <c r="F2406" s="89" t="str">
        <f>VLOOKUP($B2406,[1]DG!A:D,[1]DG!$C$2,)</f>
        <v>Boulon 16x300+ 2 long đền vuông D18-50x50x3/Zn</v>
      </c>
      <c r="G2406" s="88" t="s">
        <v>375</v>
      </c>
      <c r="H2406" s="145">
        <f>H2402*2</f>
        <v>0</v>
      </c>
      <c r="I2406" s="91">
        <f t="shared" si="96"/>
        <v>0</v>
      </c>
      <c r="J2406" s="92"/>
      <c r="K2406" s="92"/>
      <c r="L2406" s="117"/>
      <c r="M2406" s="56">
        <v>1000</v>
      </c>
    </row>
    <row r="2407" spans="1:13" s="51" customFormat="1" ht="25.2" hidden="1" customHeight="1">
      <c r="A2407" s="68">
        <f t="shared" si="98"/>
        <v>0</v>
      </c>
      <c r="B2407" s="69" t="s">
        <v>237</v>
      </c>
      <c r="C2407" s="69"/>
      <c r="D2407" s="111"/>
      <c r="E2407" s="88">
        <v>0</v>
      </c>
      <c r="F2407" s="89" t="str">
        <f>VLOOKUP($B2407,[1]DG!A:D,[1]DG!$C$2,)</f>
        <v>Boulon 16x250+ 2 long đền vuông D18-50x50x3/Zn</v>
      </c>
      <c r="G2407" s="88" t="s">
        <v>375</v>
      </c>
      <c r="H2407" s="145">
        <f>H2406</f>
        <v>0</v>
      </c>
      <c r="I2407" s="91">
        <f t="shared" si="96"/>
        <v>0</v>
      </c>
      <c r="J2407" s="92"/>
      <c r="K2407" s="92"/>
      <c r="L2407" s="117"/>
      <c r="M2407" s="56">
        <v>1000</v>
      </c>
    </row>
    <row r="2408" spans="1:13" s="51" customFormat="1" ht="25.2" hidden="1" customHeight="1">
      <c r="A2408" s="68">
        <f t="shared" si="98"/>
        <v>0</v>
      </c>
      <c r="B2408" s="69" t="s">
        <v>363</v>
      </c>
      <c r="C2408" s="69"/>
      <c r="D2408" s="111"/>
      <c r="E2408" s="88" t="s">
        <v>566</v>
      </c>
      <c r="F2408" s="89" t="str">
        <f>VLOOKUP($B2408,[1]DG!A:D,[1]DG!$C$2,)</f>
        <v>Lắp xà cột Pi loại ≤140kg/xà</v>
      </c>
      <c r="G2408" s="88" t="s">
        <v>375</v>
      </c>
      <c r="H2408" s="145">
        <f>H2402</f>
        <v>0</v>
      </c>
      <c r="I2408" s="91">
        <f t="shared" si="96"/>
        <v>0</v>
      </c>
      <c r="J2408" s="92"/>
      <c r="K2408" s="92"/>
      <c r="L2408" s="117"/>
      <c r="M2408" s="56">
        <v>1000</v>
      </c>
    </row>
    <row r="2409" spans="1:13" s="51" customFormat="1" ht="25.2" hidden="1" customHeight="1">
      <c r="A2409" s="68">
        <f t="shared" si="98"/>
        <v>0</v>
      </c>
      <c r="B2409" s="69"/>
      <c r="C2409" s="69"/>
      <c r="D2409" s="220">
        <f>IF(H2409&gt;0,D2402+1,D2402)</f>
        <v>0</v>
      </c>
      <c r="E2409" s="238"/>
      <c r="F2409" s="329" t="s">
        <v>567</v>
      </c>
      <c r="G2409" s="220" t="s">
        <v>67</v>
      </c>
      <c r="H2409" s="240">
        <f>H2394*3</f>
        <v>0</v>
      </c>
      <c r="I2409" s="91">
        <f t="shared" si="96"/>
        <v>0</v>
      </c>
      <c r="J2409" s="95"/>
      <c r="K2409" s="95"/>
      <c r="L2409" s="117"/>
      <c r="M2409" s="56">
        <v>1000</v>
      </c>
    </row>
    <row r="2410" spans="1:13" s="51" customFormat="1" ht="25.2" hidden="1" customHeight="1">
      <c r="A2410" s="68">
        <f>IF(A2409&gt;0,1,0)</f>
        <v>0</v>
      </c>
      <c r="B2410" s="69"/>
      <c r="C2410" s="69"/>
      <c r="D2410" s="111"/>
      <c r="E2410" s="242"/>
      <c r="F2410" s="243" t="s">
        <v>68</v>
      </c>
      <c r="G2410" s="87"/>
      <c r="H2410" s="145"/>
      <c r="I2410" s="91">
        <f t="shared" si="96"/>
        <v>0</v>
      </c>
      <c r="J2410" s="95"/>
      <c r="K2410" s="95"/>
      <c r="L2410" s="117"/>
      <c r="M2410" s="56">
        <v>1000</v>
      </c>
    </row>
    <row r="2411" spans="1:13" s="51" customFormat="1" ht="25.2" hidden="1" customHeight="1">
      <c r="A2411" s="68">
        <f t="shared" si="98"/>
        <v>0</v>
      </c>
      <c r="B2411" s="86" t="s">
        <v>367</v>
      </c>
      <c r="C2411" s="86"/>
      <c r="D2411" s="111"/>
      <c r="E2411" s="88">
        <v>0</v>
      </c>
      <c r="F2411" s="89" t="str">
        <f>VLOOKUP($B2411,[1]DG!A:D,[1]DG!$C$2,)</f>
        <v>Sắt góc L75 x75 x8</v>
      </c>
      <c r="G2411" s="88" t="s">
        <v>377</v>
      </c>
      <c r="H2411" s="145">
        <f>H2409*9.42*(2.6+3*0.07)</f>
        <v>0</v>
      </c>
      <c r="I2411" s="91">
        <f t="shared" si="96"/>
        <v>0</v>
      </c>
      <c r="J2411" s="92"/>
      <c r="K2411" s="92"/>
      <c r="L2411" s="117"/>
      <c r="M2411" s="56">
        <v>1000</v>
      </c>
    </row>
    <row r="2412" spans="1:13" s="51" customFormat="1" ht="25.2" hidden="1" customHeight="1">
      <c r="A2412" s="68">
        <f t="shared" si="98"/>
        <v>0</v>
      </c>
      <c r="B2412" s="69" t="s">
        <v>237</v>
      </c>
      <c r="C2412" s="69"/>
      <c r="D2412" s="111"/>
      <c r="E2412" s="88">
        <v>0</v>
      </c>
      <c r="F2412" s="89" t="str">
        <f>VLOOKUP($B2412,[1]DG!A:D,[1]DG!$C$2,)</f>
        <v>Boulon 16x250+ 2 long đền vuông D18-50x50x3/Zn</v>
      </c>
      <c r="G2412" s="88" t="s">
        <v>375</v>
      </c>
      <c r="H2412" s="145">
        <f>IF(H2409&gt;2,(H2409-1)*2,0)</f>
        <v>0</v>
      </c>
      <c r="I2412" s="91">
        <f t="shared" si="96"/>
        <v>0</v>
      </c>
      <c r="J2412" s="92"/>
      <c r="K2412" s="92"/>
      <c r="L2412" s="117"/>
      <c r="M2412" s="56">
        <v>1000</v>
      </c>
    </row>
    <row r="2413" spans="1:13" s="51" customFormat="1" ht="25.2" hidden="1" customHeight="1">
      <c r="A2413" s="68">
        <f t="shared" si="98"/>
        <v>0</v>
      </c>
      <c r="B2413" s="69" t="s">
        <v>65</v>
      </c>
      <c r="C2413" s="69"/>
      <c r="D2413" s="111"/>
      <c r="E2413" s="88">
        <v>0</v>
      </c>
      <c r="F2413" s="89" t="str">
        <f>VLOOKUP($B2413,[1]DG!A:D,[1]DG!$C$2,)</f>
        <v>Boulon 16x300+ 2 long đền vuông D18-50x50x3/Zn</v>
      </c>
      <c r="G2413" s="88" t="s">
        <v>375</v>
      </c>
      <c r="H2413" s="145">
        <f>IF(H2409=0,0,2)</f>
        <v>0</v>
      </c>
      <c r="I2413" s="91">
        <f t="shared" si="96"/>
        <v>0</v>
      </c>
      <c r="J2413" s="92"/>
      <c r="K2413" s="92"/>
      <c r="L2413" s="117"/>
      <c r="M2413" s="56">
        <v>1000</v>
      </c>
    </row>
    <row r="2414" spans="1:13" s="51" customFormat="1" ht="25.2" hidden="1" customHeight="1">
      <c r="A2414" s="68">
        <f t="shared" si="98"/>
        <v>0</v>
      </c>
      <c r="B2414" s="86" t="s">
        <v>125</v>
      </c>
      <c r="C2414" s="86"/>
      <c r="D2414" s="111"/>
      <c r="E2414" s="88">
        <v>0</v>
      </c>
      <c r="F2414" s="89" t="str">
        <f>VLOOKUP($B2414,[1]DG!A:D,[1]DG!$C$2,)</f>
        <v>Bass LL bắt FCO, LA</v>
      </c>
      <c r="G2414" s="88" t="s">
        <v>67</v>
      </c>
      <c r="H2414" s="145">
        <f>H2409*1</f>
        <v>0</v>
      </c>
      <c r="I2414" s="91">
        <f t="shared" si="96"/>
        <v>0</v>
      </c>
      <c r="J2414" s="92"/>
      <c r="K2414" s="92"/>
      <c r="L2414" s="117"/>
      <c r="M2414" s="56">
        <v>1000</v>
      </c>
    </row>
    <row r="2415" spans="1:13" s="51" customFormat="1" ht="25.2" hidden="1" customHeight="1">
      <c r="A2415" s="68">
        <f t="shared" si="98"/>
        <v>0</v>
      </c>
      <c r="B2415" s="69" t="s">
        <v>363</v>
      </c>
      <c r="C2415" s="69"/>
      <c r="D2415" s="111"/>
      <c r="E2415" s="88" t="s">
        <v>566</v>
      </c>
      <c r="F2415" s="89" t="str">
        <f>VLOOKUP($B2415,[1]DG!A:D,[1]DG!$C$2,)</f>
        <v>Lắp xà cột Pi loại ≤140kg/xà</v>
      </c>
      <c r="G2415" s="88" t="s">
        <v>375</v>
      </c>
      <c r="H2415" s="145">
        <f>H2409</f>
        <v>0</v>
      </c>
      <c r="I2415" s="91">
        <f t="shared" si="96"/>
        <v>0</v>
      </c>
      <c r="J2415" s="92"/>
      <c r="K2415" s="92"/>
      <c r="L2415" s="117"/>
      <c r="M2415" s="56">
        <v>1000</v>
      </c>
    </row>
    <row r="2416" spans="1:13" s="51" customFormat="1" ht="25.2" hidden="1" customHeight="1">
      <c r="A2416" s="68">
        <f t="shared" si="98"/>
        <v>0</v>
      </c>
      <c r="B2416" s="69"/>
      <c r="C2416" s="69"/>
      <c r="D2416" s="220">
        <f>IF(H2416&gt;0,D2409+1,D2409)</f>
        <v>0</v>
      </c>
      <c r="E2416" s="238"/>
      <c r="F2416" s="329" t="s">
        <v>373</v>
      </c>
      <c r="G2416" s="220" t="s">
        <v>67</v>
      </c>
      <c r="H2416" s="240">
        <f>H2394*2</f>
        <v>0</v>
      </c>
      <c r="I2416" s="91">
        <f t="shared" si="96"/>
        <v>0</v>
      </c>
      <c r="J2416" s="95"/>
      <c r="K2416" s="95"/>
      <c r="L2416" s="117"/>
      <c r="M2416" s="56">
        <v>1000</v>
      </c>
    </row>
    <row r="2417" spans="1:13" s="51" customFormat="1" ht="25.2" hidden="1" customHeight="1">
      <c r="A2417" s="68">
        <f>IF(A2416&gt;0,1,0)</f>
        <v>0</v>
      </c>
      <c r="B2417" s="69"/>
      <c r="C2417" s="69"/>
      <c r="D2417" s="111"/>
      <c r="E2417" s="242"/>
      <c r="F2417" s="243" t="s">
        <v>68</v>
      </c>
      <c r="G2417" s="87"/>
      <c r="H2417" s="145"/>
      <c r="I2417" s="91">
        <f t="shared" si="96"/>
        <v>0</v>
      </c>
      <c r="J2417" s="95"/>
      <c r="K2417" s="95"/>
      <c r="L2417" s="117"/>
      <c r="M2417" s="56">
        <v>1000</v>
      </c>
    </row>
    <row r="2418" spans="1:13" s="51" customFormat="1" ht="25.2" hidden="1" customHeight="1">
      <c r="A2418" s="68">
        <f t="shared" si="98"/>
        <v>0</v>
      </c>
      <c r="B2418" s="69" t="s">
        <v>367</v>
      </c>
      <c r="C2418" s="69"/>
      <c r="D2418" s="111"/>
      <c r="E2418" s="88">
        <v>0</v>
      </c>
      <c r="F2418" s="89" t="str">
        <f>VLOOKUP($B2418,[1]DG!A:D,[1]DG!$C$2,)</f>
        <v>Sắt góc L75 x75 x8</v>
      </c>
      <c r="G2418" s="88" t="s">
        <v>377</v>
      </c>
      <c r="H2418" s="145">
        <f>H2416*9.42*2.6</f>
        <v>0</v>
      </c>
      <c r="I2418" s="91">
        <f t="shared" si="96"/>
        <v>0</v>
      </c>
      <c r="J2418" s="92"/>
      <c r="K2418" s="92"/>
      <c r="L2418" s="117"/>
      <c r="M2418" s="56">
        <v>1000</v>
      </c>
    </row>
    <row r="2419" spans="1:13" s="51" customFormat="1" ht="25.2" hidden="1" customHeight="1">
      <c r="A2419" s="68">
        <f t="shared" si="98"/>
        <v>0</v>
      </c>
      <c r="B2419" s="69" t="s">
        <v>265</v>
      </c>
      <c r="C2419" s="69"/>
      <c r="D2419" s="111"/>
      <c r="E2419" s="88">
        <v>0</v>
      </c>
      <c r="F2419" s="89" t="str">
        <f>VLOOKUP($B2419,[1]DG!A:D,[1]DG!$C$2,)</f>
        <v>Boulon 16x400+ 2 long đền vuông D18-50x50x3/Zn</v>
      </c>
      <c r="G2419" s="88" t="s">
        <v>375</v>
      </c>
      <c r="H2419" s="145">
        <f>H2416*2</f>
        <v>0</v>
      </c>
      <c r="I2419" s="91">
        <f t="shared" si="96"/>
        <v>0</v>
      </c>
      <c r="J2419" s="92"/>
      <c r="K2419" s="92"/>
      <c r="L2419" s="117"/>
      <c r="M2419" s="56">
        <v>1000</v>
      </c>
    </row>
    <row r="2420" spans="1:13" s="51" customFormat="1" ht="25.2" hidden="1" customHeight="1">
      <c r="A2420" s="68">
        <f t="shared" si="98"/>
        <v>0</v>
      </c>
      <c r="B2420" s="69" t="s">
        <v>363</v>
      </c>
      <c r="C2420" s="69"/>
      <c r="D2420" s="111"/>
      <c r="E2420" s="88" t="s">
        <v>566</v>
      </c>
      <c r="F2420" s="89" t="str">
        <f>VLOOKUP($B2420,[1]DG!A:D,[1]DG!$C$2,)</f>
        <v>Lắp xà cột Pi loại ≤140kg/xà</v>
      </c>
      <c r="G2420" s="88" t="s">
        <v>375</v>
      </c>
      <c r="H2420" s="145">
        <f>H2416</f>
        <v>0</v>
      </c>
      <c r="I2420" s="91">
        <f t="shared" si="96"/>
        <v>0</v>
      </c>
      <c r="J2420" s="92"/>
      <c r="K2420" s="92"/>
      <c r="L2420" s="117"/>
      <c r="M2420" s="56">
        <v>1000</v>
      </c>
    </row>
    <row r="2421" spans="1:13" s="51" customFormat="1" ht="25.2" hidden="1" customHeight="1">
      <c r="A2421" s="68">
        <f t="shared" si="98"/>
        <v>0</v>
      </c>
      <c r="B2421" s="69" t="s">
        <v>65</v>
      </c>
      <c r="C2421" s="69"/>
      <c r="D2421" s="111"/>
      <c r="E2421" s="88">
        <v>0</v>
      </c>
      <c r="F2421" s="89" t="str">
        <f>VLOOKUP($B2421,[1]DG!A:D,[1]DG!$C$2,)</f>
        <v>Boulon 16x300+ 2 long đền vuông D18-50x50x3/Zn</v>
      </c>
      <c r="G2421" s="88" t="s">
        <v>375</v>
      </c>
      <c r="H2421" s="145">
        <f>H2416*2*0</f>
        <v>0</v>
      </c>
      <c r="I2421" s="91">
        <f t="shared" si="96"/>
        <v>0</v>
      </c>
      <c r="J2421" s="92"/>
      <c r="K2421" s="92"/>
      <c r="L2421" s="117"/>
      <c r="M2421" s="56">
        <v>1000</v>
      </c>
    </row>
    <row r="2422" spans="1:13" s="51" customFormat="1" ht="25.2" hidden="1" customHeight="1">
      <c r="A2422" s="68">
        <f t="shared" si="98"/>
        <v>0</v>
      </c>
      <c r="B2422" s="69" t="s">
        <v>237</v>
      </c>
      <c r="C2422" s="69"/>
      <c r="D2422" s="111"/>
      <c r="E2422" s="88">
        <v>0</v>
      </c>
      <c r="F2422" s="89" t="str">
        <f>VLOOKUP($B2422,[1]DG!A:D,[1]DG!$C$2,)</f>
        <v>Boulon 16x250+ 2 long đền vuông D18-50x50x3/Zn</v>
      </c>
      <c r="G2422" s="88" t="s">
        <v>375</v>
      </c>
      <c r="H2422" s="145">
        <f>2*H2416*2*0</f>
        <v>0</v>
      </c>
      <c r="I2422" s="91">
        <f t="shared" si="96"/>
        <v>0</v>
      </c>
      <c r="J2422" s="92"/>
      <c r="K2422" s="92"/>
      <c r="L2422" s="117"/>
      <c r="M2422" s="56">
        <v>1000</v>
      </c>
    </row>
    <row r="2423" spans="1:13" s="51" customFormat="1" ht="25.2" hidden="1" customHeight="1" collapsed="1">
      <c r="A2423" s="68">
        <f t="shared" si="98"/>
        <v>0</v>
      </c>
      <c r="B2423" s="69"/>
      <c r="C2423" s="69"/>
      <c r="D2423" s="220">
        <f>IF(H2423&gt;0,D2416+1,D2416)</f>
        <v>0</v>
      </c>
      <c r="E2423" s="238"/>
      <c r="F2423" s="329" t="s">
        <v>568</v>
      </c>
      <c r="G2423" s="220" t="s">
        <v>67</v>
      </c>
      <c r="H2423" s="240">
        <f>H2369</f>
        <v>0</v>
      </c>
      <c r="I2423" s="91">
        <f t="shared" si="96"/>
        <v>0</v>
      </c>
      <c r="J2423" s="146"/>
      <c r="K2423" s="146"/>
      <c r="L2423" s="117"/>
      <c r="M2423" s="56">
        <v>1000</v>
      </c>
    </row>
    <row r="2424" spans="1:13" s="51" customFormat="1" ht="25.2" hidden="1" customHeight="1">
      <c r="A2424" s="68">
        <f>IF(A2423&gt;0,1,0)</f>
        <v>0</v>
      </c>
      <c r="B2424" s="69"/>
      <c r="C2424" s="69"/>
      <c r="D2424" s="111"/>
      <c r="E2424" s="242"/>
      <c r="F2424" s="243" t="s">
        <v>68</v>
      </c>
      <c r="G2424" s="87"/>
      <c r="H2424" s="145"/>
      <c r="I2424" s="91">
        <f t="shared" si="96"/>
        <v>0</v>
      </c>
      <c r="J2424" s="146"/>
      <c r="K2424" s="146"/>
      <c r="L2424" s="117"/>
      <c r="M2424" s="56">
        <v>1000</v>
      </c>
    </row>
    <row r="2425" spans="1:13" s="51" customFormat="1" ht="25.2" hidden="1" customHeight="1">
      <c r="A2425" s="68">
        <f t="shared" si="98"/>
        <v>0</v>
      </c>
      <c r="B2425" s="69" t="s">
        <v>367</v>
      </c>
      <c r="C2425" s="69"/>
      <c r="D2425" s="111"/>
      <c r="E2425" s="88">
        <v>0</v>
      </c>
      <c r="F2425" s="89" t="str">
        <f>VLOOKUP($B2425,[1]DG!A:D,[1]DG!$C$2,)</f>
        <v>Sắt góc L75 x75 x8</v>
      </c>
      <c r="G2425" s="88" t="s">
        <v>377</v>
      </c>
      <c r="H2425" s="145">
        <f>H2423*9.42*(2.4+4*0.07)*2</f>
        <v>0</v>
      </c>
      <c r="I2425" s="91">
        <f t="shared" si="96"/>
        <v>0</v>
      </c>
      <c r="J2425" s="146"/>
      <c r="K2425" s="146"/>
      <c r="L2425" s="117"/>
      <c r="M2425" s="56">
        <v>1000</v>
      </c>
    </row>
    <row r="2426" spans="1:13" s="51" customFormat="1" ht="25.2" hidden="1" customHeight="1">
      <c r="A2426" s="68">
        <f t="shared" si="98"/>
        <v>0</v>
      </c>
      <c r="B2426" s="69" t="s">
        <v>378</v>
      </c>
      <c r="C2426" s="69"/>
      <c r="D2426" s="111"/>
      <c r="E2426" s="88" t="s">
        <v>569</v>
      </c>
      <c r="F2426" s="89" t="str">
        <f>VLOOKUP($B2426,[1]DG!A:D,[1]DG!$C$2,)&amp;" (Thanh choáng 920)"</f>
        <v>Sắt góc L50 x50 x5 (Thanh choáng 920)</v>
      </c>
      <c r="G2426" s="88" t="s">
        <v>377</v>
      </c>
      <c r="H2426" s="145">
        <f>H2423*3.77*0.92*4</f>
        <v>0</v>
      </c>
      <c r="I2426" s="91">
        <f t="shared" ref="I2426:I2489" si="99">IF(M2426=$M$23,H2426+J2426-K2426,0)</f>
        <v>0</v>
      </c>
      <c r="J2426" s="146"/>
      <c r="K2426" s="146"/>
      <c r="L2426" s="117"/>
      <c r="M2426" s="56">
        <v>1000</v>
      </c>
    </row>
    <row r="2427" spans="1:13" s="51" customFormat="1" ht="25.2" hidden="1" customHeight="1">
      <c r="A2427" s="68">
        <f t="shared" si="98"/>
        <v>0</v>
      </c>
      <c r="B2427" s="69" t="s">
        <v>65</v>
      </c>
      <c r="C2427" s="69"/>
      <c r="D2427" s="111"/>
      <c r="E2427" s="88">
        <v>0</v>
      </c>
      <c r="F2427" s="89" t="str">
        <f>VLOOKUP($B2427,[1]DG!A:D,[1]DG!$C$2,)</f>
        <v>Boulon 16x300+ 2 long đền vuông D18-50x50x3/Zn</v>
      </c>
      <c r="G2427" s="88" t="s">
        <v>375</v>
      </c>
      <c r="H2427" s="145">
        <f>H2423*2</f>
        <v>0</v>
      </c>
      <c r="I2427" s="91">
        <f t="shared" si="99"/>
        <v>0</v>
      </c>
      <c r="J2427" s="146"/>
      <c r="K2427" s="146"/>
      <c r="L2427" s="117"/>
      <c r="M2427" s="56">
        <v>1000</v>
      </c>
    </row>
    <row r="2428" spans="1:13" s="51" customFormat="1" ht="25.2" hidden="1" customHeight="1">
      <c r="A2428" s="68">
        <f t="shared" si="98"/>
        <v>0</v>
      </c>
      <c r="B2428" s="69" t="s">
        <v>231</v>
      </c>
      <c r="C2428" s="69"/>
      <c r="D2428" s="111"/>
      <c r="E2428" s="88">
        <v>0</v>
      </c>
      <c r="F2428" s="89" t="str">
        <f>VLOOKUP($B2428,[1]DG!A:D,[1]DG!$C$2,)</f>
        <v>Boulon 16x50+ 2 long đền vuông D18-50x50x3/Zn</v>
      </c>
      <c r="G2428" s="88" t="s">
        <v>375</v>
      </c>
      <c r="H2428" s="145">
        <f>H2423*4</f>
        <v>0</v>
      </c>
      <c r="I2428" s="91">
        <f t="shared" si="99"/>
        <v>0</v>
      </c>
      <c r="J2428" s="146"/>
      <c r="K2428" s="146"/>
      <c r="L2428" s="117"/>
      <c r="M2428" s="56">
        <v>1000</v>
      </c>
    </row>
    <row r="2429" spans="1:13" s="51" customFormat="1" ht="25.2" hidden="1" customHeight="1">
      <c r="A2429" s="68">
        <f t="shared" si="98"/>
        <v>0</v>
      </c>
      <c r="B2429" s="69" t="s">
        <v>368</v>
      </c>
      <c r="C2429" s="69"/>
      <c r="D2429" s="111"/>
      <c r="E2429" s="88">
        <v>0</v>
      </c>
      <c r="F2429" s="89" t="str">
        <f>VLOOKUP($B2429,[1]DG!A:D,[1]DG!$C$2,)</f>
        <v>Boulon 16x300VRS+ 4 long đền vuông D18-50x50x3/Zn</v>
      </c>
      <c r="G2429" s="88" t="s">
        <v>375</v>
      </c>
      <c r="H2429" s="145">
        <f>H2423*4</f>
        <v>0</v>
      </c>
      <c r="I2429" s="91">
        <f t="shared" si="99"/>
        <v>0</v>
      </c>
      <c r="J2429" s="146"/>
      <c r="K2429" s="146"/>
      <c r="L2429" s="117"/>
      <c r="M2429" s="56">
        <v>1000</v>
      </c>
    </row>
    <row r="2430" spans="1:13" s="51" customFormat="1" ht="25.2" hidden="1" customHeight="1">
      <c r="A2430" s="68">
        <f t="shared" si="98"/>
        <v>0</v>
      </c>
      <c r="B2430" s="69" t="s">
        <v>421</v>
      </c>
      <c r="C2430" s="69"/>
      <c r="D2430" s="111"/>
      <c r="E2430" s="88">
        <v>0</v>
      </c>
      <c r="F2430" s="89" t="str">
        <f>VLOOKUP($B2430,[1]DG!A:D,[1]DG!$C$2,)</f>
        <v>Bass LI bắt FCO</v>
      </c>
      <c r="G2430" s="88" t="s">
        <v>375</v>
      </c>
      <c r="H2430" s="145">
        <f>H2423*3/2*0</f>
        <v>0</v>
      </c>
      <c r="I2430" s="91">
        <f t="shared" si="99"/>
        <v>0</v>
      </c>
      <c r="J2430" s="146"/>
      <c r="K2430" s="146"/>
      <c r="L2430" s="117"/>
      <c r="M2430" s="56">
        <v>1000</v>
      </c>
    </row>
    <row r="2431" spans="1:13" s="51" customFormat="1" ht="25.2" hidden="1" customHeight="1">
      <c r="A2431" s="68">
        <f t="shared" si="98"/>
        <v>0</v>
      </c>
      <c r="B2431" s="69" t="s">
        <v>379</v>
      </c>
      <c r="C2431" s="69"/>
      <c r="D2431" s="111"/>
      <c r="E2431" s="88" t="s">
        <v>570</v>
      </c>
      <c r="F2431" s="89" t="str">
        <f>VLOOKUP($B2431,[1]DG!A:D,[1]DG!$C$2,)</f>
        <v>Lắp xà néo ≤ 100kg</v>
      </c>
      <c r="G2431" s="88" t="s">
        <v>375</v>
      </c>
      <c r="H2431" s="145">
        <f>H2423</f>
        <v>0</v>
      </c>
      <c r="I2431" s="91">
        <f t="shared" si="99"/>
        <v>0</v>
      </c>
      <c r="J2431" s="146"/>
      <c r="K2431" s="146"/>
      <c r="L2431" s="117"/>
      <c r="M2431" s="56">
        <v>1000</v>
      </c>
    </row>
    <row r="2432" spans="1:13" s="51" customFormat="1" ht="25.2" hidden="1" customHeight="1">
      <c r="A2432" s="68">
        <f t="shared" si="98"/>
        <v>0</v>
      </c>
      <c r="B2432" s="69"/>
      <c r="C2432" s="69"/>
      <c r="D2432" s="220">
        <f>IF(H2432&gt;0,D2423+1,D2423)</f>
        <v>0</v>
      </c>
      <c r="E2432" s="238"/>
      <c r="F2432" s="329" t="s">
        <v>571</v>
      </c>
      <c r="G2432" s="220" t="s">
        <v>67</v>
      </c>
      <c r="H2432" s="240">
        <f>H2369*3</f>
        <v>0</v>
      </c>
      <c r="I2432" s="91">
        <f t="shared" si="99"/>
        <v>0</v>
      </c>
      <c r="J2432" s="146"/>
      <c r="K2432" s="146"/>
      <c r="L2432" s="117"/>
      <c r="M2432" s="56">
        <v>1000</v>
      </c>
    </row>
    <row r="2433" spans="1:13" s="51" customFormat="1" ht="25.2" hidden="1" customHeight="1">
      <c r="A2433" s="68">
        <f>IF(A2432&gt;0,1,0)</f>
        <v>0</v>
      </c>
      <c r="B2433" s="69"/>
      <c r="C2433" s="69"/>
      <c r="D2433" s="111"/>
      <c r="E2433" s="242"/>
      <c r="F2433" s="243" t="s">
        <v>68</v>
      </c>
      <c r="G2433" s="87"/>
      <c r="H2433" s="145"/>
      <c r="I2433" s="91">
        <f t="shared" si="99"/>
        <v>0</v>
      </c>
      <c r="J2433" s="146"/>
      <c r="K2433" s="146"/>
      <c r="L2433" s="117"/>
      <c r="M2433" s="56">
        <v>1000</v>
      </c>
    </row>
    <row r="2434" spans="1:13" s="51" customFormat="1" ht="25.2" hidden="1" customHeight="1">
      <c r="A2434" s="68">
        <f t="shared" si="98"/>
        <v>0</v>
      </c>
      <c r="B2434" s="69" t="s">
        <v>367</v>
      </c>
      <c r="C2434" s="69"/>
      <c r="D2434" s="111"/>
      <c r="E2434" s="88">
        <v>0</v>
      </c>
      <c r="F2434" s="89" t="str">
        <f>VLOOKUP($B2434,[1]DG!A:D,[1]DG!$C$2,)</f>
        <v>Sắt góc L75 x75 x8</v>
      </c>
      <c r="G2434" s="88" t="s">
        <v>377</v>
      </c>
      <c r="H2434" s="145">
        <f>H2432*9.02*(2.2+4*0.07)</f>
        <v>0</v>
      </c>
      <c r="I2434" s="91">
        <f t="shared" si="99"/>
        <v>0</v>
      </c>
      <c r="J2434" s="146"/>
      <c r="K2434" s="146"/>
      <c r="L2434" s="117"/>
      <c r="M2434" s="56">
        <v>1000</v>
      </c>
    </row>
    <row r="2435" spans="1:13" s="51" customFormat="1" ht="25.2" hidden="1" customHeight="1">
      <c r="A2435" s="68">
        <f t="shared" si="98"/>
        <v>0</v>
      </c>
      <c r="B2435" s="69" t="s">
        <v>378</v>
      </c>
      <c r="C2435" s="69"/>
      <c r="D2435" s="111"/>
      <c r="E2435" s="88">
        <v>0</v>
      </c>
      <c r="F2435" s="89" t="str">
        <f>VLOOKUP($B2435,[1]DG!A:D,[1]DG!$C$2,)&amp;" (Thanh choáng 920)"</f>
        <v>Sắt góc L50 x50 x5 (Thanh choáng 920)</v>
      </c>
      <c r="G2435" s="88" t="s">
        <v>377</v>
      </c>
      <c r="H2435" s="340">
        <f>H2432*3.77*0.92*2</f>
        <v>0</v>
      </c>
      <c r="I2435" s="91">
        <f t="shared" si="99"/>
        <v>0</v>
      </c>
      <c r="J2435" s="146"/>
      <c r="K2435" s="146"/>
      <c r="L2435" s="117"/>
      <c r="M2435" s="56">
        <v>1000</v>
      </c>
    </row>
    <row r="2436" spans="1:13" s="51" customFormat="1" ht="25.2" hidden="1" customHeight="1">
      <c r="A2436" s="68">
        <f t="shared" si="98"/>
        <v>0</v>
      </c>
      <c r="B2436" s="69" t="s">
        <v>123</v>
      </c>
      <c r="C2436" s="69"/>
      <c r="D2436" s="111"/>
      <c r="E2436" s="88">
        <v>0</v>
      </c>
      <c r="F2436" s="89" t="str">
        <f>VLOOKUP($B2436,[1]DG!A:D,[1]DG!$C$2,)</f>
        <v>Boulon 16x350+ 2 long đền vuông D18-50x50x3/Zn</v>
      </c>
      <c r="G2436" s="88" t="s">
        <v>375</v>
      </c>
      <c r="H2436" s="145">
        <f>H2432*2</f>
        <v>0</v>
      </c>
      <c r="I2436" s="91">
        <f t="shared" si="99"/>
        <v>0</v>
      </c>
      <c r="J2436" s="146"/>
      <c r="K2436" s="146"/>
      <c r="L2436" s="117"/>
      <c r="M2436" s="56">
        <v>1000</v>
      </c>
    </row>
    <row r="2437" spans="1:13" s="51" customFormat="1" ht="25.2" hidden="1" customHeight="1">
      <c r="A2437" s="68">
        <f t="shared" si="98"/>
        <v>0</v>
      </c>
      <c r="B2437" s="69" t="s">
        <v>231</v>
      </c>
      <c r="C2437" s="69"/>
      <c r="D2437" s="111"/>
      <c r="E2437" s="88">
        <v>0</v>
      </c>
      <c r="F2437" s="89" t="str">
        <f>VLOOKUP($B2437,[1]DG!A:D,[1]DG!$C$2,)</f>
        <v>Boulon 16x50+ 2 long đền vuông D18-50x50x3/Zn</v>
      </c>
      <c r="G2437" s="88" t="s">
        <v>375</v>
      </c>
      <c r="H2437" s="145">
        <f>H2432*2</f>
        <v>0</v>
      </c>
      <c r="I2437" s="91">
        <f t="shared" si="99"/>
        <v>0</v>
      </c>
      <c r="J2437" s="146"/>
      <c r="K2437" s="146"/>
      <c r="L2437" s="117"/>
      <c r="M2437" s="56">
        <v>1000</v>
      </c>
    </row>
    <row r="2438" spans="1:13" s="51" customFormat="1" ht="25.2" hidden="1" customHeight="1">
      <c r="A2438" s="68">
        <f t="shared" si="98"/>
        <v>0</v>
      </c>
      <c r="B2438" s="69" t="s">
        <v>381</v>
      </c>
      <c r="C2438" s="69"/>
      <c r="D2438" s="111"/>
      <c r="E2438" s="88">
        <v>0</v>
      </c>
      <c r="F2438" s="89" t="str">
        <f>VLOOKUP($B2438,[1]DG!A:D,[1]DG!$C$2,)</f>
        <v>Bass LI bắt FCO</v>
      </c>
      <c r="G2438" s="88" t="s">
        <v>375</v>
      </c>
      <c r="H2438" s="340">
        <f>H2432</f>
        <v>0</v>
      </c>
      <c r="I2438" s="91">
        <f t="shared" si="99"/>
        <v>0</v>
      </c>
      <c r="J2438" s="146"/>
      <c r="K2438" s="146"/>
      <c r="L2438" s="117"/>
      <c r="M2438" s="56">
        <v>1000</v>
      </c>
    </row>
    <row r="2439" spans="1:13" s="51" customFormat="1" ht="25.2" hidden="1" customHeight="1">
      <c r="A2439" s="68">
        <f t="shared" si="98"/>
        <v>0</v>
      </c>
      <c r="B2439" s="69" t="s">
        <v>382</v>
      </c>
      <c r="C2439" s="69"/>
      <c r="D2439" s="111"/>
      <c r="E2439" s="88">
        <v>0</v>
      </c>
      <c r="F2439" s="89" t="str">
        <f>VLOOKUP($B2439,[1]DG!A:D,[1]DG!$C$2,)</f>
        <v xml:space="preserve">Cổ dê chống lắc 8x80x800 </v>
      </c>
      <c r="G2439" s="88" t="s">
        <v>375</v>
      </c>
      <c r="H2439" s="145">
        <f>H2432/3</f>
        <v>0</v>
      </c>
      <c r="I2439" s="91">
        <f t="shared" si="99"/>
        <v>0</v>
      </c>
      <c r="J2439" s="146"/>
      <c r="K2439" s="146"/>
      <c r="L2439" s="117"/>
      <c r="M2439" s="56">
        <v>1000</v>
      </c>
    </row>
    <row r="2440" spans="1:13" s="51" customFormat="1" ht="25.2" hidden="1" customHeight="1">
      <c r="A2440" s="68">
        <f t="shared" si="98"/>
        <v>0</v>
      </c>
      <c r="B2440" s="69" t="s">
        <v>572</v>
      </c>
      <c r="C2440" s="69"/>
      <c r="D2440" s="111"/>
      <c r="E2440" s="88" t="s">
        <v>573</v>
      </c>
      <c r="F2440" s="89" t="str">
        <f>VLOOKUP($B2440,[1]DG!A:D,[1]DG!$C$2,)</f>
        <v>Lắp xà néo ≤ 50kg</v>
      </c>
      <c r="G2440" s="88" t="s">
        <v>375</v>
      </c>
      <c r="H2440" s="145">
        <f>H2432</f>
        <v>0</v>
      </c>
      <c r="I2440" s="91">
        <f t="shared" si="99"/>
        <v>0</v>
      </c>
      <c r="J2440" s="146"/>
      <c r="K2440" s="146"/>
      <c r="L2440" s="117"/>
      <c r="M2440" s="56">
        <v>1000</v>
      </c>
    </row>
    <row r="2441" spans="1:13" s="51" customFormat="1" ht="25.2" hidden="1" customHeight="1">
      <c r="A2441" s="68">
        <f t="shared" si="98"/>
        <v>0</v>
      </c>
      <c r="B2441" s="69"/>
      <c r="C2441" s="69"/>
      <c r="D2441" s="220">
        <f>IF(H2441&gt;0,D2432+1,D2432)</f>
        <v>0</v>
      </c>
      <c r="E2441" s="238"/>
      <c r="F2441" s="329" t="s">
        <v>574</v>
      </c>
      <c r="G2441" s="220" t="s">
        <v>67</v>
      </c>
      <c r="H2441" s="240">
        <f>H2369</f>
        <v>0</v>
      </c>
      <c r="I2441" s="91">
        <f t="shared" si="99"/>
        <v>0</v>
      </c>
      <c r="J2441" s="146"/>
      <c r="K2441" s="146"/>
      <c r="L2441" s="117"/>
      <c r="M2441" s="56">
        <v>1000</v>
      </c>
    </row>
    <row r="2442" spans="1:13" s="51" customFormat="1" ht="25.2" hidden="1" customHeight="1">
      <c r="A2442" s="68">
        <f t="shared" si="98"/>
        <v>0</v>
      </c>
      <c r="B2442" s="330"/>
      <c r="C2442" s="330"/>
      <c r="D2442" s="111"/>
      <c r="E2442" s="242"/>
      <c r="F2442" s="369" t="s">
        <v>575</v>
      </c>
      <c r="G2442" s="87"/>
      <c r="H2442" s="145"/>
      <c r="I2442" s="91">
        <f t="shared" si="99"/>
        <v>0</v>
      </c>
      <c r="J2442" s="146"/>
      <c r="K2442" s="146"/>
      <c r="L2442" s="117"/>
      <c r="M2442" s="56">
        <v>1000</v>
      </c>
    </row>
    <row r="2443" spans="1:13" s="51" customFormat="1" ht="25.2" hidden="1" customHeight="1">
      <c r="A2443" s="68">
        <f t="shared" si="98"/>
        <v>0</v>
      </c>
      <c r="B2443" s="69" t="s">
        <v>81</v>
      </c>
      <c r="C2443" s="69"/>
      <c r="D2443" s="111"/>
      <c r="E2443" s="88">
        <f>VLOOKUP($B2443,[1]DG!A:D,[1]DG!$B$2,)</f>
        <v>0</v>
      </c>
      <c r="F2443" s="89" t="e">
        <f>VLOOKUP($B2443,[1]DG!A:D,[1]DG!$C$2,)&amp; ": "&amp;#REF!&amp;"m"</f>
        <v>#REF!</v>
      </c>
      <c r="G2443" s="88" t="str">
        <f>VLOOKUP($B2443,[1]DG!A:D,[1]DG!$D$2,)</f>
        <v>kg</v>
      </c>
      <c r="H2443" s="145">
        <f>I3*0.224*H2441*0</f>
        <v>0</v>
      </c>
      <c r="I2443" s="91">
        <f t="shared" si="99"/>
        <v>0</v>
      </c>
      <c r="J2443" s="146"/>
      <c r="K2443" s="146"/>
      <c r="L2443" s="117"/>
      <c r="M2443" s="56">
        <v>1000</v>
      </c>
    </row>
    <row r="2444" spans="1:13" s="51" customFormat="1" ht="25.2" hidden="1" customHeight="1">
      <c r="A2444" s="68">
        <f t="shared" si="98"/>
        <v>0</v>
      </c>
      <c r="B2444" s="69" t="s">
        <v>81</v>
      </c>
      <c r="C2444" s="69"/>
      <c r="D2444" s="111"/>
      <c r="E2444" s="88">
        <f>VLOOKUP($B2444,[1]DG!A:D,[1]DG!$B$2,)</f>
        <v>0</v>
      </c>
      <c r="F2444" s="89" t="str">
        <f>VLOOKUP($B2444,[1]DG!A:D,[1]DG!$C$2,)&amp;": 10m noái leân voû caùc thieát bò"</f>
        <v>Cáp đồng trần M25mm2: 10m noái leân voû caùc thieát bò</v>
      </c>
      <c r="G2444" s="88" t="str">
        <f>VLOOKUP($B2444,[1]DG!A:D,[1]DG!$D$2,)</f>
        <v>kg</v>
      </c>
      <c r="H2444" s="145">
        <f>10*0.224*H2441*0</f>
        <v>0</v>
      </c>
      <c r="I2444" s="91">
        <f t="shared" si="99"/>
        <v>0</v>
      </c>
      <c r="J2444" s="146"/>
      <c r="K2444" s="146"/>
      <c r="L2444" s="117"/>
      <c r="M2444" s="56">
        <v>1000</v>
      </c>
    </row>
    <row r="2445" spans="1:13" s="51" customFormat="1" ht="25.2" hidden="1" customHeight="1">
      <c r="A2445" s="68">
        <f t="shared" si="98"/>
        <v>0</v>
      </c>
      <c r="B2445" s="86" t="s">
        <v>82</v>
      </c>
      <c r="C2445" s="86"/>
      <c r="D2445" s="111"/>
      <c r="E2445" s="88">
        <f>VLOOKUP($B2445,[1]DG!A:D,[1]DG!$B$2,)</f>
        <v>0</v>
      </c>
      <c r="F2445" s="89" t="str">
        <f>VLOOKUP($B2445,[1]DG!A:D,[1]DG!$C$2,)</f>
        <v>Cọc tiếp đất Þ 16- 2,4m + kẹp cọc mạ đồng</v>
      </c>
      <c r="G2445" s="88" t="str">
        <f>VLOOKUP($B2445,[1]DG!A:D,[1]DG!$D$2,)</f>
        <v>bộ</v>
      </c>
      <c r="H2445" s="145">
        <f>I2*H2441</f>
        <v>0</v>
      </c>
      <c r="I2445" s="91">
        <f t="shared" si="99"/>
        <v>0</v>
      </c>
      <c r="J2445" s="146"/>
      <c r="K2445" s="146"/>
      <c r="L2445" s="117"/>
      <c r="M2445" s="56">
        <v>1000</v>
      </c>
    </row>
    <row r="2446" spans="1:13" s="51" customFormat="1" ht="25.2" hidden="1" customHeight="1">
      <c r="A2446" s="68">
        <f t="shared" si="98"/>
        <v>0</v>
      </c>
      <c r="B2446" s="86" t="s">
        <v>83</v>
      </c>
      <c r="C2446" s="86"/>
      <c r="D2446" s="111"/>
      <c r="E2446" s="88" t="str">
        <f>VLOOKUP($B2446,[1]DG!A:D,[1]DG!$B$2,)</f>
        <v>07.2403</v>
      </c>
      <c r="F2446" s="89" t="str">
        <f>VLOOKUP($B2446,[1]DG!A:D,[1]DG!$C$2,)</f>
        <v xml:space="preserve">Ống PVC D21x1,6mm </v>
      </c>
      <c r="G2446" s="88" t="str">
        <f>VLOOKUP($B2446,[1]DG!A:D,[1]DG!$D$2,)</f>
        <v>m</v>
      </c>
      <c r="H2446" s="145">
        <f>H2441*6*0</f>
        <v>0</v>
      </c>
      <c r="I2446" s="91">
        <f t="shared" si="99"/>
        <v>0</v>
      </c>
      <c r="J2446" s="146"/>
      <c r="K2446" s="146"/>
      <c r="L2446" s="117"/>
      <c r="M2446" s="56">
        <v>1000</v>
      </c>
    </row>
    <row r="2447" spans="1:13" s="51" customFormat="1" ht="25.2" hidden="1" customHeight="1">
      <c r="A2447" s="68">
        <f t="shared" si="98"/>
        <v>0</v>
      </c>
      <c r="B2447" s="69" t="s">
        <v>184</v>
      </c>
      <c r="C2447" s="69"/>
      <c r="D2447" s="111"/>
      <c r="E2447" s="88">
        <f>VLOOKUP($B2447,[1]DG!A:D,[1]DG!$B$2,)</f>
        <v>0</v>
      </c>
      <c r="F2447" s="89" t="str">
        <f>VLOOKUP($B2447,[1]DG!A:D,[1]DG!$C$2,)&amp; " baét trung tính löôùi"</f>
        <v>Kẹp ép WR cỡ dây 50mm2 baét trung tính löôùi</v>
      </c>
      <c r="G2447" s="88" t="str">
        <f>VLOOKUP($B2447,[1]DG!A:D,[1]DG!$D$2,)</f>
        <v>cái</v>
      </c>
      <c r="H2447" s="145">
        <f>2*H2441*0</f>
        <v>0</v>
      </c>
      <c r="I2447" s="91">
        <f t="shared" si="99"/>
        <v>0</v>
      </c>
      <c r="J2447" s="146"/>
      <c r="K2447" s="146"/>
      <c r="L2447" s="117"/>
      <c r="M2447" s="56">
        <v>1000</v>
      </c>
    </row>
    <row r="2448" spans="1:13" s="51" customFormat="1" ht="25.2" hidden="1" customHeight="1">
      <c r="A2448" s="68">
        <f t="shared" si="98"/>
        <v>0</v>
      </c>
      <c r="B2448" s="69" t="s">
        <v>85</v>
      </c>
      <c r="C2448" s="69"/>
      <c r="D2448" s="111"/>
      <c r="E2448" s="88">
        <f>VLOOKUP($B2448,[1]DG!A:D,[1]DG!$B$2,)</f>
        <v>0</v>
      </c>
      <c r="F2448" s="89" t="str">
        <f>VLOOKUP($B2448,[1]DG!A:D,[1]DG!$C$2,)</f>
        <v>Kẹp ép cỡ dây 25mm2</v>
      </c>
      <c r="G2448" s="88" t="str">
        <f>VLOOKUP($B2448,[1]DG!A:D,[1]DG!$D$2,)</f>
        <v>cái</v>
      </c>
      <c r="H2448" s="340">
        <f>H2441*11*0</f>
        <v>0</v>
      </c>
      <c r="I2448" s="91">
        <f t="shared" si="99"/>
        <v>0</v>
      </c>
      <c r="J2448" s="146"/>
      <c r="K2448" s="146"/>
      <c r="L2448" s="117"/>
      <c r="M2448" s="56">
        <v>1000</v>
      </c>
    </row>
    <row r="2449" spans="1:13" s="51" customFormat="1" ht="25.2" hidden="1" customHeight="1">
      <c r="A2449" s="68">
        <f t="shared" si="98"/>
        <v>0</v>
      </c>
      <c r="B2449" s="86" t="s">
        <v>131</v>
      </c>
      <c r="C2449" s="86"/>
      <c r="D2449" s="111"/>
      <c r="E2449" s="88">
        <f>VLOOKUP($B2449,[1]DG!A:D,[1]DG!$B$2,)</f>
        <v>0</v>
      </c>
      <c r="F2449" s="89" t="str">
        <f>VLOOKUP($B2449,[1]DG!A:D,[1]DG!$C$2,)</f>
        <v>Boulon 12x40+ 2 long đền vuông D14-50x50x3/Zn</v>
      </c>
      <c r="G2449" s="88" t="str">
        <f>VLOOKUP($B2449,[1]DG!A:D,[1]DG!$D$2,)</f>
        <v>bộ</v>
      </c>
      <c r="H2449" s="145">
        <f>H2450/2</f>
        <v>0</v>
      </c>
      <c r="I2449" s="91">
        <f t="shared" si="99"/>
        <v>0</v>
      </c>
      <c r="J2449" s="146"/>
      <c r="K2449" s="146"/>
      <c r="L2449" s="117"/>
      <c r="M2449" s="56">
        <v>1000</v>
      </c>
    </row>
    <row r="2450" spans="1:13" s="51" customFormat="1" ht="25.2" hidden="1" customHeight="1">
      <c r="A2450" s="68">
        <f t="shared" si="98"/>
        <v>0</v>
      </c>
      <c r="B2450" s="86" t="s">
        <v>198</v>
      </c>
      <c r="C2450" s="86"/>
      <c r="D2450" s="111"/>
      <c r="E2450" s="88" t="str">
        <f>VLOOKUP($B2450,[1]DG!A:D,[1]DG!$B$2,)</f>
        <v>03.4001</v>
      </c>
      <c r="F2450" s="89" t="str">
        <f>VLOOKUP($B2450,[1]DG!A:D,[1]DG!$C$2,)</f>
        <v>Đầu cosse ép Cu 25mm2</v>
      </c>
      <c r="G2450" s="88" t="str">
        <f>VLOOKUP($B2450,[1]DG!A:D,[1]DG!$D$2,)</f>
        <v>cái</v>
      </c>
      <c r="H2450" s="145">
        <f>+H2441*2*0</f>
        <v>0</v>
      </c>
      <c r="I2450" s="91">
        <f t="shared" si="99"/>
        <v>0</v>
      </c>
      <c r="J2450" s="146"/>
      <c r="K2450" s="146"/>
      <c r="L2450" s="117"/>
      <c r="M2450" s="56">
        <v>1000</v>
      </c>
    </row>
    <row r="2451" spans="1:13" s="51" customFormat="1" ht="25.2" hidden="1" customHeight="1">
      <c r="A2451" s="68">
        <f t="shared" si="98"/>
        <v>0</v>
      </c>
      <c r="B2451" s="86" t="s">
        <v>86</v>
      </c>
      <c r="C2451" s="86"/>
      <c r="D2451" s="111"/>
      <c r="E2451" s="88" t="str">
        <f>VLOOKUP($B2451,[1]DG!A:D,[1]DG!$B$2,)</f>
        <v>06.3231</v>
      </c>
      <c r="F2451" s="89" t="str">
        <f>VLOOKUP($B2451,[1]DG!A:D,[1]DG!$C$2,)</f>
        <v>Cổ dê kẹp ống PVC  21</v>
      </c>
      <c r="G2451" s="88" t="str">
        <f>VLOOKUP($B2451,[1]DG!A:D,[1]DG!$D$2,)</f>
        <v>bộ</v>
      </c>
      <c r="H2451" s="145">
        <f>H2441*2*0</f>
        <v>0</v>
      </c>
      <c r="I2451" s="91">
        <f t="shared" si="99"/>
        <v>0</v>
      </c>
      <c r="J2451" s="146"/>
      <c r="K2451" s="146"/>
      <c r="L2451" s="117"/>
      <c r="M2451" s="56">
        <v>1000</v>
      </c>
    </row>
    <row r="2452" spans="1:13" s="51" customFormat="1" ht="25.2" hidden="1" customHeight="1">
      <c r="A2452" s="68">
        <f t="shared" si="98"/>
        <v>0</v>
      </c>
      <c r="B2452" s="86" t="s">
        <v>290</v>
      </c>
      <c r="C2452" s="86"/>
      <c r="D2452" s="111"/>
      <c r="E2452" s="88">
        <f>VLOOKUP($B2452,[1]DG!A:D,[1]DG!$B$2,)</f>
        <v>0</v>
      </c>
      <c r="F2452" s="89" t="str">
        <f>VLOOKUP($B2452,[1]DG!A:D,[1]DG!$C$2,)</f>
        <v>Giếng tiếp địa khoan đất</v>
      </c>
      <c r="G2452" s="88" t="str">
        <f>VLOOKUP($B2452,[1]DG!A:D,[1]DG!$D$2,)</f>
        <v>Cái</v>
      </c>
      <c r="H2452" s="145"/>
      <c r="I2452" s="91">
        <f t="shared" si="99"/>
        <v>0</v>
      </c>
      <c r="J2452" s="146"/>
      <c r="K2452" s="146"/>
      <c r="L2452" s="117"/>
      <c r="M2452" s="56">
        <v>1000</v>
      </c>
    </row>
    <row r="2453" spans="1:13" s="51" customFormat="1" ht="25.2" hidden="1" customHeight="1">
      <c r="A2453" s="68">
        <f t="shared" si="98"/>
        <v>0</v>
      </c>
      <c r="B2453" s="86" t="s">
        <v>576</v>
      </c>
      <c r="C2453" s="86"/>
      <c r="D2453" s="87"/>
      <c r="E2453" s="88" t="str">
        <f>VLOOKUP($B2453,[1]DG!A:D,[1]DG!$B$2,)</f>
        <v>03.8133</v>
      </c>
      <c r="F2453" s="92" t="str">
        <f>VLOOKUP($B2453,[1]DG!A:D,[1]DG!$C$2,)&amp;": (2m3/coïc)x"&amp;H2445&amp;" coïc"</f>
        <v>Phá đá chân hố móng, đá cấp II: (2m3/coïc)x0 coïc</v>
      </c>
      <c r="G2453" s="339" t="s">
        <v>11</v>
      </c>
      <c r="H2453" s="94"/>
      <c r="I2453" s="91">
        <f t="shared" si="99"/>
        <v>0</v>
      </c>
      <c r="J2453" s="146"/>
      <c r="K2453" s="146"/>
      <c r="L2453" s="117"/>
      <c r="M2453" s="56">
        <v>1000</v>
      </c>
    </row>
    <row r="2454" spans="1:13" s="51" customFormat="1" ht="25.2" hidden="1" customHeight="1">
      <c r="A2454" s="68">
        <f t="shared" si="98"/>
        <v>0</v>
      </c>
      <c r="B2454" s="86" t="s">
        <v>244</v>
      </c>
      <c r="C2454" s="86"/>
      <c r="D2454" s="87"/>
      <c r="E2454" s="88" t="str">
        <f>VLOOKUP($B2454,[1]DG!A:D,[1]DG!$B$2,)</f>
        <v>03.3123</v>
      </c>
      <c r="F2454" s="89" t="str">
        <f>VLOOKUP($B2454,[1]DG!A:D,[1]DG!$C$2,)</f>
        <v>Đào rãnh tiếp địa đất cấp 3</v>
      </c>
      <c r="G2454" s="339" t="s">
        <v>11</v>
      </c>
      <c r="H2454" s="94">
        <f>I3*H2441*0</f>
        <v>0</v>
      </c>
      <c r="I2454" s="91">
        <f t="shared" si="99"/>
        <v>0</v>
      </c>
      <c r="J2454" s="146"/>
      <c r="K2454" s="146"/>
      <c r="L2454" s="117"/>
      <c r="M2454" s="56">
        <v>1000</v>
      </c>
    </row>
    <row r="2455" spans="1:13" s="51" customFormat="1" ht="25.2" hidden="1" customHeight="1">
      <c r="A2455" s="68">
        <f t="shared" si="98"/>
        <v>0</v>
      </c>
      <c r="B2455" s="86" t="s">
        <v>245</v>
      </c>
      <c r="C2455" s="86"/>
      <c r="D2455" s="87"/>
      <c r="E2455" s="88" t="str">
        <f>VLOOKUP($B2455,[1]DG!A:D,[1]DG!$B$2,)</f>
        <v>03.4123</v>
      </c>
      <c r="F2455" s="89" t="str">
        <f>VLOOKUP($B2455,[1]DG!A:D,[1]DG!$C$2,)</f>
        <v>Đắp đất rãnh tiếp độ chặt k=0,85</v>
      </c>
      <c r="G2455" s="339" t="s">
        <v>11</v>
      </c>
      <c r="H2455" s="94">
        <f>($H2454+H2453)*H2441</f>
        <v>0</v>
      </c>
      <c r="I2455" s="91">
        <f t="shared" si="99"/>
        <v>0</v>
      </c>
      <c r="J2455" s="146"/>
      <c r="K2455" s="146"/>
      <c r="L2455" s="117"/>
      <c r="M2455" s="56">
        <v>1000</v>
      </c>
    </row>
    <row r="2456" spans="1:13" s="51" customFormat="1" ht="25.2" hidden="1" customHeight="1">
      <c r="A2456" s="68">
        <f t="shared" si="98"/>
        <v>0</v>
      </c>
      <c r="B2456" s="86" t="s">
        <v>89</v>
      </c>
      <c r="C2456" s="86"/>
      <c r="D2456" s="87"/>
      <c r="E2456" s="88" t="str">
        <f>VLOOKUP($B2456,[1]DG!A:D,[1]DG!$B$2,)</f>
        <v>04.7001</v>
      </c>
      <c r="F2456" s="89" t="str">
        <f>VLOOKUP($B2456,[1]DG!A:D,[1]DG!$C$2,)</f>
        <v>Đóng cọc tiếp địa trong TBA</v>
      </c>
      <c r="G2456" s="339" t="s">
        <v>11</v>
      </c>
      <c r="H2456" s="94">
        <f>H2445</f>
        <v>0</v>
      </c>
      <c r="I2456" s="91">
        <f t="shared" si="99"/>
        <v>0</v>
      </c>
      <c r="J2456" s="146"/>
      <c r="K2456" s="146"/>
      <c r="L2456" s="117"/>
      <c r="M2456" s="56">
        <v>1000</v>
      </c>
    </row>
    <row r="2457" spans="1:13" s="51" customFormat="1" ht="25.2" hidden="1" customHeight="1">
      <c r="A2457" s="68">
        <f t="shared" si="98"/>
        <v>0</v>
      </c>
      <c r="B2457" s="86" t="s">
        <v>387</v>
      </c>
      <c r="C2457" s="86"/>
      <c r="D2457" s="111"/>
      <c r="E2457" s="88" t="str">
        <f>VLOOKUP($B2457,[1]DG!A:D,[1]DG!$B$2,)</f>
        <v>04.7002</v>
      </c>
      <c r="F2457" s="89" t="str">
        <f>VLOOKUP($B2457,[1]DG!A:D,[1]DG!$C$2,)</f>
        <v>Kéo dây tiếp địa trong TBA</v>
      </c>
      <c r="G2457" s="88" t="str">
        <f>VLOOKUP($B2457,[1]DG!A:D,[1]DG!$D$2,)</f>
        <v>mét</v>
      </c>
      <c r="H2457" s="145">
        <f>H2441*I3</f>
        <v>0</v>
      </c>
      <c r="I2457" s="91">
        <f t="shared" si="99"/>
        <v>0</v>
      </c>
      <c r="J2457" s="146"/>
      <c r="K2457" s="146"/>
      <c r="L2457" s="117"/>
      <c r="M2457" s="56">
        <v>1000</v>
      </c>
    </row>
    <row r="2458" spans="1:13" s="51" customFormat="1" ht="25.2" hidden="1" customHeight="1">
      <c r="A2458" s="68">
        <f t="shared" si="98"/>
        <v>0</v>
      </c>
      <c r="B2458" s="69"/>
      <c r="C2458" s="69"/>
      <c r="D2458" s="220">
        <f>IF(H2458&gt;0,D2441+1,D2441)</f>
        <v>0</v>
      </c>
      <c r="E2458" s="238"/>
      <c r="F2458" s="239" t="s">
        <v>577</v>
      </c>
      <c r="G2458" s="220" t="s">
        <v>67</v>
      </c>
      <c r="H2458" s="240">
        <f>H2369</f>
        <v>0</v>
      </c>
      <c r="I2458" s="91">
        <f t="shared" si="99"/>
        <v>0</v>
      </c>
      <c r="J2458" s="146"/>
      <c r="K2458" s="146"/>
      <c r="L2458" s="117"/>
      <c r="M2458" s="56">
        <v>1000</v>
      </c>
    </row>
    <row r="2459" spans="1:13" s="51" customFormat="1" ht="25.2" hidden="1" customHeight="1">
      <c r="A2459" s="68">
        <f>IF(A2458&gt;0,1,0)</f>
        <v>0</v>
      </c>
      <c r="B2459" s="69"/>
      <c r="C2459" s="69"/>
      <c r="D2459" s="111"/>
      <c r="E2459" s="242"/>
      <c r="F2459" s="243" t="s">
        <v>68</v>
      </c>
      <c r="G2459" s="87"/>
      <c r="H2459" s="145"/>
      <c r="I2459" s="91">
        <f t="shared" si="99"/>
        <v>0</v>
      </c>
      <c r="J2459" s="146"/>
      <c r="K2459" s="146"/>
      <c r="L2459" s="117"/>
      <c r="M2459" s="56">
        <v>1000</v>
      </c>
    </row>
    <row r="2460" spans="1:13" s="51" customFormat="1" ht="25.2" hidden="1" customHeight="1">
      <c r="A2460" s="68">
        <f t="shared" si="98"/>
        <v>0</v>
      </c>
      <c r="B2460" s="370" t="s">
        <v>578</v>
      </c>
      <c r="C2460" s="370"/>
      <c r="D2460" s="87"/>
      <c r="E2460" s="88" t="str">
        <f>VLOOKUP($B2460,[1]DG!A:D,[1]DG!$B$2,)</f>
        <v>05.1002</v>
      </c>
      <c r="F2460" s="89" t="str">
        <f>VLOOKUP($B2460,[1]DG!A:D,[1]DG!$C$2,)</f>
        <v>Tủ CB trạm 3 pha + khoá + bulon</v>
      </c>
      <c r="G2460" s="88" t="str">
        <f>VLOOKUP($B2460,[1]DG!A:D,[1]DG!$D$2,)</f>
        <v>cái</v>
      </c>
      <c r="H2460" s="145">
        <f>H2458</f>
        <v>0</v>
      </c>
      <c r="I2460" s="91">
        <f t="shared" si="99"/>
        <v>0</v>
      </c>
      <c r="J2460" s="146"/>
      <c r="K2460" s="146"/>
      <c r="L2460" s="117"/>
      <c r="M2460" s="56">
        <v>1000</v>
      </c>
    </row>
    <row r="2461" spans="1:13" s="51" customFormat="1" ht="25.2" hidden="1" customHeight="1">
      <c r="A2461" s="68">
        <f t="shared" si="98"/>
        <v>0</v>
      </c>
      <c r="B2461" s="69" t="s">
        <v>394</v>
      </c>
      <c r="C2461" s="69"/>
      <c r="D2461" s="111"/>
      <c r="E2461" s="88">
        <f>VLOOKUP($B2461,[1]DG!A:D,[1]DG!$B$2,)</f>
        <v>0</v>
      </c>
      <c r="F2461" s="89" t="str">
        <f>VLOOKUP($B2461,[1]DG!A:D,[1]DG!$C$2,)</f>
        <v>Giá nới + Thanh cái tủ CB</v>
      </c>
      <c r="G2461" s="88" t="str">
        <f>VLOOKUP($B2461,[1]DG!A:D,[1]DG!$D$2,)</f>
        <v>bộ</v>
      </c>
      <c r="H2461" s="244">
        <f>H2458</f>
        <v>0</v>
      </c>
      <c r="I2461" s="91">
        <f t="shared" si="99"/>
        <v>0</v>
      </c>
      <c r="J2461" s="146"/>
      <c r="K2461" s="146"/>
      <c r="L2461" s="117"/>
      <c r="M2461" s="56">
        <v>1000</v>
      </c>
    </row>
    <row r="2462" spans="1:13" s="51" customFormat="1" ht="25.2" hidden="1" customHeight="1">
      <c r="A2462" s="68">
        <f t="shared" si="98"/>
        <v>0</v>
      </c>
      <c r="B2462" s="69" t="s">
        <v>96</v>
      </c>
      <c r="C2462" s="69"/>
      <c r="D2462" s="111"/>
      <c r="E2462" s="88">
        <f>VLOOKUP($B2462,[1]DG!A:D,[1]DG!$B$2,)</f>
        <v>0</v>
      </c>
      <c r="F2462" s="89" t="str">
        <f>VLOOKUP($B2462,[1]DG!A:D,[1]DG!$C$2,)</f>
        <v xml:space="preserve">Bakelit 550x450 dầy 10mm </v>
      </c>
      <c r="G2462" s="88" t="str">
        <f>VLOOKUP($B2462,[1]DG!A:D,[1]DG!$D$2,)</f>
        <v>cái</v>
      </c>
      <c r="H2462" s="244">
        <f>H2458*1</f>
        <v>0</v>
      </c>
      <c r="I2462" s="91">
        <f t="shared" si="99"/>
        <v>0</v>
      </c>
      <c r="J2462" s="146"/>
      <c r="K2462" s="146"/>
      <c r="L2462" s="117"/>
      <c r="M2462" s="56">
        <v>1000</v>
      </c>
    </row>
    <row r="2463" spans="1:13" s="51" customFormat="1" ht="25.2" hidden="1" customHeight="1">
      <c r="A2463" s="68">
        <f t="shared" si="98"/>
        <v>0</v>
      </c>
      <c r="B2463" s="69" t="s">
        <v>117</v>
      </c>
      <c r="C2463" s="69"/>
      <c r="D2463" s="87"/>
      <c r="E2463" s="88" t="str">
        <f>VLOOKUP($B2463,[1]DG!A:D,[1]DG!$B$2,)</f>
        <v>06.3191</v>
      </c>
      <c r="F2463" s="89" t="str">
        <f>VLOOKUP($B2463,[1]DG!A:D,[1]DG!$C$2,)</f>
        <v>Bảng tên trạm, bảng báo nguy hiểm + đinh vít</v>
      </c>
      <c r="G2463" s="88" t="str">
        <f>VLOOKUP($B2463,[1]DG!A:D,[1]DG!$D$2,)</f>
        <v>bộ</v>
      </c>
      <c r="H2463" s="145">
        <f>H2458</f>
        <v>0</v>
      </c>
      <c r="I2463" s="91">
        <f t="shared" si="99"/>
        <v>0</v>
      </c>
      <c r="J2463" s="146"/>
      <c r="K2463" s="146"/>
      <c r="L2463" s="117"/>
      <c r="M2463" s="56">
        <v>1000</v>
      </c>
    </row>
    <row r="2464" spans="1:13" s="51" customFormat="1" ht="25.2" hidden="1" customHeight="1">
      <c r="A2464" s="68">
        <f t="shared" ref="A2464:A2527" si="100">IF(I2464&gt;0,1,0)</f>
        <v>0</v>
      </c>
      <c r="B2464" s="69"/>
      <c r="C2464" s="69"/>
      <c r="D2464" s="220">
        <f>IF(H2464&gt;0,D2458+1,D2458)</f>
        <v>0</v>
      </c>
      <c r="E2464" s="238"/>
      <c r="F2464" s="239" t="s">
        <v>579</v>
      </c>
      <c r="G2464" s="220" t="s">
        <v>396</v>
      </c>
      <c r="H2464" s="240"/>
      <c r="I2464" s="91">
        <f t="shared" si="99"/>
        <v>0</v>
      </c>
      <c r="J2464" s="146"/>
      <c r="K2464" s="146"/>
      <c r="L2464" s="117"/>
      <c r="M2464" s="56">
        <v>1000</v>
      </c>
    </row>
    <row r="2465" spans="1:14" s="51" customFormat="1" ht="25.2" hidden="1" customHeight="1">
      <c r="A2465" s="68">
        <f>IF(A2464&gt;0,1,0)</f>
        <v>0</v>
      </c>
      <c r="B2465" s="69"/>
      <c r="C2465" s="69"/>
      <c r="D2465" s="111"/>
      <c r="E2465" s="242"/>
      <c r="F2465" s="243" t="s">
        <v>68</v>
      </c>
      <c r="G2465" s="87"/>
      <c r="H2465" s="145"/>
      <c r="I2465" s="91">
        <f t="shared" si="99"/>
        <v>0</v>
      </c>
      <c r="J2465" s="146"/>
      <c r="K2465" s="146"/>
      <c r="L2465" s="117"/>
      <c r="M2465" s="56">
        <v>1000</v>
      </c>
    </row>
    <row r="2466" spans="1:14" s="51" customFormat="1" ht="25.2" hidden="1" customHeight="1">
      <c r="A2466" s="68">
        <f t="shared" si="100"/>
        <v>0</v>
      </c>
      <c r="B2466" s="98" t="s">
        <v>389</v>
      </c>
      <c r="C2466" s="98"/>
      <c r="D2466" s="87"/>
      <c r="E2466" s="88">
        <f>VLOOKUP($B2466,[1]DG!A:D,[1]DG!$B$2,)</f>
        <v>0</v>
      </c>
      <c r="F2466" s="92" t="str">
        <f>VLOOKUP($B2466,[1]DG!A:D,[1]DG!$C$2,)&amp;": 0,38m3/m"</f>
        <v>Cát vàng: 0,38m3/m</v>
      </c>
      <c r="G2466" s="88" t="str">
        <f>VLOOKUP($B2466,[1]DG!A:D,[1]DG!$D$2,)</f>
        <v>m3</v>
      </c>
      <c r="H2466" s="145">
        <f>H2464*0.38</f>
        <v>0</v>
      </c>
      <c r="I2466" s="91">
        <f t="shared" si="99"/>
        <v>0</v>
      </c>
      <c r="J2466" s="146"/>
      <c r="K2466" s="146"/>
      <c r="L2466" s="117"/>
      <c r="M2466" s="56">
        <v>1000</v>
      </c>
    </row>
    <row r="2467" spans="1:14" s="51" customFormat="1" ht="25.2" hidden="1" customHeight="1">
      <c r="A2467" s="68">
        <f t="shared" si="100"/>
        <v>0</v>
      </c>
      <c r="B2467" s="98" t="s">
        <v>580</v>
      </c>
      <c r="C2467" s="98"/>
      <c r="D2467" s="87"/>
      <c r="E2467" s="88">
        <f>VLOOKUP($B2467,[1]DG!A:D,[1]DG!$B$2,)</f>
        <v>0</v>
      </c>
      <c r="F2467" s="92" t="str">
        <f>VLOOKUP($B2467,[1]DG!A:D,[1]DG!$C$2,)&amp;": 0,12m3/m"</f>
        <v>Đá 1x2: 0,12m3/m</v>
      </c>
      <c r="G2467" s="88" t="str">
        <f>VLOOKUP($B2467,[1]DG!A:D,[1]DG!$D$2,)</f>
        <v>m3</v>
      </c>
      <c r="H2467" s="145">
        <f>0.12*H2464*0</f>
        <v>0</v>
      </c>
      <c r="I2467" s="91">
        <f t="shared" si="99"/>
        <v>0</v>
      </c>
      <c r="J2467" s="146"/>
      <c r="K2467" s="146"/>
      <c r="L2467" s="117"/>
      <c r="M2467" s="56">
        <v>1000</v>
      </c>
    </row>
    <row r="2468" spans="1:14" s="51" customFormat="1" ht="25.2" hidden="1" customHeight="1">
      <c r="A2468" s="68">
        <f t="shared" si="100"/>
        <v>0</v>
      </c>
      <c r="B2468" s="98" t="s">
        <v>398</v>
      </c>
      <c r="C2468" s="98"/>
      <c r="D2468" s="87"/>
      <c r="E2468" s="88">
        <f>VLOOKUP($B2468,[1]DG!A:D,[1]DG!$B$2,)</f>
        <v>0</v>
      </c>
      <c r="F2468" s="92" t="str">
        <f>VLOOKUP($B2468,[1]DG!A:D,[1]DG!$C$2,)&amp;": 3,3vieân/m"</f>
        <v>Gạch tàu: 3,3vieân/m</v>
      </c>
      <c r="G2468" s="88" t="str">
        <f>VLOOKUP($B2468,[1]DG!A:D,[1]DG!$D$2,)</f>
        <v>viên</v>
      </c>
      <c r="H2468" s="145">
        <f>3.3*H2464</f>
        <v>0</v>
      </c>
      <c r="I2468" s="91">
        <f t="shared" si="99"/>
        <v>0</v>
      </c>
      <c r="J2468" s="146"/>
      <c r="K2468" s="146"/>
      <c r="L2468" s="117"/>
      <c r="M2468" s="56">
        <v>1000</v>
      </c>
    </row>
    <row r="2469" spans="1:14" s="51" customFormat="1" ht="25.2" hidden="1" customHeight="1">
      <c r="A2469" s="68">
        <f t="shared" si="100"/>
        <v>0</v>
      </c>
      <c r="B2469" s="98" t="s">
        <v>399</v>
      </c>
      <c r="C2469" s="98"/>
      <c r="D2469" s="87"/>
      <c r="E2469" s="88">
        <f>VLOOKUP($B2469,[1]DG!A:D,[1]DG!$B$2,)</f>
        <v>0</v>
      </c>
      <c r="F2469" s="92" t="str">
        <f>VLOOKUP($B2469,[1]DG!A:D,[1]DG!$C$2,)&amp;": 0,4m2/m"</f>
        <v>Tấm nilông màu cảnh báo: 0,4m2/m</v>
      </c>
      <c r="G2469" s="88" t="str">
        <f>VLOOKUP($B2469,[1]DG!A:D,[1]DG!$D$2,)</f>
        <v>m2</v>
      </c>
      <c r="H2469" s="145">
        <f>0.4*H2464</f>
        <v>0</v>
      </c>
      <c r="I2469" s="91">
        <f t="shared" si="99"/>
        <v>0</v>
      </c>
      <c r="J2469" s="146"/>
      <c r="K2469" s="146"/>
      <c r="L2469" s="117"/>
      <c r="M2469" s="56">
        <v>1000</v>
      </c>
    </row>
    <row r="2470" spans="1:14" s="51" customFormat="1" ht="25.2" hidden="1" customHeight="1">
      <c r="A2470" s="68">
        <f t="shared" si="100"/>
        <v>0</v>
      </c>
      <c r="B2470" s="98" t="s">
        <v>400</v>
      </c>
      <c r="C2470" s="98"/>
      <c r="D2470" s="111"/>
      <c r="E2470" s="88">
        <f>VLOOKUP($B2470,[1]DG!A:D,[1]DG!$B$2,)</f>
        <v>0</v>
      </c>
      <c r="F2470" s="92" t="str">
        <f>VLOOKUP($B2470,[1]DG!A:D,[1]DG!$C$2,)</f>
        <v>Ống PVC D140x6,7mm</v>
      </c>
      <c r="G2470" s="88" t="str">
        <f>VLOOKUP($B2470,[1]DG!A:D,[1]DG!$D$2,)</f>
        <v>m</v>
      </c>
      <c r="H2470" s="145">
        <f>1*H2464</f>
        <v>0</v>
      </c>
      <c r="I2470" s="91">
        <f t="shared" si="99"/>
        <v>0</v>
      </c>
      <c r="J2470" s="146"/>
      <c r="K2470" s="146"/>
      <c r="L2470" s="117"/>
      <c r="M2470" s="56">
        <v>1000</v>
      </c>
    </row>
    <row r="2471" spans="1:14" s="51" customFormat="1" ht="25.2" hidden="1" customHeight="1">
      <c r="A2471" s="68">
        <f t="shared" si="100"/>
        <v>0</v>
      </c>
      <c r="B2471" s="98" t="s">
        <v>401</v>
      </c>
      <c r="C2471" s="98"/>
      <c r="D2471" s="87"/>
      <c r="E2471" s="88" t="str">
        <f>VLOOKUP($B2471,[1]DG!A:D,[1]DG!$B$2,)</f>
        <v>03.7000</v>
      </c>
      <c r="F2471" s="92" t="str">
        <f>VLOOKUP($B2471,[1]DG!A:D,[1]DG!$C$2,)&amp;" + ñaép ñaù"</f>
        <v>Đắp cát  + ñaép ñaù</v>
      </c>
      <c r="G2471" s="88" t="str">
        <f>VLOOKUP($B2471,[1]DG!A:D,[1]DG!$D$2,)</f>
        <v>m3</v>
      </c>
      <c r="H2471" s="145">
        <f>H2466+H2467</f>
        <v>0</v>
      </c>
      <c r="I2471" s="91">
        <f t="shared" si="99"/>
        <v>0</v>
      </c>
      <c r="J2471" s="146"/>
      <c r="K2471" s="146"/>
      <c r="L2471" s="117"/>
      <c r="M2471" s="56">
        <v>1000</v>
      </c>
    </row>
    <row r="2472" spans="1:14" s="51" customFormat="1" ht="25.2" hidden="1" customHeight="1">
      <c r="A2472" s="68">
        <f t="shared" si="100"/>
        <v>0</v>
      </c>
      <c r="B2472" s="98" t="s">
        <v>402</v>
      </c>
      <c r="C2472" s="98"/>
      <c r="D2472" s="87"/>
      <c r="E2472" s="88" t="str">
        <f>VLOOKUP($B2472,[1]DG!A:D,[1]DG!$B$2,)</f>
        <v>03.3103</v>
      </c>
      <c r="F2472" s="92" t="str">
        <f>VLOOKUP($B2472,[1]DG!A:D,[1]DG!$C$2,)&amp;" : 0,48m3/m"</f>
        <v>Đào mương cáp ngầm đất cấp 3 : 0,48m3/m</v>
      </c>
      <c r="G2472" s="88" t="str">
        <f>VLOOKUP($B2472,[1]DG!A:D,[1]DG!$D$2,)</f>
        <v>m3</v>
      </c>
      <c r="H2472" s="145">
        <f>H2464*0.48</f>
        <v>0</v>
      </c>
      <c r="I2472" s="91">
        <f t="shared" si="99"/>
        <v>0</v>
      </c>
      <c r="J2472" s="146"/>
      <c r="K2472" s="146"/>
      <c r="L2472" s="117"/>
      <c r="M2472" s="56">
        <v>1000</v>
      </c>
    </row>
    <row r="2473" spans="1:14" s="51" customFormat="1" ht="25.2" hidden="1" customHeight="1">
      <c r="A2473" s="68">
        <f t="shared" si="100"/>
        <v>0</v>
      </c>
      <c r="B2473" s="98" t="s">
        <v>403</v>
      </c>
      <c r="C2473" s="98"/>
      <c r="D2473" s="87"/>
      <c r="E2473" s="88" t="str">
        <f>VLOOKUP($B2473,[1]DG!A:D,[1]DG!$B$2,)</f>
        <v>03.3203</v>
      </c>
      <c r="F2473" s="92" t="str">
        <f>VLOOKUP($B2473,[1]DG!A:D,[1]DG!$C$2,)&amp;" : 0,16m3/m"</f>
        <v>Đắp đất mương cáp ngầm, đất cấp 3 : 0,16m3/m</v>
      </c>
      <c r="G2473" s="88" t="str">
        <f>VLOOKUP($B2473,[1]DG!A:D,[1]DG!$D$2,)</f>
        <v>m3</v>
      </c>
      <c r="H2473" s="145">
        <f>0.16*H2464</f>
        <v>0</v>
      </c>
      <c r="I2473" s="91">
        <f t="shared" si="99"/>
        <v>0</v>
      </c>
      <c r="J2473" s="146"/>
      <c r="K2473" s="146"/>
      <c r="L2473" s="117"/>
      <c r="M2473" s="56">
        <v>1000</v>
      </c>
      <c r="N2473" s="335">
        <v>0.47499999999999998</v>
      </c>
    </row>
    <row r="2474" spans="1:14" s="51" customFormat="1" ht="25.2" hidden="1" customHeight="1">
      <c r="A2474" s="68">
        <f t="shared" si="100"/>
        <v>0</v>
      </c>
      <c r="B2474" s="69"/>
      <c r="C2474" s="69"/>
      <c r="D2474" s="220">
        <f>IF(H2474&gt;0,D2464+1,D2464)</f>
        <v>0</v>
      </c>
      <c r="E2474" s="238"/>
      <c r="F2474" s="239" t="s">
        <v>581</v>
      </c>
      <c r="G2474" s="220" t="s">
        <v>67</v>
      </c>
      <c r="H2474" s="240">
        <f>H2483</f>
        <v>0</v>
      </c>
      <c r="I2474" s="91">
        <f t="shared" si="99"/>
        <v>0</v>
      </c>
      <c r="J2474" s="146"/>
      <c r="K2474" s="146"/>
      <c r="L2474" s="117"/>
      <c r="M2474" s="56">
        <v>1000</v>
      </c>
      <c r="N2474" s="335">
        <v>0.88100000000000001</v>
      </c>
    </row>
    <row r="2475" spans="1:14" s="51" customFormat="1" ht="25.2" hidden="1" customHeight="1">
      <c r="A2475" s="68">
        <f>IF(A2474&gt;0,1,0)</f>
        <v>0</v>
      </c>
      <c r="B2475" s="69"/>
      <c r="C2475" s="69"/>
      <c r="D2475" s="111"/>
      <c r="E2475" s="242"/>
      <c r="F2475" s="243" t="s">
        <v>68</v>
      </c>
      <c r="G2475" s="87"/>
      <c r="H2475" s="145"/>
      <c r="I2475" s="91">
        <f t="shared" si="99"/>
        <v>0</v>
      </c>
      <c r="J2475" s="146"/>
      <c r="K2475" s="146"/>
      <c r="L2475" s="117"/>
      <c r="M2475" s="56">
        <v>1000</v>
      </c>
    </row>
    <row r="2476" spans="1:14" s="51" customFormat="1" ht="25.2" hidden="1" customHeight="1">
      <c r="A2476" s="68">
        <f t="shared" si="100"/>
        <v>0</v>
      </c>
      <c r="B2476" s="69" t="s">
        <v>405</v>
      </c>
      <c r="C2476" s="69"/>
      <c r="D2476" s="87"/>
      <c r="E2476" s="88" t="str">
        <f>VLOOKUP($B2476,[1]DG!A:D,[1]DG!$B$2,)</f>
        <v>07.2204</v>
      </c>
      <c r="F2476" s="89" t="str">
        <f>VLOOKUP($B2476,[1]DG!A:D,[1]DG!$C$2,)</f>
        <v>ÔÁng sắt tráng kẽm D140</v>
      </c>
      <c r="G2476" s="88" t="str">
        <f>VLOOKUP($B2476,[1]DG!A:D,[1]DG!$D$2,)</f>
        <v>mét</v>
      </c>
      <c r="H2476" s="145">
        <f>H2474*4</f>
        <v>0</v>
      </c>
      <c r="I2476" s="91">
        <f t="shared" si="99"/>
        <v>0</v>
      </c>
      <c r="J2476" s="146"/>
      <c r="K2476" s="146"/>
      <c r="L2476" s="117"/>
      <c r="M2476" s="56">
        <v>1000</v>
      </c>
    </row>
    <row r="2477" spans="1:14" s="51" customFormat="1" ht="25.2" hidden="1" customHeight="1">
      <c r="A2477" s="68">
        <f t="shared" si="100"/>
        <v>0</v>
      </c>
      <c r="B2477" s="98" t="s">
        <v>406</v>
      </c>
      <c r="C2477" s="98"/>
      <c r="D2477" s="111"/>
      <c r="E2477" s="88">
        <f>VLOOKUP($B2477,[1]DG!A:D,[1]DG!$B$2,)</f>
        <v>0</v>
      </c>
      <c r="F2477" s="89" t="str">
        <f>VLOOKUP($B2477,[1]DG!A:D,[1]DG!$C$2,)</f>
        <v>Co sừng 90 độ PVC 140</v>
      </c>
      <c r="G2477" s="88" t="str">
        <f>VLOOKUP($B2477,[1]DG!A:D,[1]DG!$D$2,)</f>
        <v>cái</v>
      </c>
      <c r="H2477" s="145">
        <f>H2474*1</f>
        <v>0</v>
      </c>
      <c r="I2477" s="91">
        <f t="shared" si="99"/>
        <v>0</v>
      </c>
      <c r="J2477" s="146"/>
      <c r="K2477" s="146"/>
      <c r="L2477" s="117"/>
      <c r="M2477" s="56">
        <v>1000</v>
      </c>
    </row>
    <row r="2478" spans="1:14" s="51" customFormat="1" ht="25.2" hidden="1" customHeight="1">
      <c r="A2478" s="68">
        <f t="shared" si="100"/>
        <v>0</v>
      </c>
      <c r="B2478" s="69" t="s">
        <v>407</v>
      </c>
      <c r="C2478" s="69"/>
      <c r="D2478" s="87"/>
      <c r="E2478" s="88" t="str">
        <f>VLOOKUP($B2478,[1]DG!A:D,[1]DG!$B$2,)</f>
        <v>06.3231</v>
      </c>
      <c r="F2478" s="89" t="str">
        <f>VLOOKUP($B2478,[1]DG!A:D,[1]DG!$C$2,)</f>
        <v>Cổ dê giữ ống STK D140 vào tường+Boulon+long đền+tắc ke sắt</v>
      </c>
      <c r="G2478" s="88" t="str">
        <f>VLOOKUP($B2478,[1]DG!A:D,[1]DG!$D$2,)</f>
        <v>bộ</v>
      </c>
      <c r="H2478" s="145">
        <f>H2474*2</f>
        <v>0</v>
      </c>
      <c r="I2478" s="91">
        <f t="shared" si="99"/>
        <v>0</v>
      </c>
      <c r="J2478" s="146"/>
      <c r="K2478" s="146"/>
      <c r="L2478" s="117"/>
      <c r="M2478" s="56">
        <v>1000</v>
      </c>
    </row>
    <row r="2479" spans="1:14" s="51" customFormat="1" ht="25.2" hidden="1" customHeight="1">
      <c r="A2479" s="68">
        <f t="shared" si="100"/>
        <v>0</v>
      </c>
      <c r="B2479" s="86" t="s">
        <v>408</v>
      </c>
      <c r="C2479" s="86"/>
      <c r="D2479" s="87"/>
      <c r="E2479" s="88">
        <f>VLOOKUP($B2479,[1]DG!A:D,[1]DG!$B$2,)</f>
        <v>0</v>
      </c>
      <c r="F2479" s="89" t="str">
        <f>VLOOKUP($B2479,[1]DG!A:D,[1]DG!$C$2,)</f>
        <v>Giá đỡ cáp ngầm (V63x6)</v>
      </c>
      <c r="G2479" s="88" t="str">
        <f>VLOOKUP($B2479,[1]DG!A:D,[1]DG!$D$2,)</f>
        <v>bộ</v>
      </c>
      <c r="H2479" s="145">
        <f>H2474</f>
        <v>0</v>
      </c>
      <c r="I2479" s="91">
        <f t="shared" si="99"/>
        <v>0</v>
      </c>
      <c r="J2479" s="146"/>
      <c r="K2479" s="146"/>
      <c r="L2479" s="117"/>
      <c r="M2479" s="56">
        <v>1000</v>
      </c>
    </row>
    <row r="2480" spans="1:14" s="51" customFormat="1" ht="25.2" hidden="1" customHeight="1">
      <c r="A2480" s="68">
        <f t="shared" si="100"/>
        <v>0</v>
      </c>
      <c r="B2480" s="86" t="s">
        <v>582</v>
      </c>
      <c r="C2480" s="86"/>
      <c r="D2480" s="87"/>
      <c r="E2480" s="88">
        <f>VLOOKUP($B2480,[1]DG!A:D,[1]DG!$B$2,)</f>
        <v>0</v>
      </c>
      <c r="F2480" s="89" t="str">
        <f>VLOOKUP($B2480,[1]DG!A:D,[1]DG!$C$2,)</f>
        <v>Giá đỡ cáp trung thế</v>
      </c>
      <c r="G2480" s="88" t="str">
        <f>VLOOKUP($B2480,[1]DG!A:D,[1]DG!$D$2,)</f>
        <v>bộ</v>
      </c>
      <c r="H2480" s="145">
        <f>H2474*0</f>
        <v>0</v>
      </c>
      <c r="I2480" s="91">
        <f t="shared" si="99"/>
        <v>0</v>
      </c>
      <c r="J2480" s="146"/>
      <c r="K2480" s="146"/>
      <c r="L2480" s="117"/>
      <c r="M2480" s="56">
        <v>1000</v>
      </c>
    </row>
    <row r="2481" spans="1:13" s="51" customFormat="1" ht="25.2" hidden="1" customHeight="1">
      <c r="A2481" s="68">
        <f t="shared" si="100"/>
        <v>0</v>
      </c>
      <c r="B2481" s="69" t="s">
        <v>410</v>
      </c>
      <c r="C2481" s="69"/>
      <c r="D2481" s="111"/>
      <c r="E2481" s="88" t="str">
        <f>VLOOKUP($B2481,[1]DG!A:D,[1]DG!$B$2,)</f>
        <v>05.6101</v>
      </c>
      <c r="F2481" s="89" t="str">
        <f>VLOOKUP($B2481,[1]DG!A:D,[1]DG!$C$2,)</f>
        <v>Lắp Giá đỡ cáp</v>
      </c>
      <c r="G2481" s="88" t="str">
        <f>VLOOKUP($B2481,[1]DG!A:D,[1]DG!$D$2,)</f>
        <v>bộ</v>
      </c>
      <c r="H2481" s="145">
        <f>H2479</f>
        <v>0</v>
      </c>
      <c r="I2481" s="91">
        <f t="shared" si="99"/>
        <v>0</v>
      </c>
      <c r="J2481" s="146"/>
      <c r="K2481" s="146"/>
      <c r="L2481" s="117"/>
      <c r="M2481" s="56">
        <v>1000</v>
      </c>
    </row>
    <row r="2482" spans="1:13" s="51" customFormat="1" ht="25.2" hidden="1" customHeight="1">
      <c r="A2482" s="68">
        <f t="shared" si="100"/>
        <v>0</v>
      </c>
      <c r="B2482" s="69" t="s">
        <v>117</v>
      </c>
      <c r="C2482" s="69"/>
      <c r="D2482" s="87"/>
      <c r="E2482" s="88" t="str">
        <f>VLOOKUP($B2482,[1]DG!A:D,[1]DG!$B$2,)</f>
        <v>06.3191</v>
      </c>
      <c r="F2482" s="89" t="str">
        <f>VLOOKUP($B2482,[1]DG!A:D,[1]DG!$C$2,)</f>
        <v>Bảng tên trạm, bảng báo nguy hiểm + đinh vít</v>
      </c>
      <c r="G2482" s="88" t="str">
        <f>VLOOKUP($B2482,[1]DG!A:D,[1]DG!$D$2,)</f>
        <v>bộ</v>
      </c>
      <c r="H2482" s="145">
        <f>H2474</f>
        <v>0</v>
      </c>
      <c r="I2482" s="91">
        <f t="shared" si="99"/>
        <v>0</v>
      </c>
      <c r="J2482" s="146"/>
      <c r="K2482" s="146"/>
      <c r="L2482" s="117"/>
      <c r="M2482" s="56">
        <v>1000</v>
      </c>
    </row>
    <row r="2483" spans="1:13" s="51" customFormat="1" ht="25.2" hidden="1" customHeight="1">
      <c r="A2483" s="68">
        <f t="shared" si="100"/>
        <v>0</v>
      </c>
      <c r="B2483" s="69"/>
      <c r="C2483" s="69"/>
      <c r="D2483" s="220">
        <f>IF(H2483&gt;0,D2474+1,D2474)</f>
        <v>0</v>
      </c>
      <c r="E2483" s="238"/>
      <c r="F2483" s="247" t="s">
        <v>501</v>
      </c>
      <c r="G2483" s="220" t="s">
        <v>67</v>
      </c>
      <c r="H2483" s="240">
        <f>H2369</f>
        <v>0</v>
      </c>
      <c r="I2483" s="91">
        <f t="shared" si="99"/>
        <v>0</v>
      </c>
      <c r="J2483" s="146"/>
      <c r="K2483" s="146"/>
      <c r="L2483" s="117"/>
      <c r="M2483" s="56">
        <v>1000</v>
      </c>
    </row>
    <row r="2484" spans="1:13" s="51" customFormat="1" ht="25.2" hidden="1" customHeight="1">
      <c r="A2484" s="68">
        <f>IF(A2483&gt;0,1,0)</f>
        <v>0</v>
      </c>
      <c r="B2484" s="69"/>
      <c r="C2484" s="69"/>
      <c r="D2484" s="111"/>
      <c r="E2484" s="242"/>
      <c r="F2484" s="248" t="s">
        <v>68</v>
      </c>
      <c r="G2484" s="111"/>
      <c r="H2484" s="244"/>
      <c r="I2484" s="91">
        <f t="shared" si="99"/>
        <v>0</v>
      </c>
      <c r="J2484" s="146"/>
      <c r="K2484" s="146"/>
      <c r="L2484" s="117"/>
      <c r="M2484" s="56">
        <v>1000</v>
      </c>
    </row>
    <row r="2485" spans="1:13" s="51" customFormat="1" ht="25.2" hidden="1" customHeight="1">
      <c r="A2485" s="68">
        <f t="shared" si="100"/>
        <v>0</v>
      </c>
      <c r="B2485" s="86" t="s">
        <v>412</v>
      </c>
      <c r="C2485" s="86"/>
      <c r="D2485" s="87"/>
      <c r="E2485" s="88">
        <f>VLOOKUP($B2485,[1]DG!A:D,[1]DG!$B$2,)</f>
        <v>0</v>
      </c>
      <c r="F2485" s="89" t="str">
        <f>VLOOKUP($B2485,[1]DG!A:D,[1]DG!$C$2,)&amp;": töø trụ ño ñeám ñeán tuû LBSA"</f>
        <v>Cáp 24kV C/XLPE/DSTA/PVC3x50: töø trụ ño ñeám ñeán tuû LBSA</v>
      </c>
      <c r="G2485" s="88" t="str">
        <f>VLOOKUP($B2485,[1]DG!A:D,[1]DG!$D$2,)</f>
        <v>mét</v>
      </c>
      <c r="H2485" s="145">
        <f>(3+10)*1.02*H2483*0</f>
        <v>0</v>
      </c>
      <c r="I2485" s="91">
        <f t="shared" si="99"/>
        <v>0</v>
      </c>
      <c r="J2485" s="146"/>
      <c r="K2485" s="146"/>
      <c r="L2485" s="117"/>
      <c r="M2485" s="56">
        <v>1000</v>
      </c>
    </row>
    <row r="2486" spans="1:13" s="51" customFormat="1" ht="25.2" hidden="1" customHeight="1">
      <c r="A2486" s="68">
        <f t="shared" si="100"/>
        <v>0</v>
      </c>
      <c r="B2486" s="86" t="s">
        <v>413</v>
      </c>
      <c r="C2486" s="86"/>
      <c r="D2486" s="87"/>
      <c r="E2486" s="88">
        <f>VLOOKUP($B2486,[1]DG!A:D,[1]DG!$B$2,)</f>
        <v>0</v>
      </c>
      <c r="F2486" s="89" t="str">
        <f>VLOOKUP($B2486,[1]DG!A:D,[1]DG!$C$2,)&amp;": 0,5m/pha"</f>
        <v>Cáp 24KV C/XLPE/PVC 50mm2: 0,5m/pha</v>
      </c>
      <c r="G2486" s="88" t="str">
        <f>VLOOKUP($B2486,[1]DG!A:D,[1]DG!$D$2,)</f>
        <v>mét</v>
      </c>
      <c r="H2486" s="145">
        <f>H2483*0.5*3</f>
        <v>0</v>
      </c>
      <c r="I2486" s="91">
        <f t="shared" si="99"/>
        <v>0</v>
      </c>
      <c r="J2486" s="146"/>
      <c r="K2486" s="146"/>
      <c r="L2486" s="117"/>
      <c r="M2486" s="56">
        <v>1000</v>
      </c>
    </row>
    <row r="2487" spans="1:13" s="51" customFormat="1" ht="25.2" hidden="1" customHeight="1">
      <c r="A2487" s="68">
        <f t="shared" si="100"/>
        <v>0</v>
      </c>
      <c r="B2487" s="86" t="s">
        <v>414</v>
      </c>
      <c r="C2487" s="86"/>
      <c r="D2487" s="87"/>
      <c r="E2487" s="88">
        <f>VLOOKUP($B2487,[1]DG!A:D,[1]DG!$B$2,)</f>
        <v>0</v>
      </c>
      <c r="F2487" s="89" t="str">
        <f>VLOOKUP($B2487,[1]DG!A:D,[1]DG!$C$2,)</f>
        <v>Đầu cáp ngầm 24KV 3x50mm2 outdoor</v>
      </c>
      <c r="G2487" s="88" t="str">
        <f>VLOOKUP($B2487,[1]DG!A:D,[1]DG!$D$2,)</f>
        <v>cái</v>
      </c>
      <c r="H2487" s="145">
        <f>H2483*2*0</f>
        <v>0</v>
      </c>
      <c r="I2487" s="91">
        <f t="shared" si="99"/>
        <v>0</v>
      </c>
      <c r="J2487" s="146"/>
      <c r="K2487" s="146"/>
      <c r="L2487" s="117"/>
      <c r="M2487" s="56">
        <v>1000</v>
      </c>
    </row>
    <row r="2488" spans="1:13" s="51" customFormat="1" ht="25.2" hidden="1" customHeight="1">
      <c r="A2488" s="68">
        <f t="shared" si="100"/>
        <v>0</v>
      </c>
      <c r="B2488" s="86" t="s">
        <v>412</v>
      </c>
      <c r="C2488" s="86"/>
      <c r="D2488" s="87"/>
      <c r="E2488" s="88">
        <f>VLOOKUP($B2488,[1]DG!A:D,[1]DG!$B$2,)</f>
        <v>0</v>
      </c>
      <c r="F2488" s="89" t="str">
        <f>VLOOKUP($B2488,[1]DG!A:D,[1]DG!$C$2,)&amp;": töø tuû LBS ñeán MBA"</f>
        <v>Cáp 24kV C/XLPE/DSTA/PVC3x50: töø tuû LBS ñeán MBA</v>
      </c>
      <c r="G2488" s="88" t="str">
        <f>VLOOKUP($B2488,[1]DG!A:D,[1]DG!$D$2,)</f>
        <v>mét</v>
      </c>
      <c r="H2488" s="145">
        <f>(1.2+2.4)*H2483*0</f>
        <v>0</v>
      </c>
      <c r="I2488" s="91">
        <f t="shared" si="99"/>
        <v>0</v>
      </c>
      <c r="J2488" s="146"/>
      <c r="K2488" s="146"/>
      <c r="L2488" s="117"/>
      <c r="M2488" s="56">
        <v>1000</v>
      </c>
    </row>
    <row r="2489" spans="1:13" s="51" customFormat="1" ht="25.2" hidden="1" customHeight="1">
      <c r="A2489" s="68">
        <f t="shared" si="100"/>
        <v>0</v>
      </c>
      <c r="B2489" s="86" t="s">
        <v>413</v>
      </c>
      <c r="C2489" s="86"/>
      <c r="D2489" s="87"/>
      <c r="E2489" s="88">
        <f>VLOOKUP($B2489,[1]DG!A:D,[1]DG!$B$2,)</f>
        <v>0</v>
      </c>
      <c r="F2489" s="89" t="str">
        <f>VLOOKUP($B2489,[1]DG!A:D,[1]DG!$C$2,)&amp;": töø tuû LBS ñeán MBA"</f>
        <v>Cáp 24KV C/XLPE/PVC 50mm2: töø tuû LBS ñeán MBA</v>
      </c>
      <c r="G2489" s="88" t="str">
        <f>VLOOKUP($B2489,[1]DG!A:D,[1]DG!$D$2,)</f>
        <v>mét</v>
      </c>
      <c r="H2489" s="145">
        <f>H2488*0</f>
        <v>0</v>
      </c>
      <c r="I2489" s="91">
        <f t="shared" si="99"/>
        <v>0</v>
      </c>
      <c r="J2489" s="146"/>
      <c r="K2489" s="146"/>
      <c r="L2489" s="117"/>
      <c r="M2489" s="56">
        <v>1000</v>
      </c>
    </row>
    <row r="2490" spans="1:13" s="51" customFormat="1" ht="25.2" hidden="1" customHeight="1">
      <c r="A2490" s="68">
        <f t="shared" si="100"/>
        <v>0</v>
      </c>
      <c r="B2490" s="86" t="s">
        <v>415</v>
      </c>
      <c r="C2490" s="86"/>
      <c r="D2490" s="87"/>
      <c r="E2490" s="88">
        <f>VLOOKUP($B2490,[1]DG!A:D,[1]DG!$B$2,)</f>
        <v>0</v>
      </c>
      <c r="F2490" s="89" t="str">
        <f>VLOOKUP($B2490,[1]DG!A:D,[1]DG!$C$2,)</f>
        <v>Đầu cáp ngầm 24KV 3x50mm2 indoor</v>
      </c>
      <c r="G2490" s="88" t="str">
        <f>VLOOKUP($B2490,[1]DG!A:D,[1]DG!$D$2,)</f>
        <v>cái</v>
      </c>
      <c r="H2490" s="145">
        <f>H2483*3*0</f>
        <v>0</v>
      </c>
      <c r="I2490" s="91">
        <f t="shared" ref="I2490:I2553" si="101">IF(M2490=$M$23,H2490+J2490-K2490,0)</f>
        <v>0</v>
      </c>
      <c r="J2490" s="146"/>
      <c r="K2490" s="146"/>
      <c r="L2490" s="117"/>
      <c r="M2490" s="56">
        <v>1000</v>
      </c>
    </row>
    <row r="2491" spans="1:13" s="51" customFormat="1" ht="25.2" hidden="1" customHeight="1">
      <c r="A2491" s="68">
        <f t="shared" si="100"/>
        <v>0</v>
      </c>
      <c r="B2491" s="86" t="s">
        <v>416</v>
      </c>
      <c r="C2491" s="86"/>
      <c r="D2491" s="87"/>
      <c r="E2491" s="88" t="str">
        <f>VLOOKUP($B2491,[1]DG!A:D,[1]DG!$B$2,)</f>
        <v>07.4312</v>
      </c>
      <c r="F2491" s="89" t="str">
        <f>VLOOKUP($B2491,[1]DG!A:D,[1]DG!$C$2,)</f>
        <v>Lắp đầu cáp trung thế 3x50mm2, 70mm2</v>
      </c>
      <c r="G2491" s="88" t="str">
        <f>VLOOKUP($B2491,[1]DG!A:D,[1]DG!$D$2,)</f>
        <v>cái</v>
      </c>
      <c r="H2491" s="145">
        <f>H2487+H2490</f>
        <v>0</v>
      </c>
      <c r="I2491" s="91">
        <f t="shared" si="101"/>
        <v>0</v>
      </c>
      <c r="J2491" s="146"/>
      <c r="K2491" s="146"/>
      <c r="L2491" s="117"/>
      <c r="M2491" s="56">
        <v>1000</v>
      </c>
    </row>
    <row r="2492" spans="1:13" s="51" customFormat="1" ht="25.2" hidden="1" customHeight="1">
      <c r="A2492" s="68">
        <f t="shared" si="100"/>
        <v>0</v>
      </c>
      <c r="B2492" s="86" t="s">
        <v>583</v>
      </c>
      <c r="C2492" s="86"/>
      <c r="D2492" s="87"/>
      <c r="E2492" s="88" t="str">
        <f>VLOOKUP($B2492,[1]DG!A:D,[1]DG!$B$2,)</f>
        <v>07.3405</v>
      </c>
      <c r="F2492" s="89" t="str">
        <f>VLOOKUP($B2492,[1]DG!A:D,[1]DG!$C$2,)</f>
        <v>Lắp cáp trong ống bảo vệ loại &lt;=6kg</v>
      </c>
      <c r="G2492" s="88" t="str">
        <f>VLOOKUP($B2492,[1]DG!A:D,[1]DG!$D$2,)</f>
        <v>mét</v>
      </c>
      <c r="H2492" s="145">
        <f>H2485+H2488</f>
        <v>0</v>
      </c>
      <c r="I2492" s="91">
        <f t="shared" si="101"/>
        <v>0</v>
      </c>
      <c r="J2492" s="146"/>
      <c r="K2492" s="146"/>
      <c r="L2492" s="117"/>
      <c r="M2492" s="56">
        <v>1000</v>
      </c>
    </row>
    <row r="2493" spans="1:13" s="51" customFormat="1" ht="25.2" hidden="1" customHeight="1">
      <c r="A2493" s="68">
        <f t="shared" si="100"/>
        <v>0</v>
      </c>
      <c r="B2493" s="86" t="s">
        <v>101</v>
      </c>
      <c r="C2493" s="86"/>
      <c r="D2493" s="87"/>
      <c r="E2493" s="88" t="str">
        <f>VLOOKUP($B2493,[1]DG!A:D,[1]DG!$B$2,)</f>
        <v>04.4201</v>
      </c>
      <c r="F2493" s="89" t="str">
        <f>VLOOKUP($B2493,[1]DG!A:D,[1]DG!$C$2,)</f>
        <v>Lắp cáp đồng xuống thiết bị D ≤ 95mm2</v>
      </c>
      <c r="G2493" s="88" t="str">
        <f>VLOOKUP($B2493,[1]DG!A:D,[1]DG!$D$2,)</f>
        <v>m</v>
      </c>
      <c r="H2493" s="145">
        <f>H2486</f>
        <v>0</v>
      </c>
      <c r="I2493" s="91">
        <f t="shared" si="101"/>
        <v>0</v>
      </c>
      <c r="J2493" s="146"/>
      <c r="K2493" s="146"/>
      <c r="L2493" s="117"/>
      <c r="M2493" s="56">
        <v>1000</v>
      </c>
    </row>
    <row r="2494" spans="1:13" s="51" customFormat="1" ht="25.2" hidden="1" customHeight="1">
      <c r="A2494" s="68">
        <f t="shared" si="100"/>
        <v>0</v>
      </c>
      <c r="B2494" s="86" t="s">
        <v>419</v>
      </c>
      <c r="C2494" s="86"/>
      <c r="D2494" s="87"/>
      <c r="E2494" s="88">
        <f>VLOOKUP($B2494,[1]DG!A:D,[1]DG!$B$2,)</f>
        <v>0</v>
      </c>
      <c r="F2494" s="89" t="str">
        <f>VLOOKUP($B2494,[1]DG!A:D,[1]DG!$C$2,)</f>
        <v>Dây rút cáp</v>
      </c>
      <c r="G2494" s="88" t="str">
        <f>VLOOKUP($B2494,[1]DG!A:D,[1]DG!$D$2,)</f>
        <v>bọc</v>
      </c>
      <c r="H2494" s="145">
        <f>H2483*2*0</f>
        <v>0</v>
      </c>
      <c r="I2494" s="91">
        <f t="shared" si="101"/>
        <v>0</v>
      </c>
      <c r="J2494" s="146"/>
      <c r="K2494" s="146"/>
      <c r="L2494" s="117"/>
      <c r="M2494" s="56">
        <v>1000</v>
      </c>
    </row>
    <row r="2495" spans="1:13" s="51" customFormat="1" ht="25.2" hidden="1" customHeight="1">
      <c r="A2495" s="68">
        <f t="shared" si="100"/>
        <v>0</v>
      </c>
      <c r="B2495" s="69"/>
      <c r="C2495" s="69"/>
      <c r="D2495" s="220">
        <f>IF(H2495&gt;0,D2483+1,D2483)</f>
        <v>0</v>
      </c>
      <c r="E2495" s="238"/>
      <c r="F2495" s="247" t="s">
        <v>420</v>
      </c>
      <c r="G2495" s="220" t="s">
        <v>67</v>
      </c>
      <c r="H2495" s="240">
        <f>H2369</f>
        <v>0</v>
      </c>
      <c r="I2495" s="91">
        <f t="shared" si="101"/>
        <v>0</v>
      </c>
      <c r="J2495" s="146"/>
      <c r="K2495" s="146"/>
      <c r="L2495" s="117"/>
      <c r="M2495" s="56">
        <v>1000</v>
      </c>
    </row>
    <row r="2496" spans="1:13" s="51" customFormat="1" ht="25.2" hidden="1" customHeight="1">
      <c r="A2496" s="68">
        <f>IF(A2495&gt;0,1,0)</f>
        <v>0</v>
      </c>
      <c r="B2496" s="69"/>
      <c r="C2496" s="69"/>
      <c r="D2496" s="111"/>
      <c r="E2496" s="242"/>
      <c r="F2496" s="248" t="s">
        <v>68</v>
      </c>
      <c r="G2496" s="111"/>
      <c r="H2496" s="244"/>
      <c r="I2496" s="91">
        <f t="shared" si="101"/>
        <v>0</v>
      </c>
      <c r="J2496" s="146"/>
      <c r="K2496" s="146"/>
      <c r="L2496" s="117"/>
      <c r="M2496" s="56">
        <v>1000</v>
      </c>
    </row>
    <row r="2497" spans="1:14" s="51" customFormat="1" ht="25.2" hidden="1" customHeight="1">
      <c r="A2497" s="68">
        <f t="shared" si="100"/>
        <v>0</v>
      </c>
      <c r="B2497" s="86" t="s">
        <v>98</v>
      </c>
      <c r="C2497" s="86"/>
      <c r="D2497" s="87"/>
      <c r="E2497" s="88">
        <f>VLOOKUP($B2497,[1]DG!A:D,[1]DG!$B$2,)</f>
        <v>0</v>
      </c>
      <c r="F2497" s="89" t="str">
        <f>VLOOKUP($B2497,[1]DG!A:D,[1]DG!$C$2,)&amp;": 7m/1pha"</f>
        <v>Cáp 24KV CX-25mm2: 7m/1pha</v>
      </c>
      <c r="G2497" s="88" t="str">
        <f>VLOOKUP($B2497,[1]DG!A:D,[1]DG!$D$2,)</f>
        <v>mét</v>
      </c>
      <c r="H2497" s="145">
        <f>H2495*7*3</f>
        <v>0</v>
      </c>
      <c r="I2497" s="91">
        <f t="shared" si="101"/>
        <v>0</v>
      </c>
      <c r="J2497" s="146"/>
      <c r="K2497" s="146"/>
      <c r="L2497" s="117"/>
      <c r="M2497" s="56">
        <v>1000</v>
      </c>
    </row>
    <row r="2498" spans="1:14" s="51" customFormat="1" ht="25.2" hidden="1" customHeight="1">
      <c r="A2498" s="68">
        <f t="shared" si="100"/>
        <v>0</v>
      </c>
      <c r="B2498" s="86" t="s">
        <v>185</v>
      </c>
      <c r="C2498" s="86"/>
      <c r="D2498" s="87"/>
      <c r="E2498" s="88">
        <f>VLOOKUP($B2498,[1]DG!A:D,[1]DG!$B$2,)</f>
        <v>0</v>
      </c>
      <c r="F2498" s="89" t="str">
        <f>VLOOKUP($B2498,[1]DG!A:D,[1]DG!$C$2,)</f>
        <v>Kẹp ép cỡ dây 25mm2</v>
      </c>
      <c r="G2498" s="88" t="str">
        <f>VLOOKUP($B2498,[1]DG!A:D,[1]DG!$D$2,)</f>
        <v>cái</v>
      </c>
      <c r="H2498" s="145">
        <f>H2495*3*2</f>
        <v>0</v>
      </c>
      <c r="I2498" s="91">
        <f t="shared" si="101"/>
        <v>0</v>
      </c>
      <c r="J2498" s="146"/>
      <c r="K2498" s="146"/>
      <c r="L2498" s="117"/>
      <c r="M2498" s="56">
        <v>1000</v>
      </c>
    </row>
    <row r="2499" spans="1:14" s="51" customFormat="1" ht="25.2" hidden="1" customHeight="1">
      <c r="A2499" s="68">
        <f t="shared" si="100"/>
        <v>0</v>
      </c>
      <c r="B2499" s="86" t="s">
        <v>99</v>
      </c>
      <c r="C2499" s="86"/>
      <c r="D2499" s="87"/>
      <c r="E2499" s="88" t="str">
        <f>VLOOKUP($B2499,[1]DG!A:D,[1]DG!$B$2,)</f>
        <v>04.3007</v>
      </c>
      <c r="F2499" s="89" t="str">
        <f>VLOOKUP($B2499,[1]DG!A:D,[1]DG!$C$2,)</f>
        <v>Kẹp quai 2/0</v>
      </c>
      <c r="G2499" s="88" t="str">
        <f>VLOOKUP($B2499,[1]DG!A:D,[1]DG!$D$2,)</f>
        <v>cái</v>
      </c>
      <c r="H2499" s="145">
        <f>H2495*3*0</f>
        <v>0</v>
      </c>
      <c r="I2499" s="91">
        <f t="shared" si="101"/>
        <v>0</v>
      </c>
      <c r="J2499" s="146"/>
      <c r="K2499" s="146"/>
      <c r="L2499" s="117"/>
      <c r="M2499" s="56">
        <v>1000</v>
      </c>
    </row>
    <row r="2500" spans="1:14" s="51" customFormat="1" ht="25.2" hidden="1" customHeight="1">
      <c r="A2500" s="68">
        <f t="shared" si="100"/>
        <v>0</v>
      </c>
      <c r="B2500" s="86" t="s">
        <v>100</v>
      </c>
      <c r="C2500" s="86"/>
      <c r="D2500" s="87"/>
      <c r="E2500" s="88" t="str">
        <f>VLOOKUP($B2500,[1]DG!A:D,[1]DG!$B$2,)</f>
        <v>04.3007</v>
      </c>
      <c r="F2500" s="89" t="str">
        <f>VLOOKUP($B2500,[1]DG!A:D,[1]DG!$C$2,)&amp;": "</f>
        <v xml:space="preserve">Kẹp hotline 2/0: </v>
      </c>
      <c r="G2500" s="88" t="str">
        <f>VLOOKUP($B2500,[1]DG!A:D,[1]DG!$D$2,)</f>
        <v>cái</v>
      </c>
      <c r="H2500" s="145">
        <f>H2499</f>
        <v>0</v>
      </c>
      <c r="I2500" s="91">
        <f t="shared" si="101"/>
        <v>0</v>
      </c>
      <c r="J2500" s="146"/>
      <c r="K2500" s="146"/>
      <c r="L2500" s="117"/>
      <c r="M2500" s="56">
        <v>1000</v>
      </c>
    </row>
    <row r="2501" spans="1:14" s="51" customFormat="1" ht="25.2" hidden="1" customHeight="1">
      <c r="A2501" s="68">
        <f t="shared" si="100"/>
        <v>0</v>
      </c>
      <c r="B2501" s="86" t="s">
        <v>138</v>
      </c>
      <c r="C2501" s="86"/>
      <c r="D2501" s="96"/>
      <c r="E2501" s="88">
        <f>VLOOKUP($B2501,[1]DG!A:D,[1]DG!$B$2,)</f>
        <v>0</v>
      </c>
      <c r="F2501" s="89" t="str">
        <f>VLOOKUP($B2501,[1]DG!A:D,[1]DG!$C$2,)</f>
        <v xml:space="preserve">Sứ đứng 24KV </v>
      </c>
      <c r="G2501" s="88" t="str">
        <f>VLOOKUP($B2501,[1]DG!A:D,[1]DG!$D$2,)</f>
        <v>cái</v>
      </c>
      <c r="H2501" s="145">
        <f>+H2495*3*4</f>
        <v>0</v>
      </c>
      <c r="I2501" s="91">
        <f t="shared" si="101"/>
        <v>0</v>
      </c>
      <c r="J2501" s="146"/>
      <c r="K2501" s="146"/>
      <c r="L2501" s="117"/>
      <c r="M2501" s="56">
        <v>1000</v>
      </c>
    </row>
    <row r="2502" spans="1:14" s="51" customFormat="1" ht="25.2" hidden="1" customHeight="1">
      <c r="A2502" s="68">
        <f t="shared" si="100"/>
        <v>0</v>
      </c>
      <c r="B2502" s="86" t="s">
        <v>139</v>
      </c>
      <c r="C2502" s="86"/>
      <c r="D2502" s="87"/>
      <c r="E2502" s="88">
        <f>VLOOKUP($B2502,[1]DG!A:D,[1]DG!$B$2,)</f>
        <v>0</v>
      </c>
      <c r="F2502" s="89" t="str">
        <f>VLOOKUP($B2502,[1]DG!A:D,[1]DG!$C$2,)</f>
        <v>Chân sứ đứng D20</v>
      </c>
      <c r="G2502" s="88" t="str">
        <f>VLOOKUP($B2502,[1]DG!A:D,[1]DG!$D$2,)</f>
        <v>cái</v>
      </c>
      <c r="H2502" s="145">
        <f>+H2501</f>
        <v>0</v>
      </c>
      <c r="I2502" s="91">
        <f t="shared" si="101"/>
        <v>0</v>
      </c>
      <c r="J2502" s="146"/>
      <c r="K2502" s="146"/>
      <c r="L2502" s="117"/>
      <c r="M2502" s="56">
        <v>1000</v>
      </c>
    </row>
    <row r="2503" spans="1:14" s="51" customFormat="1" ht="25.2" hidden="1" customHeight="1">
      <c r="A2503" s="68">
        <f t="shared" si="100"/>
        <v>0</v>
      </c>
      <c r="B2503" s="86" t="s">
        <v>140</v>
      </c>
      <c r="C2503" s="86"/>
      <c r="D2503" s="87"/>
      <c r="E2503" s="88" t="str">
        <f>VLOOKUP($B2503,[1]DG!A:D,[1]DG!$B$2,)</f>
        <v>06.1115</v>
      </c>
      <c r="F2503" s="89" t="str">
        <f>VLOOKUP($B2503,[1]DG!A:D,[1]DG!$C$2,)</f>
        <v>Lắp sứ đứng 24KV</v>
      </c>
      <c r="G2503" s="88" t="str">
        <f>VLOOKUP($B2503,[1]DG!A:D,[1]DG!$D$2,)</f>
        <v>bộ</v>
      </c>
      <c r="H2503" s="145">
        <f>H2501</f>
        <v>0</v>
      </c>
      <c r="I2503" s="91">
        <f t="shared" si="101"/>
        <v>0</v>
      </c>
      <c r="J2503" s="146"/>
      <c r="K2503" s="146"/>
      <c r="L2503" s="117"/>
      <c r="M2503" s="56">
        <v>1000</v>
      </c>
    </row>
    <row r="2504" spans="1:14" s="51" customFormat="1" ht="25.2" hidden="1" customHeight="1">
      <c r="A2504" s="68">
        <f t="shared" si="100"/>
        <v>0</v>
      </c>
      <c r="B2504" s="69"/>
      <c r="C2504" s="69"/>
      <c r="D2504" s="220">
        <f>IF(H2504&gt;0,D2495+1,D2495)</f>
        <v>0</v>
      </c>
      <c r="E2504" s="238"/>
      <c r="F2504" s="239" t="s">
        <v>584</v>
      </c>
      <c r="G2504" s="220" t="s">
        <v>67</v>
      </c>
      <c r="H2504" s="240">
        <f>H2369*1</f>
        <v>0</v>
      </c>
      <c r="I2504" s="91">
        <f t="shared" si="101"/>
        <v>0</v>
      </c>
      <c r="J2504" s="146"/>
      <c r="K2504" s="146"/>
      <c r="L2504" s="117"/>
      <c r="M2504" s="56">
        <v>1000</v>
      </c>
    </row>
    <row r="2505" spans="1:14" s="51" customFormat="1" ht="25.2" hidden="1" customHeight="1">
      <c r="A2505" s="68">
        <f>IF(A2504&gt;0,1,0)</f>
        <v>0</v>
      </c>
      <c r="B2505" s="69"/>
      <c r="C2505" s="69"/>
      <c r="D2505" s="111"/>
      <c r="E2505" s="242"/>
      <c r="F2505" s="248" t="s">
        <v>68</v>
      </c>
      <c r="G2505" s="111"/>
      <c r="H2505" s="244"/>
      <c r="I2505" s="91">
        <f t="shared" si="101"/>
        <v>0</v>
      </c>
      <c r="J2505" s="146"/>
      <c r="K2505" s="146"/>
      <c r="L2505" s="117"/>
      <c r="M2505" s="56">
        <v>1000</v>
      </c>
    </row>
    <row r="2506" spans="1:14" s="51" customFormat="1" ht="25.2" hidden="1" customHeight="1">
      <c r="A2506" s="68">
        <f t="shared" si="100"/>
        <v>0</v>
      </c>
      <c r="B2506" s="69" t="s">
        <v>585</v>
      </c>
      <c r="C2506" s="69"/>
      <c r="D2506" s="87"/>
      <c r="E2506" s="88">
        <f>VLOOKUP($B2506,[1]DG!A:D,[1]DG!$B$2,)</f>
        <v>0</v>
      </c>
      <c r="F2506" s="89" t="str">
        <f>VLOOKUP($B2506,[1]DG!A:D,[1]DG!$C$2,)</f>
        <v xml:space="preserve">Giá đỡ cáp hạ thế </v>
      </c>
      <c r="G2506" s="88" t="str">
        <f>VLOOKUP($B2506,[1]DG!A:D,[1]DG!$D$2,)</f>
        <v>bộ</v>
      </c>
      <c r="H2506" s="145">
        <f>H2504</f>
        <v>0</v>
      </c>
      <c r="I2506" s="91">
        <f t="shared" si="101"/>
        <v>0</v>
      </c>
      <c r="J2506" s="146"/>
      <c r="K2506" s="146"/>
      <c r="L2506" s="117"/>
      <c r="M2506" s="56">
        <v>1000</v>
      </c>
    </row>
    <row r="2507" spans="1:14" s="51" customFormat="1" ht="25.2" hidden="1" customHeight="1">
      <c r="A2507" s="68">
        <f t="shared" si="100"/>
        <v>0</v>
      </c>
      <c r="B2507" s="69" t="s">
        <v>410</v>
      </c>
      <c r="C2507" s="69"/>
      <c r="D2507" s="87"/>
      <c r="E2507" s="88" t="str">
        <f>VLOOKUP($B2507,[1]DG!A:D,[1]DG!$B$2,)</f>
        <v>05.6101</v>
      </c>
      <c r="F2507" s="89" t="str">
        <f>VLOOKUP($B2507,[1]DG!A:D,[1]DG!$C$2,)</f>
        <v>Lắp Giá đỡ cáp</v>
      </c>
      <c r="G2507" s="88" t="str">
        <f>VLOOKUP($B2507,[1]DG!A:D,[1]DG!$D$2,)</f>
        <v>bộ</v>
      </c>
      <c r="H2507" s="145">
        <f>H2506</f>
        <v>0</v>
      </c>
      <c r="I2507" s="91">
        <f t="shared" si="101"/>
        <v>0</v>
      </c>
      <c r="J2507" s="146"/>
      <c r="K2507" s="146"/>
      <c r="L2507" s="117"/>
      <c r="M2507" s="56">
        <v>1000</v>
      </c>
    </row>
    <row r="2508" spans="1:14" s="51" customFormat="1" ht="25.2" hidden="1" customHeight="1">
      <c r="A2508" s="68">
        <f t="shared" si="100"/>
        <v>0</v>
      </c>
      <c r="B2508" s="86"/>
      <c r="C2508" s="86"/>
      <c r="D2508" s="220">
        <f>IF(H2508&gt;0,D2504+1,D2504)</f>
        <v>0</v>
      </c>
      <c r="E2508" s="238"/>
      <c r="F2508" s="247" t="s">
        <v>586</v>
      </c>
      <c r="G2508" s="220" t="s">
        <v>67</v>
      </c>
      <c r="H2508" s="337">
        <f>H2483+H2495</f>
        <v>0</v>
      </c>
      <c r="I2508" s="91">
        <f t="shared" si="101"/>
        <v>0</v>
      </c>
      <c r="J2508" s="146"/>
      <c r="K2508" s="146"/>
      <c r="L2508" s="117"/>
      <c r="M2508" s="56">
        <v>1000</v>
      </c>
    </row>
    <row r="2509" spans="1:14" s="51" customFormat="1" ht="25.2" hidden="1" customHeight="1">
      <c r="A2509" s="68">
        <f>IF(A2508&gt;0,1,0)</f>
        <v>0</v>
      </c>
      <c r="B2509" s="86"/>
      <c r="C2509" s="86"/>
      <c r="D2509" s="111"/>
      <c r="E2509" s="242"/>
      <c r="F2509" s="248" t="s">
        <v>68</v>
      </c>
      <c r="G2509" s="111"/>
      <c r="H2509" s="145"/>
      <c r="I2509" s="91">
        <f t="shared" si="101"/>
        <v>0</v>
      </c>
      <c r="J2509" s="146"/>
      <c r="K2509" s="146"/>
      <c r="L2509" s="117"/>
      <c r="M2509" s="56">
        <v>1000</v>
      </c>
    </row>
    <row r="2510" spans="1:14" s="51" customFormat="1" ht="25.2" hidden="1" customHeight="1">
      <c r="A2510" s="68">
        <f t="shared" ref="A2510:A2514" si="102">IF(A2509&gt;0,1,0)</f>
        <v>0</v>
      </c>
      <c r="B2510" s="69"/>
      <c r="C2510" s="69"/>
      <c r="D2510" s="87"/>
      <c r="E2510" s="88" t="e">
        <f>VLOOKUP($B2510,[1]DG!A:D,[1]DG!$B$2,)</f>
        <v>#N/A</v>
      </c>
      <c r="F2510" s="89" t="e">
        <f>VLOOKUP($B2510,[1]DG!A:D,[1]DG!$C$2,)&amp;": "&amp;#REF!&amp;"x 8m/pha "</f>
        <v>#N/A</v>
      </c>
      <c r="G2510" s="88" t="e">
        <f>VLOOKUP($B2510,[1]DG!A:D,[1]DG!$D$2,)</f>
        <v>#N/A</v>
      </c>
      <c r="H2510" s="145">
        <f>8*3*H2508*L16</f>
        <v>0</v>
      </c>
      <c r="I2510" s="91">
        <f t="shared" si="101"/>
        <v>0</v>
      </c>
      <c r="J2510" s="146"/>
      <c r="K2510" s="146"/>
      <c r="L2510" s="117"/>
      <c r="M2510" s="56">
        <v>1000</v>
      </c>
      <c r="N2510" s="51">
        <f>48*(30+6)</f>
        <v>1728</v>
      </c>
    </row>
    <row r="2511" spans="1:14" s="51" customFormat="1" ht="25.2" hidden="1" customHeight="1">
      <c r="A2511" s="68">
        <f t="shared" si="102"/>
        <v>0</v>
      </c>
      <c r="B2511" s="69"/>
      <c r="C2511" s="69"/>
      <c r="D2511" s="87"/>
      <c r="E2511" s="88" t="e">
        <f>VLOOKUP($B2511,[1]DG!A:D,[1]DG!$B$2,)</f>
        <v>#N/A</v>
      </c>
      <c r="F2511" s="89" t="e">
        <f>VLOOKUP($B2511,[1]DG!A:D,[1]DG!$C$2,)&amp;": "&amp;#REF!/2&amp;"x 8m/trung tính "</f>
        <v>#N/A</v>
      </c>
      <c r="G2511" s="88" t="e">
        <f>VLOOKUP($B2511,[1]DG!A:D,[1]DG!$D$2,)</f>
        <v>#N/A</v>
      </c>
      <c r="H2511" s="365"/>
      <c r="I2511" s="91">
        <f t="shared" si="101"/>
        <v>0</v>
      </c>
      <c r="J2511" s="146"/>
      <c r="K2511" s="146"/>
      <c r="L2511" s="117"/>
      <c r="M2511" s="56">
        <v>1000</v>
      </c>
      <c r="N2511" s="51">
        <f>8*(30+6)</f>
        <v>288</v>
      </c>
    </row>
    <row r="2512" spans="1:14" s="51" customFormat="1" ht="25.2" hidden="1" customHeight="1">
      <c r="A2512" s="68">
        <f t="shared" si="102"/>
        <v>0</v>
      </c>
      <c r="B2512" s="69" t="s">
        <v>542</v>
      </c>
      <c r="C2512" s="69"/>
      <c r="D2512" s="87"/>
      <c r="E2512" s="88" t="str">
        <f>VLOOKUP($B2512,[1]DG!A:D,[1]DG!$B$2,)</f>
        <v>03.4009</v>
      </c>
      <c r="F2512" s="89" t="str">
        <f>VLOOKUP($B2512,[1]DG!A:D,[1]DG!$C$2,)&amp;": "</f>
        <v xml:space="preserve">Đầu cosse ép Cu 250mm2: </v>
      </c>
      <c r="G2512" s="88" t="str">
        <f>VLOOKUP($B2512,[1]DG!A:D,[1]DG!$D$2,)</f>
        <v>cái</v>
      </c>
      <c r="H2512" s="365"/>
      <c r="I2512" s="91">
        <f t="shared" si="101"/>
        <v>0</v>
      </c>
      <c r="J2512" s="146"/>
      <c r="K2512" s="146"/>
      <c r="L2512" s="117"/>
      <c r="M2512" s="56">
        <v>1000</v>
      </c>
    </row>
    <row r="2513" spans="1:13" s="51" customFormat="1" ht="25.2" hidden="1" customHeight="1">
      <c r="A2513" s="68">
        <f t="shared" si="102"/>
        <v>0</v>
      </c>
      <c r="B2513" s="69" t="s">
        <v>542</v>
      </c>
      <c r="C2513" s="69"/>
      <c r="D2513" s="87"/>
      <c r="E2513" s="88" t="str">
        <f>VLOOKUP($B2513,[1]DG!A:D,[1]DG!$B$2,)</f>
        <v>03.4009</v>
      </c>
      <c r="F2513" s="89" t="str">
        <f>VLOOKUP($B2513,[1]DG!A:D,[1]DG!$C$2,)&amp;": "</f>
        <v xml:space="preserve">Đầu cosse ép Cu 250mm2: </v>
      </c>
      <c r="G2513" s="88" t="str">
        <f>VLOOKUP($B2513,[1]DG!A:D,[1]DG!$D$2,)</f>
        <v>cái</v>
      </c>
      <c r="H2513" s="365"/>
      <c r="I2513" s="91">
        <f t="shared" si="101"/>
        <v>0</v>
      </c>
      <c r="J2513" s="146"/>
      <c r="K2513" s="146"/>
      <c r="L2513" s="117"/>
      <c r="M2513" s="56">
        <v>1000</v>
      </c>
    </row>
    <row r="2514" spans="1:13" s="51" customFormat="1" ht="25.2" hidden="1" customHeight="1">
      <c r="A2514" s="68">
        <f t="shared" si="102"/>
        <v>0</v>
      </c>
      <c r="B2514" s="69" t="s">
        <v>544</v>
      </c>
      <c r="C2514" s="69"/>
      <c r="D2514" s="87"/>
      <c r="E2514" s="88">
        <f>VLOOKUP($B2514,[1]DG!A:D,[1]DG!$B$2,)</f>
        <v>0</v>
      </c>
      <c r="F2514" s="89" t="str">
        <f>VLOOKUP($B2514,[1]DG!A:D,[1]DG!$C$2,)&amp;": "</f>
        <v xml:space="preserve">Chụp đầu cosse  250mm2: </v>
      </c>
      <c r="G2514" s="88" t="str">
        <f>VLOOKUP($B2514,[1]DG!A:D,[1]DG!$D$2,)</f>
        <v>cái</v>
      </c>
      <c r="H2514" s="365"/>
      <c r="I2514" s="91">
        <f t="shared" si="101"/>
        <v>0</v>
      </c>
      <c r="J2514" s="146"/>
      <c r="K2514" s="146"/>
      <c r="L2514" s="117"/>
      <c r="M2514" s="56">
        <v>1000</v>
      </c>
    </row>
    <row r="2515" spans="1:13" s="51" customFormat="1" ht="25.2" hidden="1" customHeight="1">
      <c r="A2515" s="68">
        <f t="shared" si="100"/>
        <v>0</v>
      </c>
      <c r="B2515" s="69" t="s">
        <v>544</v>
      </c>
      <c r="C2515" s="69"/>
      <c r="D2515" s="87"/>
      <c r="E2515" s="88">
        <f>VLOOKUP($B2515,[1]DG!A:D,[1]DG!$B$2,)</f>
        <v>0</v>
      </c>
      <c r="F2515" s="89" t="str">
        <f>VLOOKUP($B2515,[1]DG!A:D,[1]DG!$C$2,)&amp;": "</f>
        <v xml:space="preserve">Chụp đầu cosse  250mm2: </v>
      </c>
      <c r="G2515" s="88" t="str">
        <f>VLOOKUP($B2515,[1]DG!A:D,[1]DG!$D$2,)</f>
        <v>cái</v>
      </c>
      <c r="H2515" s="365"/>
      <c r="I2515" s="91">
        <f t="shared" si="101"/>
        <v>0</v>
      </c>
      <c r="J2515" s="146"/>
      <c r="K2515" s="146"/>
      <c r="L2515" s="117"/>
      <c r="M2515" s="56">
        <v>1000</v>
      </c>
    </row>
    <row r="2516" spans="1:13" s="51" customFormat="1" ht="25.2" hidden="1" customHeight="1">
      <c r="A2516" s="68">
        <f t="shared" si="100"/>
        <v>0</v>
      </c>
      <c r="B2516" s="69" t="s">
        <v>144</v>
      </c>
      <c r="C2516" s="69"/>
      <c r="D2516" s="87"/>
      <c r="E2516" s="88">
        <f>VLOOKUP($B2516,[1]DG!A:D,[1]DG!$B$2,)</f>
        <v>0</v>
      </c>
      <c r="F2516" s="89" t="str">
        <f>VLOOKUP($B2516,[1]DG!A:D,[1]DG!$C$2,)</f>
        <v xml:space="preserve">Ống PVC D114x4,9mm </v>
      </c>
      <c r="G2516" s="88" t="str">
        <f>VLOOKUP($B2516,[1]DG!A:D,[1]DG!$D$2,)</f>
        <v>m</v>
      </c>
      <c r="H2516" s="365"/>
      <c r="I2516" s="91">
        <f t="shared" si="101"/>
        <v>0</v>
      </c>
      <c r="J2516" s="146"/>
      <c r="K2516" s="146"/>
      <c r="L2516" s="117"/>
      <c r="M2516" s="56">
        <v>1000</v>
      </c>
    </row>
    <row r="2517" spans="1:13" s="51" customFormat="1" ht="25.2" hidden="1" customHeight="1">
      <c r="A2517" s="68">
        <f t="shared" si="100"/>
        <v>0</v>
      </c>
      <c r="B2517" s="86" t="s">
        <v>435</v>
      </c>
      <c r="C2517" s="86"/>
      <c r="D2517" s="87"/>
      <c r="E2517" s="88" t="str">
        <f>VLOOKUP($B2517,[1]DG!A:D,[1]DG!$B$2,)</f>
        <v>06.3231</v>
      </c>
      <c r="F2517" s="89" t="str">
        <f>VLOOKUP($B2517,[1]DG!A:D,[1]DG!$C$2,)</f>
        <v>Cổ dê kẹp ống PVC Ø 114</v>
      </c>
      <c r="G2517" s="88" t="str">
        <f>VLOOKUP($B2517,[1]DG!A:D,[1]DG!$D$2,)</f>
        <v>bộ</v>
      </c>
      <c r="H2517" s="365"/>
      <c r="I2517" s="91">
        <f t="shared" si="101"/>
        <v>0</v>
      </c>
      <c r="J2517" s="146"/>
      <c r="K2517" s="146"/>
      <c r="L2517" s="117"/>
      <c r="M2517" s="56">
        <v>1000</v>
      </c>
    </row>
    <row r="2518" spans="1:13" s="51" customFormat="1" ht="25.2" hidden="1" customHeight="1">
      <c r="A2518" s="68">
        <f t="shared" si="100"/>
        <v>0</v>
      </c>
      <c r="B2518" s="69" t="s">
        <v>508</v>
      </c>
      <c r="C2518" s="69"/>
      <c r="D2518" s="87"/>
      <c r="E2518" s="88">
        <f>VLOOKUP($B2518,[1]DG!A:D,[1]DG!$B$2,)</f>
        <v>0</v>
      </c>
      <c r="F2518" s="89" t="str">
        <f>VLOOKUP($B2518,[1]DG!A:D,[1]DG!$C$2,)</f>
        <v>Co sừng 90 độ PVC 114</v>
      </c>
      <c r="G2518" s="88" t="str">
        <f>VLOOKUP($B2518,[1]DG!A:D,[1]DG!$D$2,)</f>
        <v>cái</v>
      </c>
      <c r="H2518" s="365"/>
      <c r="I2518" s="91">
        <f t="shared" si="101"/>
        <v>0</v>
      </c>
      <c r="J2518" s="146"/>
      <c r="K2518" s="146"/>
      <c r="L2518" s="117"/>
      <c r="M2518" s="56">
        <v>1000</v>
      </c>
    </row>
    <row r="2519" spans="1:13" s="51" customFormat="1" ht="25.2" hidden="1" customHeight="1">
      <c r="A2519" s="68">
        <f t="shared" si="100"/>
        <v>0</v>
      </c>
      <c r="B2519" s="69" t="s">
        <v>217</v>
      </c>
      <c r="C2519" s="69"/>
      <c r="D2519" s="87"/>
      <c r="E2519" s="88">
        <f>VLOOKUP($B2519,[1]DG!A:D,[1]DG!$B$2,)</f>
        <v>0</v>
      </c>
      <c r="F2519" s="89" t="str">
        <f>VLOOKUP($B2519,[1]DG!A:D,[1]DG!$C$2,)</f>
        <v>Khâu ven răng trong D114</v>
      </c>
      <c r="G2519" s="88" t="str">
        <f>VLOOKUP($B2519,[1]DG!A:D,[1]DG!$D$2,)</f>
        <v>cái</v>
      </c>
      <c r="H2519" s="365"/>
      <c r="I2519" s="91">
        <f t="shared" si="101"/>
        <v>0</v>
      </c>
      <c r="J2519" s="146"/>
      <c r="K2519" s="146"/>
      <c r="L2519" s="117"/>
      <c r="M2519" s="56">
        <v>1000</v>
      </c>
    </row>
    <row r="2520" spans="1:13" s="51" customFormat="1" ht="25.2" hidden="1" customHeight="1">
      <c r="A2520" s="68">
        <f t="shared" si="100"/>
        <v>0</v>
      </c>
      <c r="B2520" s="69" t="s">
        <v>218</v>
      </c>
      <c r="C2520" s="69"/>
      <c r="D2520" s="87"/>
      <c r="E2520" s="88">
        <f>VLOOKUP($B2520,[1]DG!A:D,[1]DG!$B$2,)</f>
        <v>0</v>
      </c>
      <c r="F2520" s="89" t="str">
        <f>VLOOKUP($B2520,[1]DG!A:D,[1]DG!$C$2,)&amp;": "</f>
        <v xml:space="preserve">Khâu ven răng ngoài D114: </v>
      </c>
      <c r="G2520" s="88" t="str">
        <f>VLOOKUP($B2520,[1]DG!A:D,[1]DG!$D$2,)</f>
        <v>cái</v>
      </c>
      <c r="H2520" s="365"/>
      <c r="I2520" s="91">
        <f t="shared" si="101"/>
        <v>0</v>
      </c>
      <c r="J2520" s="146"/>
      <c r="K2520" s="146"/>
      <c r="L2520" s="117"/>
      <c r="M2520" s="56">
        <v>1000</v>
      </c>
    </row>
    <row r="2521" spans="1:13" s="51" customFormat="1" ht="25.2" hidden="1" customHeight="1">
      <c r="A2521" s="68">
        <f t="shared" si="100"/>
        <v>0</v>
      </c>
      <c r="B2521" s="69" t="s">
        <v>446</v>
      </c>
      <c r="C2521" s="69"/>
      <c r="D2521" s="87"/>
      <c r="E2521" s="88">
        <f>VLOOKUP($B2521,[1]DG!A:D,[1]DG!$B$2,)</f>
        <v>0</v>
      </c>
      <c r="F2521" s="89" t="str">
        <f>VLOOKUP($B2521,[1]DG!A:D,[1]DG!$C$2,)&amp;": "</f>
        <v xml:space="preserve">Keo dán ống PVC (500gr): </v>
      </c>
      <c r="G2521" s="88" t="str">
        <f>VLOOKUP($B2521,[1]DG!A:D,[1]DG!$D$2,)</f>
        <v>lon</v>
      </c>
      <c r="H2521" s="365"/>
      <c r="I2521" s="91">
        <f t="shared" si="101"/>
        <v>0</v>
      </c>
      <c r="J2521" s="146"/>
      <c r="K2521" s="146"/>
      <c r="L2521" s="117"/>
      <c r="M2521" s="56">
        <v>1000</v>
      </c>
    </row>
    <row r="2522" spans="1:13" s="51" customFormat="1" ht="25.2" hidden="1" customHeight="1">
      <c r="A2522" s="68">
        <f t="shared" si="100"/>
        <v>0</v>
      </c>
      <c r="B2522" s="86" t="s">
        <v>436</v>
      </c>
      <c r="C2522" s="86"/>
      <c r="D2522" s="87"/>
      <c r="E2522" s="88"/>
      <c r="F2522" s="89" t="str">
        <f>VLOOKUP($B2522,[1]DG!A:D,[1]DG!$C$2,)&amp;":"</f>
        <v>Keo silicon bít miệng ống:</v>
      </c>
      <c r="G2522" s="88" t="str">
        <f>VLOOKUP($B2522,[1]DG!A:D,[1]DG!$D$2,)</f>
        <v>ống</v>
      </c>
      <c r="H2522" s="365"/>
      <c r="I2522" s="91">
        <f t="shared" si="101"/>
        <v>0</v>
      </c>
      <c r="J2522" s="146"/>
      <c r="K2522" s="146"/>
      <c r="L2522" s="117"/>
      <c r="M2522" s="56">
        <v>1000</v>
      </c>
    </row>
    <row r="2523" spans="1:13" s="51" customFormat="1" ht="25.2" hidden="1" customHeight="1">
      <c r="A2523" s="68">
        <f t="shared" si="100"/>
        <v>0</v>
      </c>
      <c r="B2523" s="69" t="s">
        <v>437</v>
      </c>
      <c r="C2523" s="69"/>
      <c r="D2523" s="87"/>
      <c r="E2523" s="88">
        <f>VLOOKUP($B2523,[1]DG!A:D,[1]DG!$B$2,)</f>
        <v>0</v>
      </c>
      <c r="F2523" s="89" t="str">
        <f>VLOOKUP($B2523,[1]DG!A:D,[1]DG!$C$2,)</f>
        <v>Dây rút cáp</v>
      </c>
      <c r="G2523" s="88" t="str">
        <f>VLOOKUP($B2523,[1]DG!A:D,[1]DG!$D$2,)</f>
        <v>bọc</v>
      </c>
      <c r="H2523" s="365"/>
      <c r="I2523" s="91">
        <f t="shared" si="101"/>
        <v>0</v>
      </c>
      <c r="J2523" s="146"/>
      <c r="K2523" s="146"/>
      <c r="L2523" s="117"/>
      <c r="M2523" s="56">
        <v>1000</v>
      </c>
    </row>
    <row r="2524" spans="1:13" s="51" customFormat="1" ht="25.2" hidden="1" customHeight="1">
      <c r="A2524" s="68">
        <f t="shared" si="100"/>
        <v>0</v>
      </c>
      <c r="B2524" s="86" t="s">
        <v>148</v>
      </c>
      <c r="C2524" s="86"/>
      <c r="D2524" s="87"/>
      <c r="E2524" s="88">
        <f>VLOOKUP($B2524,[1]DG!A:D,[1]DG!$B$2,)</f>
        <v>0</v>
      </c>
      <c r="F2524" s="89" t="str">
        <f>VLOOKUP($B2524,[1]DG!A:D,[1]DG!$C$2,)</f>
        <v>Băng keo cách điện</v>
      </c>
      <c r="G2524" s="88" t="str">
        <f>VLOOKUP($B2524,[1]DG!A:D,[1]DG!$D$2,)</f>
        <v>cuộn</v>
      </c>
      <c r="H2524" s="365"/>
      <c r="I2524" s="91">
        <f t="shared" si="101"/>
        <v>0</v>
      </c>
      <c r="J2524" s="146"/>
      <c r="K2524" s="146"/>
      <c r="L2524" s="117"/>
      <c r="M2524" s="56">
        <v>1000</v>
      </c>
    </row>
    <row r="2525" spans="1:13" s="51" customFormat="1" ht="25.2" hidden="1" customHeight="1">
      <c r="A2525" s="68">
        <f t="shared" si="100"/>
        <v>0</v>
      </c>
      <c r="B2525" s="86" t="s">
        <v>438</v>
      </c>
      <c r="C2525" s="86"/>
      <c r="D2525" s="249"/>
      <c r="E2525" s="88"/>
      <c r="F2525" s="89" t="str">
        <f>VLOOKUP($B2525,[1]DG!A:D,[1]DG!$C$2,)&amp;":"</f>
        <v>Lắp cáp đồng xuống thiết bị D &gt; 150mm2:</v>
      </c>
      <c r="G2525" s="88" t="str">
        <f>VLOOKUP($B2525,[1]DG!A:D,[1]DG!$D$2,)</f>
        <v>m</v>
      </c>
      <c r="H2525" s="365"/>
      <c r="I2525" s="91">
        <f t="shared" si="101"/>
        <v>0</v>
      </c>
      <c r="J2525" s="146"/>
      <c r="K2525" s="146"/>
      <c r="L2525" s="117"/>
      <c r="M2525" s="56">
        <v>1000</v>
      </c>
    </row>
    <row r="2526" spans="1:13" s="51" customFormat="1" ht="25.2" hidden="1" customHeight="1">
      <c r="A2526" s="68">
        <f t="shared" si="100"/>
        <v>0</v>
      </c>
      <c r="B2526" s="86"/>
      <c r="C2526" s="86"/>
      <c r="D2526" s="220">
        <f>IF(H2526&gt;0,D2508+1,D2508)</f>
        <v>0</v>
      </c>
      <c r="E2526" s="238"/>
      <c r="F2526" s="247" t="s">
        <v>327</v>
      </c>
      <c r="G2526" s="220" t="s">
        <v>67</v>
      </c>
      <c r="H2526" s="365"/>
      <c r="I2526" s="91">
        <f t="shared" si="101"/>
        <v>0</v>
      </c>
      <c r="J2526" s="146"/>
      <c r="K2526" s="146"/>
      <c r="L2526" s="117"/>
      <c r="M2526" s="56">
        <v>1000</v>
      </c>
    </row>
    <row r="2527" spans="1:13" s="147" customFormat="1" ht="25.2" hidden="1" customHeight="1">
      <c r="A2527" s="68">
        <f>IF(A2526&gt;0,1,0)</f>
        <v>0</v>
      </c>
      <c r="B2527" s="338"/>
      <c r="C2527" s="338"/>
      <c r="D2527" s="111"/>
      <c r="E2527" s="242"/>
      <c r="F2527" s="248" t="s">
        <v>68</v>
      </c>
      <c r="G2527" s="111" t="s">
        <v>375</v>
      </c>
      <c r="H2527" s="371"/>
      <c r="I2527" s="91">
        <f t="shared" si="101"/>
        <v>0</v>
      </c>
      <c r="J2527" s="146"/>
      <c r="K2527" s="146"/>
      <c r="L2527" s="117"/>
      <c r="M2527" s="56">
        <v>1000</v>
      </c>
    </row>
    <row r="2528" spans="1:13" s="51" customFormat="1" ht="25.2" hidden="1" customHeight="1">
      <c r="A2528" s="68">
        <f t="shared" ref="A2528:A2590" si="103">IF(I2528&gt;0,1,0)</f>
        <v>0</v>
      </c>
      <c r="B2528" s="69" t="s">
        <v>273</v>
      </c>
      <c r="C2528" s="69"/>
      <c r="D2528" s="96"/>
      <c r="E2528" s="88" t="str">
        <f>VLOOKUP($B2528,[1]DG!A:D,[1]DG!$B$2,)</f>
        <v>03.1401</v>
      </c>
      <c r="F2528" s="92" t="str">
        <f>VLOOKUP($B2528,[1]DG!A:D,[1]DG!$C$2,)</f>
        <v xml:space="preserve">Cáp CVV 4x2,5mm2  </v>
      </c>
      <c r="G2528" s="339" t="str">
        <f>VLOOKUP($B2528,[1]DG!A:D,[1]DG!$D$2,)</f>
        <v>mét</v>
      </c>
      <c r="H2528" s="365"/>
      <c r="I2528" s="91">
        <f t="shared" si="101"/>
        <v>0</v>
      </c>
      <c r="J2528" s="146"/>
      <c r="K2528" s="146"/>
      <c r="L2528" s="117"/>
      <c r="M2528" s="56">
        <v>1000</v>
      </c>
    </row>
    <row r="2529" spans="1:13" s="51" customFormat="1" ht="25.2" hidden="1" customHeight="1">
      <c r="A2529" s="68">
        <f t="shared" si="103"/>
        <v>0</v>
      </c>
      <c r="B2529" s="69" t="s">
        <v>440</v>
      </c>
      <c r="C2529" s="69"/>
      <c r="D2529" s="96"/>
      <c r="E2529" s="88" t="str">
        <f>VLOOKUP($B2529,[1]DG!A:D,[1]DG!$B$2,)</f>
        <v>05.6101</v>
      </c>
      <c r="F2529" s="92" t="str">
        <f>VLOOKUP($B2529,[1]DG!A:D,[1]DG!$C$2,)</f>
        <v>Xà kẹp TU, TI U50x32x4 350</v>
      </c>
      <c r="G2529" s="339" t="str">
        <f>VLOOKUP($B2529,[1]DG!A:D,[1]DG!$D$2,)</f>
        <v>Bộ</v>
      </c>
      <c r="H2529" s="365"/>
      <c r="I2529" s="91">
        <f t="shared" si="101"/>
        <v>0</v>
      </c>
      <c r="J2529" s="146"/>
      <c r="K2529" s="146"/>
      <c r="L2529" s="117"/>
      <c r="M2529" s="56">
        <v>1000</v>
      </c>
    </row>
    <row r="2530" spans="1:13" s="51" customFormat="1" ht="25.2" hidden="1" customHeight="1">
      <c r="A2530" s="68">
        <f t="shared" si="103"/>
        <v>0</v>
      </c>
      <c r="B2530" s="69" t="s">
        <v>441</v>
      </c>
      <c r="C2530" s="69"/>
      <c r="D2530" s="87"/>
      <c r="E2530" s="88" t="str">
        <f>VLOOKUP($B2530,[1]DG!A:D,[1]DG!$B$2,)</f>
        <v>03.4001</v>
      </c>
      <c r="F2530" s="92" t="str">
        <f>VLOOKUP($B2530,[1]DG!A:D,[1]DG!$C$2,)</f>
        <v xml:space="preserve">Đầu cosse ép Cu 2,5mm2 + bao PVC </v>
      </c>
      <c r="G2530" s="339" t="str">
        <f>VLOOKUP($B2530,[1]DG!A:D,[1]DG!$D$2,)</f>
        <v>cái</v>
      </c>
      <c r="H2530" s="365"/>
      <c r="I2530" s="91">
        <f t="shared" si="101"/>
        <v>0</v>
      </c>
      <c r="J2530" s="146"/>
      <c r="K2530" s="146"/>
      <c r="L2530" s="117"/>
      <c r="M2530" s="56">
        <v>1000</v>
      </c>
    </row>
    <row r="2531" spans="1:13" s="51" customFormat="1" ht="25.2" hidden="1" customHeight="1">
      <c r="A2531" s="68">
        <f t="shared" si="103"/>
        <v>0</v>
      </c>
      <c r="B2531" s="69" t="s">
        <v>442</v>
      </c>
      <c r="C2531" s="69"/>
      <c r="D2531" s="87"/>
      <c r="E2531" s="88">
        <f>VLOOKUP($B2531,[1]DG!A:D,[1]DG!$B$2,)</f>
        <v>0</v>
      </c>
      <c r="F2531" s="92" t="str">
        <f>VLOOKUP($B2531,[1]DG!A:D,[1]DG!$C$2,)</f>
        <v>Dây điện đôi 16/10</v>
      </c>
      <c r="G2531" s="339" t="str">
        <f>VLOOKUP($B2531,[1]DG!A:D,[1]DG!$D$2,)</f>
        <v>mét</v>
      </c>
      <c r="H2531" s="365"/>
      <c r="I2531" s="91">
        <f t="shared" si="101"/>
        <v>0</v>
      </c>
      <c r="J2531" s="146"/>
      <c r="K2531" s="146"/>
      <c r="L2531" s="117"/>
      <c r="M2531" s="56">
        <v>1000</v>
      </c>
    </row>
    <row r="2532" spans="1:13" s="51" customFormat="1" ht="25.2" hidden="1" customHeight="1">
      <c r="A2532" s="68">
        <f t="shared" si="103"/>
        <v>0</v>
      </c>
      <c r="B2532" s="69" t="s">
        <v>85</v>
      </c>
      <c r="C2532" s="69"/>
      <c r="D2532" s="87"/>
      <c r="E2532" s="88">
        <f>VLOOKUP($B2532,[1]DG!A:D,[1]DG!$B$2,)</f>
        <v>0</v>
      </c>
      <c r="F2532" s="92" t="str">
        <f>VLOOKUP($B2532,[1]DG!A:D,[1]DG!$C$2,)&amp;" (ñaáu TU)"</f>
        <v>Kẹp ép cỡ dây 25mm2 (ñaáu TU)</v>
      </c>
      <c r="G2532" s="339" t="str">
        <f>VLOOKUP($B2532,[1]DG!A:D,[1]DG!$D$2,)</f>
        <v>cái</v>
      </c>
      <c r="H2532" s="365"/>
      <c r="I2532" s="91">
        <f t="shared" si="101"/>
        <v>0</v>
      </c>
      <c r="J2532" s="146"/>
      <c r="K2532" s="146"/>
      <c r="L2532" s="117"/>
      <c r="M2532" s="56">
        <v>1000</v>
      </c>
    </row>
    <row r="2533" spans="1:13" s="51" customFormat="1" ht="25.2" hidden="1" customHeight="1">
      <c r="A2533" s="68">
        <f t="shared" si="103"/>
        <v>0</v>
      </c>
      <c r="B2533" s="69" t="s">
        <v>426</v>
      </c>
      <c r="C2533" s="69"/>
      <c r="D2533" s="87"/>
      <c r="E2533" s="88" t="str">
        <f>VLOOKUP($B2533,[1]DG!A:D,[1]DG!$B$2,)</f>
        <v>07.2403</v>
      </c>
      <c r="F2533" s="92" t="str">
        <f>VLOOKUP($B2533,[1]DG!A:D,[1]DG!$C$2,)</f>
        <v>Ống PVC D42x2,1mm</v>
      </c>
      <c r="G2533" s="339" t="str">
        <f>VLOOKUP($B2533,[1]DG!A:D,[1]DG!$D$2,)</f>
        <v>m</v>
      </c>
      <c r="H2533" s="365"/>
      <c r="I2533" s="91">
        <f t="shared" si="101"/>
        <v>0</v>
      </c>
      <c r="J2533" s="146"/>
      <c r="K2533" s="146"/>
      <c r="L2533" s="117"/>
      <c r="M2533" s="56">
        <v>1000</v>
      </c>
    </row>
    <row r="2534" spans="1:13" s="51" customFormat="1" ht="25.2" hidden="1" customHeight="1">
      <c r="A2534" s="68">
        <f t="shared" si="103"/>
        <v>0</v>
      </c>
      <c r="B2534" s="86" t="s">
        <v>443</v>
      </c>
      <c r="C2534" s="86"/>
      <c r="D2534" s="87"/>
      <c r="E2534" s="88" t="str">
        <f>VLOOKUP($B2534,[1]DG!A:D,[1]DG!$B$2,)</f>
        <v>06.3231</v>
      </c>
      <c r="F2534" s="92" t="str">
        <f>VLOOKUP($B2534,[1]DG!A:D,[1]DG!$C$2,)</f>
        <v>Cổ dê giữ ống PVC D42</v>
      </c>
      <c r="G2534" s="339" t="str">
        <f>VLOOKUP($B2534,[1]DG!A:D,[1]DG!$D$2,)</f>
        <v>bộ</v>
      </c>
      <c r="H2534" s="365"/>
      <c r="I2534" s="91">
        <f t="shared" si="101"/>
        <v>0</v>
      </c>
      <c r="J2534" s="146"/>
      <c r="K2534" s="146"/>
      <c r="L2534" s="117"/>
      <c r="M2534" s="56">
        <v>1000</v>
      </c>
    </row>
    <row r="2535" spans="1:13" s="51" customFormat="1" ht="25.2" hidden="1" customHeight="1">
      <c r="A2535" s="68">
        <f t="shared" si="103"/>
        <v>0</v>
      </c>
      <c r="B2535" s="69" t="s">
        <v>444</v>
      </c>
      <c r="C2535" s="69"/>
      <c r="D2535" s="87"/>
      <c r="E2535" s="88">
        <f>VLOOKUP($B2535,[1]DG!A:D,[1]DG!$B$2,)</f>
        <v>0</v>
      </c>
      <c r="F2535" s="92" t="str">
        <f>VLOOKUP($B2535,[1]DG!A:D,[1]DG!$C$2,)</f>
        <v>Co 90 độ PVC 42</v>
      </c>
      <c r="G2535" s="339" t="str">
        <f>VLOOKUP($B2535,[1]DG!A:D,[1]DG!$D$2,)</f>
        <v>cái</v>
      </c>
      <c r="H2535" s="365"/>
      <c r="I2535" s="91">
        <f t="shared" si="101"/>
        <v>0</v>
      </c>
      <c r="J2535" s="146"/>
      <c r="K2535" s="146"/>
      <c r="L2535" s="117"/>
      <c r="M2535" s="56">
        <v>1000</v>
      </c>
    </row>
    <row r="2536" spans="1:13" s="51" customFormat="1" ht="25.2" hidden="1" customHeight="1">
      <c r="A2536" s="68">
        <f t="shared" si="103"/>
        <v>0</v>
      </c>
      <c r="B2536" s="69" t="s">
        <v>427</v>
      </c>
      <c r="C2536" s="69"/>
      <c r="D2536" s="87"/>
      <c r="E2536" s="88">
        <f>VLOOKUP($B2536,[1]DG!A:D,[1]DG!$B$2,)</f>
        <v>0</v>
      </c>
      <c r="F2536" s="92" t="str">
        <f>VLOOKUP($B2536,[1]DG!A:D,[1]DG!$C$2,)</f>
        <v>Co chữ T ống PVC 42</v>
      </c>
      <c r="G2536" s="339" t="str">
        <f>VLOOKUP($B2536,[1]DG!A:D,[1]DG!$D$2,)</f>
        <v>cái</v>
      </c>
      <c r="H2536" s="365"/>
      <c r="I2536" s="91">
        <f t="shared" si="101"/>
        <v>0</v>
      </c>
      <c r="J2536" s="146"/>
      <c r="K2536" s="146"/>
      <c r="L2536" s="117"/>
      <c r="M2536" s="56">
        <v>1000</v>
      </c>
    </row>
    <row r="2537" spans="1:13" s="51" customFormat="1" ht="25.2" hidden="1" customHeight="1">
      <c r="A2537" s="68">
        <f t="shared" si="103"/>
        <v>0</v>
      </c>
      <c r="B2537" s="69" t="s">
        <v>445</v>
      </c>
      <c r="C2537" s="69"/>
      <c r="D2537" s="87"/>
      <c r="E2537" s="88">
        <f>VLOOKUP($B2537,[1]DG!A:D,[1]DG!$B$2,)</f>
        <v>0</v>
      </c>
      <c r="F2537" s="92" t="str">
        <f>VLOOKUP($B2537,[1]DG!A:D,[1]DG!$C$2,)</f>
        <v>Nối thẳng ống PVC 42</v>
      </c>
      <c r="G2537" s="339" t="str">
        <f>VLOOKUP($B2537,[1]DG!A:D,[1]DG!$D$2,)</f>
        <v>cái</v>
      </c>
      <c r="H2537" s="365"/>
      <c r="I2537" s="91">
        <f t="shared" si="101"/>
        <v>0</v>
      </c>
      <c r="J2537" s="146"/>
      <c r="K2537" s="146"/>
      <c r="L2537" s="117"/>
      <c r="M2537" s="56">
        <v>1000</v>
      </c>
    </row>
    <row r="2538" spans="1:13" s="51" customFormat="1" ht="25.2" hidden="1" customHeight="1">
      <c r="A2538" s="68">
        <f t="shared" si="103"/>
        <v>0</v>
      </c>
      <c r="B2538" s="69" t="s">
        <v>98</v>
      </c>
      <c r="C2538" s="69"/>
      <c r="D2538" s="87"/>
      <c r="E2538" s="88">
        <f>VLOOKUP($B2538,[1]DG!A:D,[1]DG!$B$2,)</f>
        <v>0</v>
      </c>
      <c r="F2538" s="92" t="str">
        <f>VLOOKUP($B2538,[1]DG!A:D,[1]DG!$C$2,)&amp;" ñaáu TU"</f>
        <v>Cáp 24KV CX-25mm2 ñaáu TU</v>
      </c>
      <c r="G2538" s="339" t="str">
        <f>VLOOKUP($B2538,[1]DG!A:D,[1]DG!$D$2,)</f>
        <v>mét</v>
      </c>
      <c r="H2538" s="365"/>
      <c r="I2538" s="91">
        <f t="shared" si="101"/>
        <v>0</v>
      </c>
      <c r="J2538" s="146"/>
      <c r="K2538" s="146"/>
      <c r="L2538" s="117"/>
      <c r="M2538" s="56">
        <v>1000</v>
      </c>
    </row>
    <row r="2539" spans="1:13" s="51" customFormat="1" ht="25.2" hidden="1" customHeight="1">
      <c r="A2539" s="68">
        <f t="shared" si="103"/>
        <v>0</v>
      </c>
      <c r="B2539" s="69" t="s">
        <v>446</v>
      </c>
      <c r="C2539" s="69"/>
      <c r="D2539" s="87"/>
      <c r="E2539" s="88">
        <f>VLOOKUP($B2539,[1]DG!A:D,[1]DG!$B$2,)</f>
        <v>0</v>
      </c>
      <c r="F2539" s="92" t="str">
        <f>VLOOKUP($B2539,[1]DG!A:D,[1]DG!$C$2,)</f>
        <v>Keo dán ống PVC (500gr)</v>
      </c>
      <c r="G2539" s="339" t="str">
        <f>VLOOKUP($B2539,[1]DG!A:D,[1]DG!$D$2,)</f>
        <v>lon</v>
      </c>
      <c r="H2539" s="365"/>
      <c r="I2539" s="91">
        <f t="shared" si="101"/>
        <v>0</v>
      </c>
      <c r="J2539" s="146"/>
      <c r="K2539" s="146"/>
      <c r="L2539" s="117"/>
      <c r="M2539" s="56">
        <v>1000</v>
      </c>
    </row>
    <row r="2540" spans="1:13" s="51" customFormat="1" ht="25.2" hidden="1" customHeight="1">
      <c r="A2540" s="68">
        <f t="shared" si="103"/>
        <v>0</v>
      </c>
      <c r="B2540" s="86" t="s">
        <v>148</v>
      </c>
      <c r="C2540" s="86"/>
      <c r="D2540" s="87"/>
      <c r="E2540" s="88">
        <f>VLOOKUP($B2540,[1]DG!A:D,[1]DG!$B$2,)</f>
        <v>0</v>
      </c>
      <c r="F2540" s="92" t="str">
        <f>VLOOKUP($B2540,[1]DG!A:D,[1]DG!$C$2,)</f>
        <v>Băng keo cách điện</v>
      </c>
      <c r="G2540" s="339" t="str">
        <f>VLOOKUP($B2540,[1]DG!A:D,[1]DG!$D$2,)</f>
        <v>cuộn</v>
      </c>
      <c r="H2540" s="365"/>
      <c r="I2540" s="91">
        <f t="shared" si="101"/>
        <v>0</v>
      </c>
      <c r="J2540" s="146"/>
      <c r="K2540" s="146"/>
      <c r="L2540" s="117"/>
      <c r="M2540" s="56">
        <v>1000</v>
      </c>
    </row>
    <row r="2541" spans="1:13" s="51" customFormat="1" ht="25.2" hidden="1" customHeight="1">
      <c r="A2541" s="68">
        <f t="shared" si="103"/>
        <v>0</v>
      </c>
      <c r="B2541" s="69" t="s">
        <v>428</v>
      </c>
      <c r="C2541" s="69"/>
      <c r="D2541" s="87"/>
      <c r="E2541" s="88">
        <f>VLOOKUP($B2541,[1]DG!A:D,[1]DG!$B$2,)</f>
        <v>0</v>
      </c>
      <c r="F2541" s="92" t="str">
        <f>VLOOKUP($B2541,[1]DG!A:D,[1]DG!$C$2,)</f>
        <v>Khâu ven răng trong D42</v>
      </c>
      <c r="G2541" s="339" t="str">
        <f>VLOOKUP($B2541,[1]DG!A:D,[1]DG!$D$2,)</f>
        <v>cái</v>
      </c>
      <c r="H2541" s="365"/>
      <c r="I2541" s="91">
        <f t="shared" si="101"/>
        <v>0</v>
      </c>
      <c r="J2541" s="146"/>
      <c r="K2541" s="146"/>
      <c r="L2541" s="117"/>
      <c r="M2541" s="56">
        <v>1000</v>
      </c>
    </row>
    <row r="2542" spans="1:13" s="51" customFormat="1" ht="25.2" hidden="1" customHeight="1">
      <c r="A2542" s="68">
        <f t="shared" si="103"/>
        <v>0</v>
      </c>
      <c r="B2542" s="86" t="s">
        <v>429</v>
      </c>
      <c r="C2542" s="86"/>
      <c r="D2542" s="87"/>
      <c r="E2542" s="88">
        <f>VLOOKUP($B2542,[1]DG!A:D,[1]DG!$B$2,)</f>
        <v>0</v>
      </c>
      <c r="F2542" s="92" t="str">
        <f>VLOOKUP($B2542,[1]DG!A:D,[1]DG!$C$2,)</f>
        <v>Khâu ven răng ngoài D42</v>
      </c>
      <c r="G2542" s="339" t="str">
        <f>VLOOKUP($B2542,[1]DG!A:D,[1]DG!$D$2,)</f>
        <v>cái</v>
      </c>
      <c r="H2542" s="365"/>
      <c r="I2542" s="91">
        <f t="shared" si="101"/>
        <v>0</v>
      </c>
      <c r="J2542" s="146"/>
      <c r="K2542" s="146"/>
      <c r="L2542" s="117"/>
      <c r="M2542" s="56">
        <v>1000</v>
      </c>
    </row>
    <row r="2543" spans="1:13" s="51" customFormat="1" ht="25.2" hidden="1" customHeight="1">
      <c r="A2543" s="68">
        <f t="shared" si="103"/>
        <v>0</v>
      </c>
      <c r="B2543" s="86" t="s">
        <v>317</v>
      </c>
      <c r="C2543" s="86"/>
      <c r="D2543" s="87"/>
      <c r="E2543" s="88" t="str">
        <f>VLOOKUP($B2543,[1]DG!A:D,[1]DG!$B$2,)</f>
        <v>06.3231</v>
      </c>
      <c r="F2543" s="92" t="str">
        <f>VLOOKUP($B2543,[1]DG!A:D,[1]DG!$C$2,)</f>
        <v>Cổ dê CDĐKĐT( bắt thùng điện kế)</v>
      </c>
      <c r="G2543" s="339" t="str">
        <f>VLOOKUP($B2543,[1]DG!A:D,[1]DG!$D$2,)</f>
        <v>bộ</v>
      </c>
      <c r="H2543" s="365"/>
      <c r="I2543" s="91">
        <f t="shared" si="101"/>
        <v>0</v>
      </c>
      <c r="J2543" s="146"/>
      <c r="K2543" s="146"/>
      <c r="L2543" s="117"/>
      <c r="M2543" s="56">
        <v>1000</v>
      </c>
    </row>
    <row r="2544" spans="1:13" s="51" customFormat="1" ht="25.2" hidden="1" customHeight="1">
      <c r="A2544" s="68">
        <f t="shared" si="103"/>
        <v>0</v>
      </c>
      <c r="B2544" s="86" t="s">
        <v>447</v>
      </c>
      <c r="C2544" s="86"/>
      <c r="D2544" s="87"/>
      <c r="E2544" s="88" t="str">
        <f>VLOOKUP($B2544,[1]DG!A:D,[1]DG!$B$2,)</f>
        <v>05.1101</v>
      </c>
      <c r="F2544" s="92" t="str">
        <f>VLOOKUP($B2544,[1]DG!A:D,[1]DG!$C$2,)</f>
        <v>Thùng điện kế 450x300x200mm đo đếm trung thế</v>
      </c>
      <c r="G2544" s="339" t="str">
        <f>VLOOKUP($B2544,[1]DG!A:D,[1]DG!$D$2,)</f>
        <v>cái</v>
      </c>
      <c r="H2544" s="365"/>
      <c r="I2544" s="91">
        <f t="shared" si="101"/>
        <v>0</v>
      </c>
      <c r="J2544" s="146"/>
      <c r="K2544" s="146"/>
      <c r="L2544" s="117"/>
      <c r="M2544" s="56">
        <v>1000</v>
      </c>
    </row>
    <row r="2545" spans="1:13" s="51" customFormat="1" ht="25.2" hidden="1" customHeight="1">
      <c r="A2545" s="68">
        <f t="shared" si="103"/>
        <v>0</v>
      </c>
      <c r="B2545" s="86" t="s">
        <v>436</v>
      </c>
      <c r="C2545" s="86"/>
      <c r="D2545" s="87"/>
      <c r="E2545" s="88">
        <f>VLOOKUP($B2545,[1]DG!A:D,[1]DG!$B$2,)</f>
        <v>0</v>
      </c>
      <c r="F2545" s="92" t="str">
        <f>VLOOKUP($B2545,[1]DG!A:D,[1]DG!$C$2,)</f>
        <v>Keo silicon bít miệng ống</v>
      </c>
      <c r="G2545" s="339" t="str">
        <f>VLOOKUP($B2545,[1]DG!A:D,[1]DG!$D$2,)</f>
        <v>ống</v>
      </c>
      <c r="H2545" s="365"/>
      <c r="I2545" s="91">
        <f t="shared" si="101"/>
        <v>0</v>
      </c>
      <c r="J2545" s="146"/>
      <c r="K2545" s="146"/>
      <c r="L2545" s="117"/>
      <c r="M2545" s="56">
        <v>1000</v>
      </c>
    </row>
    <row r="2546" spans="1:13" s="51" customFormat="1" ht="25.2" hidden="1" customHeight="1">
      <c r="A2546" s="68">
        <f t="shared" si="103"/>
        <v>0</v>
      </c>
      <c r="B2546" s="86" t="s">
        <v>448</v>
      </c>
      <c r="C2546" s="86"/>
      <c r="D2546" s="87"/>
      <c r="E2546" s="88">
        <f>VLOOKUP($B2546,[1]DG!A:D,[1]DG!$B$2,)</f>
        <v>0</v>
      </c>
      <c r="F2546" s="92" t="str">
        <f>VLOOKUP($B2546,[1]DG!A:D,[1]DG!$C$2,)</f>
        <v>Dây đồng trần mềm dẹt</v>
      </c>
      <c r="G2546" s="339" t="str">
        <f>VLOOKUP($B2546,[1]DG!A:D,[1]DG!$D$2,)</f>
        <v>mét</v>
      </c>
      <c r="H2546" s="365"/>
      <c r="I2546" s="91">
        <f t="shared" si="101"/>
        <v>0</v>
      </c>
      <c r="J2546" s="146"/>
      <c r="K2546" s="146"/>
      <c r="L2546" s="117"/>
      <c r="M2546" s="56">
        <v>1000</v>
      </c>
    </row>
    <row r="2547" spans="1:13" s="51" customFormat="1" ht="25.2" hidden="1" customHeight="1">
      <c r="A2547" s="68">
        <f t="shared" si="103"/>
        <v>0</v>
      </c>
      <c r="B2547" s="86" t="s">
        <v>378</v>
      </c>
      <c r="C2547" s="86"/>
      <c r="D2547" s="87"/>
      <c r="E2547" s="88">
        <v>0</v>
      </c>
      <c r="F2547" s="92" t="str">
        <f>VLOOKUP($B2547,[1]DG!A:D,[1]DG!$C$2,)&amp;" : 2 thanh daøi 0,5m"</f>
        <v>Sắt góc L50 x50 x5 : 2 thanh daøi 0,5m</v>
      </c>
      <c r="G2547" s="339" t="str">
        <f>VLOOKUP($B2547,[1]DG!A:D,[1]DG!$D$2,)</f>
        <v>kg</v>
      </c>
      <c r="H2547" s="365"/>
      <c r="I2547" s="91">
        <f t="shared" si="101"/>
        <v>0</v>
      </c>
      <c r="J2547" s="146"/>
      <c r="K2547" s="146"/>
      <c r="L2547" s="117"/>
      <c r="M2547" s="56">
        <v>1000</v>
      </c>
    </row>
    <row r="2548" spans="1:13" s="51" customFormat="1" ht="25.2" hidden="1" customHeight="1">
      <c r="A2548" s="68">
        <f t="shared" si="103"/>
        <v>0</v>
      </c>
      <c r="B2548" s="86" t="s">
        <v>157</v>
      </c>
      <c r="C2548" s="86"/>
      <c r="D2548" s="87"/>
      <c r="E2548" s="88">
        <v>0</v>
      </c>
      <c r="F2548" s="372" t="str">
        <f>VLOOKUP($B2548,[1]DG!A:D,[1]DG!$C$2,)&amp;" baét thuøng ÑKÑT"</f>
        <v>Boulon 12x60+ 2 long đền vuông D14-50x50x3/Zn baét thuøng ÑKÑT</v>
      </c>
      <c r="G2548" s="339" t="str">
        <f>VLOOKUP($B2548,[1]DG!A:D,[1]DG!$D$2,)</f>
        <v>bộ</v>
      </c>
      <c r="H2548" s="365"/>
      <c r="I2548" s="91">
        <f t="shared" si="101"/>
        <v>0</v>
      </c>
      <c r="J2548" s="146"/>
      <c r="K2548" s="146"/>
      <c r="L2548" s="117"/>
      <c r="M2548" s="56">
        <v>1000</v>
      </c>
    </row>
    <row r="2549" spans="1:13" s="51" customFormat="1" ht="25.2" hidden="1" customHeight="1">
      <c r="A2549" s="68">
        <f t="shared" si="103"/>
        <v>0</v>
      </c>
      <c r="B2549" s="86" t="s">
        <v>436</v>
      </c>
      <c r="C2549" s="86"/>
      <c r="D2549" s="276"/>
      <c r="E2549" s="277"/>
      <c r="F2549" s="267" t="s">
        <v>587</v>
      </c>
      <c r="G2549" s="267"/>
      <c r="H2549" s="373"/>
      <c r="I2549" s="91">
        <f t="shared" si="101"/>
        <v>0</v>
      </c>
      <c r="J2549" s="267"/>
      <c r="K2549" s="267"/>
      <c r="L2549" s="133"/>
      <c r="M2549" s="56">
        <v>1000</v>
      </c>
    </row>
    <row r="2550" spans="1:13" s="51" customFormat="1" ht="25.2" hidden="1" customHeight="1">
      <c r="A2550" s="68">
        <f t="shared" si="103"/>
        <v>0</v>
      </c>
      <c r="B2550" s="86" t="s">
        <v>588</v>
      </c>
      <c r="C2550" s="86"/>
      <c r="D2550" s="87"/>
      <c r="E2550" s="88" t="str">
        <f>VLOOKUP($B2550,[1]DG!A:D,[1]DG!$B$2,)</f>
        <v>06.3241</v>
      </c>
      <c r="F2550" s="92" t="s">
        <v>589</v>
      </c>
      <c r="G2550" s="339" t="str">
        <f>VLOOKUP($B2550,[1]DG!A:D,[1]DG!$D$2,)</f>
        <v>bộ</v>
      </c>
      <c r="H2550" s="365"/>
      <c r="I2550" s="91">
        <f t="shared" si="101"/>
        <v>0</v>
      </c>
      <c r="J2550" s="146"/>
      <c r="K2550" s="146"/>
      <c r="L2550" s="117"/>
      <c r="M2550" s="56">
        <v>1000</v>
      </c>
    </row>
    <row r="2551" spans="1:13" s="51" customFormat="1" ht="25.2" hidden="1" customHeight="1">
      <c r="A2551" s="68">
        <f t="shared" si="103"/>
        <v>0</v>
      </c>
      <c r="B2551" s="86" t="s">
        <v>590</v>
      </c>
      <c r="C2551" s="86"/>
      <c r="D2551" s="87"/>
      <c r="E2551" s="88" t="str">
        <f>VLOOKUP($B2551,[1]DG!A:D,[1]DG!$B$2,)</f>
        <v>05.6011</v>
      </c>
      <c r="F2551" s="92" t="s">
        <v>455</v>
      </c>
      <c r="G2551" s="339" t="str">
        <f>VLOOKUP($B2551,[1]DG!A:D,[1]DG!$D$2,)</f>
        <v>bộ</v>
      </c>
      <c r="H2551" s="365"/>
      <c r="I2551" s="91">
        <f t="shared" si="101"/>
        <v>0</v>
      </c>
      <c r="J2551" s="146"/>
      <c r="K2551" s="146"/>
      <c r="L2551" s="117"/>
      <c r="M2551" s="56">
        <v>1000</v>
      </c>
    </row>
    <row r="2552" spans="1:13" s="51" customFormat="1" ht="25.2" hidden="1" customHeight="1">
      <c r="A2552" s="68">
        <f t="shared" si="103"/>
        <v>0</v>
      </c>
      <c r="B2552" s="86" t="s">
        <v>157</v>
      </c>
      <c r="C2552" s="86"/>
      <c r="D2552" s="87"/>
      <c r="E2552" s="88">
        <f>VLOOKUP($B2552,[1]DG!A:D,[1]DG!$B$2,)</f>
        <v>0</v>
      </c>
      <c r="F2552" s="372" t="str">
        <f>VLOOKUP($B2552,[1]DG!A:D,[1]DG!$C$2,)&amp;" baét thuøng ÑKÑT"</f>
        <v>Boulon 12x60+ 2 long đền vuông D14-50x50x3/Zn baét thuøng ÑKÑT</v>
      </c>
      <c r="G2552" s="339" t="str">
        <f>VLOOKUP($B2552,[1]DG!A:D,[1]DG!$D$2,)</f>
        <v>bộ</v>
      </c>
      <c r="H2552" s="365"/>
      <c r="I2552" s="91">
        <f t="shared" si="101"/>
        <v>0</v>
      </c>
      <c r="J2552" s="146"/>
      <c r="K2552" s="146"/>
      <c r="L2552" s="117"/>
      <c r="M2552" s="56">
        <v>1000</v>
      </c>
    </row>
    <row r="2553" spans="1:13" s="51" customFormat="1" ht="25.2" hidden="1" customHeight="1">
      <c r="A2553" s="68">
        <f t="shared" si="103"/>
        <v>0</v>
      </c>
      <c r="B2553" s="86"/>
      <c r="C2553" s="86"/>
      <c r="D2553" s="295"/>
      <c r="E2553" s="296"/>
      <c r="F2553" s="267"/>
      <c r="G2553" s="297"/>
      <c r="H2553" s="298"/>
      <c r="I2553" s="91">
        <f t="shared" si="101"/>
        <v>0</v>
      </c>
      <c r="J2553" s="342"/>
      <c r="K2553" s="343"/>
      <c r="L2553" s="133"/>
      <c r="M2553" s="56"/>
    </row>
    <row r="2554" spans="1:13" s="51" customFormat="1" ht="25.2" hidden="1" customHeight="1">
      <c r="A2554" s="68">
        <f t="shared" si="103"/>
        <v>0</v>
      </c>
      <c r="B2554" s="86"/>
      <c r="C2554" s="86"/>
      <c r="F2554" s="344"/>
      <c r="H2554" s="66"/>
      <c r="I2554" s="91">
        <f t="shared" ref="I2554:I2617" si="104">IF(M2554=$M$23,H2554+J2554-K2554,0)</f>
        <v>0</v>
      </c>
      <c r="M2554" s="56"/>
    </row>
    <row r="2555" spans="1:13" s="51" customFormat="1" ht="25.2" hidden="1" customHeight="1">
      <c r="A2555" s="68">
        <f t="shared" si="103"/>
        <v>0</v>
      </c>
      <c r="B2555" s="262"/>
      <c r="C2555" s="262"/>
      <c r="D2555" s="263" t="e">
        <f>"BAÛNG TOÅNG HÔÏP VAÄT LIEÄU, NHAÂN COÂNG, MAÙY THI COÂNG : "&amp;#REF!&amp;" TRAÏM 3P_2,000KVA"</f>
        <v>#REF!</v>
      </c>
      <c r="E2555" s="263"/>
      <c r="F2555" s="263"/>
      <c r="G2555" s="263"/>
      <c r="H2555" s="264"/>
      <c r="I2555" s="91">
        <f t="shared" si="104"/>
        <v>0</v>
      </c>
      <c r="J2555" s="345"/>
      <c r="K2555" s="345"/>
      <c r="L2555" s="346"/>
      <c r="M2555" s="56"/>
    </row>
    <row r="2556" spans="1:13" s="51" customFormat="1" ht="25.2" hidden="1" customHeight="1">
      <c r="A2556" s="68">
        <f t="shared" si="103"/>
        <v>0</v>
      </c>
      <c r="B2556" s="69"/>
      <c r="C2556" s="69"/>
      <c r="D2556" s="265"/>
      <c r="E2556" s="266"/>
      <c r="F2556" s="267" t="s">
        <v>53</v>
      </c>
      <c r="G2556" s="268"/>
      <c r="H2556" s="305"/>
      <c r="I2556" s="91">
        <f t="shared" si="104"/>
        <v>0</v>
      </c>
      <c r="J2556" s="268"/>
      <c r="K2556" s="268"/>
      <c r="L2556" s="133"/>
      <c r="M2556" s="56">
        <v>2000</v>
      </c>
    </row>
    <row r="2557" spans="1:13" s="51" customFormat="1" ht="25.2" hidden="1" customHeight="1">
      <c r="A2557" s="68">
        <f t="shared" si="103"/>
        <v>0</v>
      </c>
      <c r="B2557" s="86" t="s">
        <v>591</v>
      </c>
      <c r="C2557" s="86"/>
      <c r="D2557" s="87">
        <f>IF(H2557&gt;0,1,0)</f>
        <v>0</v>
      </c>
      <c r="E2557" s="88" t="str">
        <f>VLOOKUP($B2557,[1]DG!A:D,[1]DG!$B$2,)</f>
        <v>01.1147</v>
      </c>
      <c r="F2557" s="89" t="str">
        <f>VLOOKUP($B2557,[1]DG!A:D,[1]DG!$C$2,)</f>
        <v>Máy biến áp 22/0,4kV- 2000kVA</v>
      </c>
      <c r="G2557" s="88" t="str">
        <f>VLOOKUP($B2557,[1]DG!A:D,[1]DG!$D$2,)</f>
        <v>máy</v>
      </c>
      <c r="H2557" s="306">
        <f>L17</f>
        <v>0</v>
      </c>
      <c r="I2557" s="91">
        <f t="shared" si="104"/>
        <v>0</v>
      </c>
      <c r="J2557" s="92"/>
      <c r="K2557" s="92"/>
      <c r="L2557" s="366"/>
      <c r="M2557" s="56">
        <v>2000</v>
      </c>
    </row>
    <row r="2558" spans="1:13" s="51" customFormat="1" ht="25.2" hidden="1" customHeight="1">
      <c r="A2558" s="68">
        <f t="shared" si="103"/>
        <v>0</v>
      </c>
      <c r="B2558" s="86" t="s">
        <v>556</v>
      </c>
      <c r="C2558" s="86"/>
      <c r="D2558" s="87">
        <f t="shared" ref="D2558:D2564" si="105">IF(H2558&gt;0,D2557+1,D2557)</f>
        <v>0</v>
      </c>
      <c r="E2558" s="88" t="str">
        <f>VLOOKUP($B2558,[1]DG!A:D,[1]DG!$B$2,)</f>
        <v>02.3302</v>
      </c>
      <c r="F2558" s="89" t="str">
        <f>VLOOKUP($B2558,[1]DG!A:D,[1]DG!$C$2,)</f>
        <v xml:space="preserve">DS 3P - 24KV - 630A </v>
      </c>
      <c r="G2558" s="88" t="str">
        <f>VLOOKUP($B2558,[1]DG!A:D,[1]DG!$D$2,)</f>
        <v>bộ</v>
      </c>
      <c r="H2558" s="145">
        <f>+H2557</f>
        <v>0</v>
      </c>
      <c r="I2558" s="91">
        <f t="shared" si="104"/>
        <v>0</v>
      </c>
      <c r="J2558" s="92"/>
      <c r="K2558" s="92"/>
      <c r="L2558" s="117"/>
      <c r="M2558" s="56">
        <v>2000</v>
      </c>
    </row>
    <row r="2559" spans="1:13" s="51" customFormat="1" ht="25.2" hidden="1" customHeight="1">
      <c r="A2559" s="68">
        <f t="shared" si="103"/>
        <v>0</v>
      </c>
      <c r="B2559" s="69" t="s">
        <v>557</v>
      </c>
      <c r="C2559" s="69"/>
      <c r="D2559" s="87">
        <f t="shared" si="105"/>
        <v>0</v>
      </c>
      <c r="E2559" s="88" t="str">
        <f>VLOOKUP($B2559,[1]DG!A:D,[1]DG!$B$2,)</f>
        <v>05.2102</v>
      </c>
      <c r="F2559" s="89" t="str">
        <f>VLOOKUP($B2559,[1]DG!A:D,[1]DG!$C$2,)</f>
        <v>Tủ LBS 3 pha 630-800A</v>
      </c>
      <c r="G2559" s="88" t="str">
        <f>VLOOKUP($B2559,[1]DG!A:D,[1]DG!$D$2,)</f>
        <v>tủ</v>
      </c>
      <c r="H2559" s="145">
        <f>H2557</f>
        <v>0</v>
      </c>
      <c r="I2559" s="91">
        <f t="shared" si="104"/>
        <v>0</v>
      </c>
      <c r="J2559" s="92"/>
      <c r="K2559" s="92"/>
      <c r="L2559" s="96" t="s">
        <v>558</v>
      </c>
      <c r="M2559" s="56">
        <v>2000</v>
      </c>
    </row>
    <row r="2560" spans="1:13" s="51" customFormat="1" ht="25.2" hidden="1" customHeight="1">
      <c r="A2560" s="68">
        <f t="shared" si="103"/>
        <v>0</v>
      </c>
      <c r="B2560" s="86" t="s">
        <v>56</v>
      </c>
      <c r="C2560" s="86"/>
      <c r="D2560" s="87">
        <f t="shared" si="105"/>
        <v>0</v>
      </c>
      <c r="E2560" s="88" t="str">
        <f>VLOOKUP($B2560,[1]DG!A:D,[1]DG!$B$2,)</f>
        <v>02.3155</v>
      </c>
      <c r="F2560" s="89" t="str">
        <f>VLOOKUP($B2560,[1]DG!A:D,[1]DG!$C$2,)</f>
        <v>FCO 27kV - 100A</v>
      </c>
      <c r="G2560" s="88" t="str">
        <f>VLOOKUP($B2560,[1]DG!A:D,[1]DG!$D$2,)</f>
        <v>cái</v>
      </c>
      <c r="H2560" s="145">
        <f>+H2557*3</f>
        <v>0</v>
      </c>
      <c r="I2560" s="91">
        <f t="shared" si="104"/>
        <v>0</v>
      </c>
      <c r="J2560" s="146"/>
      <c r="K2560" s="146"/>
      <c r="L2560" s="117"/>
      <c r="M2560" s="56">
        <v>2000</v>
      </c>
    </row>
    <row r="2561" spans="1:13" s="51" customFormat="1" ht="25.2" hidden="1" customHeight="1">
      <c r="A2561" s="68">
        <f t="shared" si="103"/>
        <v>0</v>
      </c>
      <c r="B2561" s="69" t="s">
        <v>592</v>
      </c>
      <c r="C2561" s="69"/>
      <c r="D2561" s="87">
        <f t="shared" si="105"/>
        <v>0</v>
      </c>
      <c r="E2561" s="88">
        <f>VLOOKUP($B2561,[1]DG!A:D,[1]DG!$B$2,)</f>
        <v>0</v>
      </c>
      <c r="F2561" s="89" t="str">
        <f>VLOOKUP($B2561,[1]DG!A:D,[1]DG!$C$2,)</f>
        <v>Dây chảy 30K</v>
      </c>
      <c r="G2561" s="88" t="str">
        <f>VLOOKUP($B2561,[1]DG!A:D,[1]DG!$D$2,)</f>
        <v>Sợi</v>
      </c>
      <c r="H2561" s="145">
        <f>H2560</f>
        <v>0</v>
      </c>
      <c r="I2561" s="91">
        <f t="shared" si="104"/>
        <v>0</v>
      </c>
      <c r="J2561" s="146"/>
      <c r="K2561" s="146"/>
      <c r="L2561" s="117"/>
      <c r="M2561" s="56">
        <v>2000</v>
      </c>
    </row>
    <row r="2562" spans="1:13" s="51" customFormat="1" ht="25.2" hidden="1" customHeight="1">
      <c r="A2562" s="68">
        <f t="shared" si="103"/>
        <v>0</v>
      </c>
      <c r="B2562" s="69" t="s">
        <v>58</v>
      </c>
      <c r="C2562" s="69"/>
      <c r="D2562" s="87">
        <f t="shared" si="105"/>
        <v>0</v>
      </c>
      <c r="E2562" s="88" t="str">
        <f>VLOOKUP($B2562,[1]DG!A:D,[1]DG!$B$2,)</f>
        <v>02.5114</v>
      </c>
      <c r="F2562" s="89" t="str">
        <f>VLOOKUP($B2562,[1]DG!A:D,[1]DG!$C$2,)</f>
        <v>Chống sét van LA-18KV-10KA</v>
      </c>
      <c r="G2562" s="88" t="str">
        <f>VLOOKUP($B2562,[1]DG!A:D,[1]DG!$D$2,)</f>
        <v>cái</v>
      </c>
      <c r="H2562" s="145">
        <f>H2557*3</f>
        <v>0</v>
      </c>
      <c r="I2562" s="91">
        <f t="shared" si="104"/>
        <v>0</v>
      </c>
      <c r="J2562" s="146"/>
      <c r="K2562" s="146"/>
      <c r="L2562" s="117"/>
      <c r="M2562" s="56">
        <v>2000</v>
      </c>
    </row>
    <row r="2563" spans="1:13" s="51" customFormat="1" ht="25.2" hidden="1" customHeight="1">
      <c r="A2563" s="68">
        <f t="shared" si="103"/>
        <v>0</v>
      </c>
      <c r="B2563" s="86" t="s">
        <v>525</v>
      </c>
      <c r="C2563" s="86"/>
      <c r="D2563" s="87">
        <f t="shared" si="105"/>
        <v>0</v>
      </c>
      <c r="E2563" s="88" t="str">
        <f>VLOOKUP($B2563,[1]DG!A:D,[1]DG!$B$2,)</f>
        <v>02.8404</v>
      </c>
      <c r="F2563" s="89" t="str">
        <f>VLOOKUP($B2563,[1]DG!A:D,[1]DG!$C$2,)</f>
        <v>MCCB 3 cực 400V -1000A - 50KA</v>
      </c>
      <c r="G2563" s="88" t="str">
        <f>VLOOKUP($B2563,[1]DG!A:D,[1]DG!$D$2,)</f>
        <v>cái</v>
      </c>
      <c r="H2563" s="145">
        <f>H2557</f>
        <v>0</v>
      </c>
      <c r="I2563" s="91">
        <f t="shared" si="104"/>
        <v>0</v>
      </c>
      <c r="J2563" s="146"/>
      <c r="K2563" s="146"/>
      <c r="L2563" s="117"/>
      <c r="M2563" s="56">
        <v>2000</v>
      </c>
    </row>
    <row r="2564" spans="1:13" s="51" customFormat="1" ht="25.2" hidden="1" customHeight="1">
      <c r="A2564" s="68">
        <f t="shared" si="103"/>
        <v>0</v>
      </c>
      <c r="B2564" s="86" t="s">
        <v>593</v>
      </c>
      <c r="C2564" s="86"/>
      <c r="D2564" s="87">
        <f t="shared" si="105"/>
        <v>0</v>
      </c>
      <c r="E2564" s="88" t="str">
        <f>VLOOKUP($B2564,[1]DG!A:D,[1]DG!$B$2,)</f>
        <v>02.8534</v>
      </c>
      <c r="F2564" s="89" t="str">
        <f>VLOOKUP($B2564,[1]DG!A:D,[1]DG!$C$2,)</f>
        <v>Tủ tụ bù hạ thế 220kVAr</v>
      </c>
      <c r="G2564" s="88" t="str">
        <f>VLOOKUP($B2564,[1]DG!A:D,[1]DG!$D$2,)</f>
        <v>tủ</v>
      </c>
      <c r="H2564" s="145">
        <f>H2563</f>
        <v>0</v>
      </c>
      <c r="I2564" s="91">
        <f t="shared" si="104"/>
        <v>0</v>
      </c>
      <c r="J2564" s="146"/>
      <c r="K2564" s="146"/>
      <c r="L2564" s="117"/>
      <c r="M2564" s="56">
        <v>2000</v>
      </c>
    </row>
    <row r="2565" spans="1:13" s="51" customFormat="1" ht="25.2" hidden="1" customHeight="1">
      <c r="A2565" s="68">
        <f t="shared" si="103"/>
        <v>0</v>
      </c>
      <c r="B2565" s="86" t="s">
        <v>594</v>
      </c>
      <c r="C2565" s="86"/>
      <c r="D2565" s="87">
        <f>IF(H2565&gt;0,D2563+1,D2563)</f>
        <v>0</v>
      </c>
      <c r="E2565" s="88">
        <f>VLOOKUP($B2565,[1]DG!A:D,[1]DG!$B$2,)</f>
        <v>0</v>
      </c>
      <c r="F2565" s="89" t="str">
        <f>VLOOKUP($B2565,[1]DG!A:D,[1]DG!$C$2,)</f>
        <v>Biến dòng 600V - 800/5A</v>
      </c>
      <c r="G2565" s="88" t="str">
        <f>VLOOKUP($B2565,[1]DG!A:D,[1]DG!$D$2,)</f>
        <v>cái</v>
      </c>
      <c r="H2565" s="308">
        <f>H2557*3</f>
        <v>0</v>
      </c>
      <c r="I2565" s="91">
        <f t="shared" si="104"/>
        <v>0</v>
      </c>
      <c r="J2565" s="146"/>
      <c r="K2565" s="146"/>
      <c r="L2565" s="309" t="s">
        <v>61</v>
      </c>
      <c r="M2565" s="56">
        <v>2000</v>
      </c>
    </row>
    <row r="2566" spans="1:13" s="51" customFormat="1" ht="25.2" hidden="1" customHeight="1">
      <c r="A2566" s="68">
        <f t="shared" si="103"/>
        <v>0</v>
      </c>
      <c r="B2566" s="86" t="s">
        <v>336</v>
      </c>
      <c r="C2566" s="86"/>
      <c r="D2566" s="87">
        <f>IF(H2566&gt;0,D2564+1,D2564)</f>
        <v>0</v>
      </c>
      <c r="E2566" s="88">
        <f>VLOOKUP($B2566,[1]DG!A:D,[1]DG!$B$2,)</f>
        <v>0</v>
      </c>
      <c r="F2566" s="89" t="str">
        <f>VLOOKUP($B2566,[1]DG!A:D,[1]DG!$C$2,)</f>
        <v>Biến dòng 600V - 250/5A</v>
      </c>
      <c r="G2566" s="88" t="str">
        <f>VLOOKUP($B2566,[1]DG!A:D,[1]DG!$D$2,)</f>
        <v>cái</v>
      </c>
      <c r="H2566" s="308">
        <f>H2557*3</f>
        <v>0</v>
      </c>
      <c r="I2566" s="91">
        <f t="shared" si="104"/>
        <v>0</v>
      </c>
      <c r="J2566" s="146"/>
      <c r="K2566" s="146"/>
      <c r="L2566" s="309" t="s">
        <v>61</v>
      </c>
      <c r="M2566" s="56">
        <v>2000</v>
      </c>
    </row>
    <row r="2567" spans="1:13" s="51" customFormat="1" ht="25.2" hidden="1" customHeight="1">
      <c r="A2567" s="68">
        <f t="shared" si="103"/>
        <v>0</v>
      </c>
      <c r="B2567" s="86" t="s">
        <v>494</v>
      </c>
      <c r="C2567" s="86"/>
      <c r="D2567" s="87">
        <f>IF(H2567&gt;0,D2566+1,D2566)</f>
        <v>0</v>
      </c>
      <c r="E2567" s="88" t="str">
        <f>VLOOKUP($B2567,[1]DG!A:D,[1]DG!$B$2,)</f>
        <v>02.1114</v>
      </c>
      <c r="F2567" s="89" t="str">
        <f>VLOOKUP($B2567,[1]DG!A:D,[1]DG!$C$2,)</f>
        <v>Biến điện áp 12000/120(60)V</v>
      </c>
      <c r="G2567" s="88" t="str">
        <f>VLOOKUP($B2567,[1]DG!A:D,[1]DG!$D$2,)</f>
        <v>cái</v>
      </c>
      <c r="H2567" s="367">
        <f>+H2566</f>
        <v>0</v>
      </c>
      <c r="I2567" s="91">
        <f t="shared" si="104"/>
        <v>0</v>
      </c>
      <c r="J2567" s="146"/>
      <c r="K2567" s="146"/>
      <c r="L2567" s="309" t="s">
        <v>61</v>
      </c>
      <c r="M2567" s="56">
        <v>2000</v>
      </c>
    </row>
    <row r="2568" spans="1:13" s="51" customFormat="1" ht="25.2" hidden="1" customHeight="1">
      <c r="A2568" s="68">
        <f t="shared" si="103"/>
        <v>0</v>
      </c>
      <c r="B2568" s="368" t="s">
        <v>258</v>
      </c>
      <c r="C2568" s="368"/>
      <c r="D2568" s="87">
        <f>IF(H2568&gt;0,D2567+1,D2567)</f>
        <v>0</v>
      </c>
      <c r="E2568" s="88" t="str">
        <f>VLOOKUP($B2568,[1]DG!A:D,[1]DG!$B$2,)</f>
        <v>05.5104</v>
      </c>
      <c r="F2568" s="89" t="str">
        <f>VLOOKUP($B2568,[1]DG!A:D,[1]DG!$C$2,)</f>
        <v>Điện kế 3 pha 4 dây 220/380V-5A</v>
      </c>
      <c r="G2568" s="88" t="str">
        <f>VLOOKUP($B2568,[1]DG!A:D,[1]DG!$D$2,)</f>
        <v>cái</v>
      </c>
      <c r="H2568" s="308">
        <f>H2557</f>
        <v>0</v>
      </c>
      <c r="I2568" s="91">
        <f t="shared" si="104"/>
        <v>0</v>
      </c>
      <c r="J2568" s="92"/>
      <c r="K2568" s="92"/>
      <c r="L2568" s="311" t="s">
        <v>61</v>
      </c>
      <c r="M2568" s="56">
        <v>2000</v>
      </c>
    </row>
    <row r="2569" spans="1:13" s="51" customFormat="1" ht="25.2" hidden="1" customHeight="1">
      <c r="A2569" s="68">
        <f t="shared" si="103"/>
        <v>0</v>
      </c>
      <c r="B2569" s="69"/>
      <c r="C2569" s="69"/>
      <c r="D2569" s="272"/>
      <c r="E2569" s="273"/>
      <c r="F2569" s="274"/>
      <c r="G2569" s="272"/>
      <c r="H2569" s="207"/>
      <c r="I2569" s="91">
        <f t="shared" si="104"/>
        <v>0</v>
      </c>
      <c r="J2569" s="274"/>
      <c r="K2569" s="272"/>
      <c r="L2569" s="133"/>
      <c r="M2569" s="56">
        <v>2000</v>
      </c>
    </row>
    <row r="2570" spans="1:13" s="51" customFormat="1" ht="25.2" hidden="1" customHeight="1">
      <c r="A2570" s="68">
        <f t="shared" si="103"/>
        <v>0</v>
      </c>
      <c r="B2570" s="69"/>
      <c r="C2570" s="69"/>
      <c r="D2570" s="276"/>
      <c r="E2570" s="277"/>
      <c r="F2570" s="267" t="s">
        <v>64</v>
      </c>
      <c r="G2570" s="267"/>
      <c r="H2570" s="191"/>
      <c r="I2570" s="91">
        <f t="shared" si="104"/>
        <v>0</v>
      </c>
      <c r="J2570" s="267"/>
      <c r="K2570" s="267"/>
      <c r="L2570" s="133"/>
      <c r="M2570" s="56">
        <v>2000</v>
      </c>
    </row>
    <row r="2571" spans="1:13" s="51" customFormat="1" ht="25.2" hidden="1" customHeight="1">
      <c r="A2571" s="68">
        <f t="shared" si="103"/>
        <v>0</v>
      </c>
      <c r="B2571" s="313"/>
      <c r="C2571" s="313"/>
      <c r="D2571" s="314">
        <f>IF(H2571&gt;0,1,0)</f>
        <v>0</v>
      </c>
      <c r="E2571" s="315"/>
      <c r="F2571" s="316" t="s">
        <v>341</v>
      </c>
      <c r="G2571" s="317" t="s">
        <v>339</v>
      </c>
      <c r="H2571" s="317">
        <f>H2557</f>
        <v>0</v>
      </c>
      <c r="I2571" s="91">
        <f t="shared" si="104"/>
        <v>0</v>
      </c>
      <c r="J2571" s="318"/>
      <c r="K2571" s="318"/>
      <c r="L2571" s="117"/>
      <c r="M2571" s="56">
        <v>2000</v>
      </c>
    </row>
    <row r="2572" spans="1:13" s="51" customFormat="1" ht="25.2" hidden="1" customHeight="1">
      <c r="A2572" s="68">
        <f t="shared" si="103"/>
        <v>0</v>
      </c>
      <c r="B2572" s="86" t="s">
        <v>562</v>
      </c>
      <c r="C2572" s="86"/>
      <c r="D2572" s="319"/>
      <c r="E2572" s="88"/>
      <c r="F2572" s="320" t="str">
        <f>VLOOKUP($B2572,[1]DG!A:D,[1]DG!$C$2,)</f>
        <v>Trụ BTLT 10,5m F350 dự ứng lực</v>
      </c>
      <c r="G2572" s="88" t="str">
        <f>VLOOKUP($B2572,[1]DG!A:D,[1]DG!$D$2,)</f>
        <v>trụ</v>
      </c>
      <c r="H2572" s="321">
        <f>H2571</f>
        <v>0</v>
      </c>
      <c r="I2572" s="91">
        <f t="shared" si="104"/>
        <v>0</v>
      </c>
      <c r="J2572" s="92"/>
      <c r="K2572" s="111"/>
      <c r="L2572" s="117"/>
      <c r="M2572" s="56">
        <v>2000</v>
      </c>
    </row>
    <row r="2573" spans="1:13" s="51" customFormat="1" ht="25.2" hidden="1" customHeight="1">
      <c r="A2573" s="68">
        <f t="shared" si="103"/>
        <v>0</v>
      </c>
      <c r="B2573" s="86" t="s">
        <v>70</v>
      </c>
      <c r="C2573" s="86"/>
      <c r="D2573" s="319"/>
      <c r="E2573" s="88"/>
      <c r="F2573" s="320" t="str">
        <f>VLOOKUP($B2573,[1]DG!A:D,[1]DG!$C$2,)</f>
        <v>Vật liệu dựng trụ</v>
      </c>
      <c r="G2573" s="88" t="str">
        <f>VLOOKUP($B2573,[1]DG!A:D,[1]DG!$D$2,)</f>
        <v>trụ</v>
      </c>
      <c r="H2573" s="321">
        <f>H2572</f>
        <v>0</v>
      </c>
      <c r="I2573" s="91">
        <f t="shared" si="104"/>
        <v>0</v>
      </c>
      <c r="J2573" s="111"/>
      <c r="K2573" s="111"/>
      <c r="L2573" s="117"/>
      <c r="M2573" s="56">
        <v>2000</v>
      </c>
    </row>
    <row r="2574" spans="1:13" s="51" customFormat="1" ht="25.2" hidden="1" customHeight="1">
      <c r="A2574" s="68">
        <f t="shared" si="103"/>
        <v>0</v>
      </c>
      <c r="B2574" s="86" t="s">
        <v>563</v>
      </c>
      <c r="C2574" s="86"/>
      <c r="D2574" s="319"/>
      <c r="E2574" s="88" t="str">
        <f>VLOOKUP($B2574,[1]DG!A:D,[1]DG!$B$2,)</f>
        <v>05.5402</v>
      </c>
      <c r="F2574" s="320" t="str">
        <f>VLOOKUP($B2574,[1]DG!A:D,[1]DG!$C$2,)</f>
        <v>Dựng trụ BTLT 10,5m thủ công + cơ giới</v>
      </c>
      <c r="G2574" s="88" t="str">
        <f>VLOOKUP($B2574,[1]DG!A:D,[1]DG!$D$2,)</f>
        <v>trụ</v>
      </c>
      <c r="H2574" s="321">
        <f>H2572</f>
        <v>0</v>
      </c>
      <c r="I2574" s="91">
        <f t="shared" si="104"/>
        <v>0</v>
      </c>
      <c r="J2574" s="92"/>
      <c r="K2574" s="92"/>
      <c r="L2574" s="117"/>
      <c r="M2574" s="56">
        <v>2000</v>
      </c>
    </row>
    <row r="2575" spans="1:13" s="51" customFormat="1" ht="25.2" hidden="1" customHeight="1">
      <c r="A2575" s="68">
        <f t="shared" si="103"/>
        <v>0</v>
      </c>
      <c r="B2575" s="86" t="s">
        <v>564</v>
      </c>
      <c r="C2575" s="86"/>
      <c r="D2575" s="319"/>
      <c r="E2575" s="88"/>
      <c r="F2575" s="320" t="str">
        <f>VLOOKUP($B2575,[1]DG!A:D,[1]DG!$C$2,)</f>
        <v>Đào hố móng đất cấp 3 sâu &gt;1m</v>
      </c>
      <c r="G2575" s="88" t="str">
        <f>VLOOKUP($B2575,[1]DG!A:D,[1]DG!$D$2,)</f>
        <v>m3</v>
      </c>
      <c r="H2575" s="321">
        <f>H2571*0.201</f>
        <v>0</v>
      </c>
      <c r="I2575" s="91">
        <f t="shared" si="104"/>
        <v>0</v>
      </c>
      <c r="J2575" s="92"/>
      <c r="K2575" s="92"/>
      <c r="L2575" s="117"/>
      <c r="M2575" s="56">
        <v>2000</v>
      </c>
    </row>
    <row r="2576" spans="1:13" s="51" customFormat="1" ht="25.2" hidden="1" customHeight="1">
      <c r="A2576" s="68">
        <f t="shared" si="103"/>
        <v>0</v>
      </c>
      <c r="B2576" s="86" t="s">
        <v>76</v>
      </c>
      <c r="C2576" s="86"/>
      <c r="D2576" s="319"/>
      <c r="E2576" s="88" t="str">
        <f>VLOOKUP($B2576,[1]DG!A:D,[1]DG!$B$2,)</f>
        <v>03.4113</v>
      </c>
      <c r="F2576" s="320" t="str">
        <f>VLOOKUP($B2576,[1]DG!A:D,[1]DG!$C$2,)</f>
        <v>Đắp đất hố móng, độ chặt k=0,95</v>
      </c>
      <c r="G2576" s="88" t="str">
        <f>VLOOKUP($B2576,[1]DG!A:D,[1]DG!$D$2,)</f>
        <v>m3</v>
      </c>
      <c r="H2576" s="321">
        <f>H2571*0.182</f>
        <v>0</v>
      </c>
      <c r="I2576" s="91">
        <f t="shared" si="104"/>
        <v>0</v>
      </c>
      <c r="J2576" s="92"/>
      <c r="K2576" s="92"/>
      <c r="L2576" s="117"/>
      <c r="M2576" s="56">
        <v>2000</v>
      </c>
    </row>
    <row r="2577" spans="1:13" s="51" customFormat="1" ht="25.2" hidden="1" customHeight="1">
      <c r="A2577" s="68">
        <f t="shared" si="103"/>
        <v>0</v>
      </c>
      <c r="B2577" s="322"/>
      <c r="C2577" s="322"/>
      <c r="D2577" s="220">
        <f>IF(H2577&gt;0,D2571+1,D2571)</f>
        <v>0</v>
      </c>
      <c r="E2577" s="315"/>
      <c r="F2577" s="316" t="s">
        <v>565</v>
      </c>
      <c r="G2577" s="317" t="s">
        <v>344</v>
      </c>
      <c r="H2577" s="317">
        <f>H2571*0</f>
        <v>0</v>
      </c>
      <c r="I2577" s="91">
        <f t="shared" si="104"/>
        <v>0</v>
      </c>
      <c r="J2577" s="111"/>
      <c r="K2577" s="111"/>
      <c r="L2577" s="117"/>
      <c r="M2577" s="56">
        <v>2000</v>
      </c>
    </row>
    <row r="2578" spans="1:13" s="51" customFormat="1" ht="25.2" hidden="1" customHeight="1">
      <c r="A2578" s="68">
        <f t="shared" si="103"/>
        <v>0</v>
      </c>
      <c r="B2578" s="86" t="s">
        <v>73</v>
      </c>
      <c r="C2578" s="86"/>
      <c r="D2578" s="319"/>
      <c r="E2578" s="88" t="str">
        <f>VLOOKUP($B2578,[1]DG!A:D,[1]DG!$B$2,)</f>
        <v>04.4001</v>
      </c>
      <c r="F2578" s="320" t="str">
        <f>VLOOKUP($B2578,[1]DG!A:D,[1]DG!$C$2,)</f>
        <v>Đà cản BTCT 1,2m</v>
      </c>
      <c r="G2578" s="88" t="str">
        <f>VLOOKUP($B2578,[1]DG!A:D,[1]DG!$D$2,)</f>
        <v>cái</v>
      </c>
      <c r="H2578" s="321">
        <f>H2577</f>
        <v>0</v>
      </c>
      <c r="I2578" s="91">
        <f t="shared" si="104"/>
        <v>0</v>
      </c>
      <c r="J2578" s="92"/>
      <c r="K2578" s="111"/>
      <c r="L2578" s="117"/>
      <c r="M2578" s="56">
        <v>2000</v>
      </c>
    </row>
    <row r="2579" spans="1:13" s="51" customFormat="1" ht="25.2" hidden="1" customHeight="1">
      <c r="A2579" s="68">
        <f t="shared" si="103"/>
        <v>0</v>
      </c>
      <c r="B2579" s="86" t="s">
        <v>74</v>
      </c>
      <c r="C2579" s="86"/>
      <c r="D2579" s="319"/>
      <c r="E2579" s="88"/>
      <c r="F2579" s="320" t="str">
        <f>VLOOKUP($B2579,[1]DG!A:D,[1]DG!$C$2,)</f>
        <v>Boulon 22x650+ 2 long đền vuông D24-50x50x3/Zn</v>
      </c>
      <c r="G2579" s="88" t="str">
        <f>VLOOKUP($B2579,[1]DG!A:D,[1]DG!$D$2,)</f>
        <v>bộ</v>
      </c>
      <c r="H2579" s="321">
        <f>H2578</f>
        <v>0</v>
      </c>
      <c r="I2579" s="91">
        <f t="shared" si="104"/>
        <v>0</v>
      </c>
      <c r="J2579" s="320"/>
      <c r="K2579" s="111"/>
      <c r="L2579" s="117"/>
      <c r="M2579" s="56">
        <v>2000</v>
      </c>
    </row>
    <row r="2580" spans="1:13" s="51" customFormat="1" ht="25.2" hidden="1" customHeight="1">
      <c r="A2580" s="68">
        <f t="shared" si="103"/>
        <v>0</v>
      </c>
      <c r="B2580" s="86" t="str">
        <f>IF(chitiet!G5=1,"MDD1",IF(chitiet!G5=2,"MDD2",IF(chitiet!G5=3,"MDD3",IF(chitiet!G5=4,"MDD4"))))</f>
        <v>MDD3</v>
      </c>
      <c r="C2580" s="86"/>
      <c r="D2580" s="319"/>
      <c r="E2580" s="88" t="str">
        <f>VLOOKUP($B2580,[1]DG!A:D,[1]DG!$B$2,)</f>
        <v>03.1013</v>
      </c>
      <c r="F2580" s="320" t="str">
        <f>VLOOKUP($B2580,[1]DG!A:D,[1]DG!$C$2,)</f>
        <v>Đào hố móng đất cấp 3 sâu &gt;1m</v>
      </c>
      <c r="G2580" s="88" t="str">
        <f>VLOOKUP($B2580,[1]DG!A:D,[1]DG!$D$2,)</f>
        <v>m3</v>
      </c>
      <c r="H2580" s="323">
        <f>1.48*H2578</f>
        <v>0</v>
      </c>
      <c r="I2580" s="91">
        <f t="shared" si="104"/>
        <v>0</v>
      </c>
      <c r="J2580" s="324"/>
      <c r="K2580" s="111"/>
      <c r="L2580" s="117"/>
      <c r="M2580" s="56">
        <v>2000</v>
      </c>
    </row>
    <row r="2581" spans="1:13" s="51" customFormat="1" ht="25.2" hidden="1" customHeight="1">
      <c r="A2581" s="68">
        <f t="shared" si="103"/>
        <v>0</v>
      </c>
      <c r="B2581" s="86" t="str">
        <f>IF(chitiet!G5=1,"MDAP1",IF(chitiet!G5=2,"MDAP2",IF(chitiet!G5=3,"MDAP3",IF(chitiet!G5=4,"MDAP4"))))</f>
        <v>MDAP3</v>
      </c>
      <c r="C2581" s="86"/>
      <c r="D2581" s="319"/>
      <c r="E2581" s="88" t="str">
        <f>VLOOKUP($B2581,[1]DG!A:D,[1]DG!$B$2,)</f>
        <v>03.4113</v>
      </c>
      <c r="F2581" s="320" t="str">
        <f>VLOOKUP($B2581,[1]DG!A:D,[1]DG!$C$2,)</f>
        <v>Đắp đất hố móng, độ chặt k=0,95</v>
      </c>
      <c r="G2581" s="88" t="str">
        <f>VLOOKUP($B2581,[1]DG!A:D,[1]DG!$D$2,)</f>
        <v>m3</v>
      </c>
      <c r="H2581" s="323">
        <f>1.39*H2577</f>
        <v>0</v>
      </c>
      <c r="I2581" s="91">
        <f t="shared" si="104"/>
        <v>0</v>
      </c>
      <c r="J2581" s="324"/>
      <c r="K2581" s="111"/>
      <c r="L2581" s="117"/>
      <c r="M2581" s="56">
        <v>2000</v>
      </c>
    </row>
    <row r="2582" spans="1:13" s="51" customFormat="1" ht="25.2" hidden="1" customHeight="1">
      <c r="A2582" s="68">
        <f t="shared" si="103"/>
        <v>0</v>
      </c>
      <c r="B2582" s="69"/>
      <c r="C2582" s="69"/>
      <c r="D2582" s="220">
        <f>IF(H2582&gt;0,D2577+1,D2577)</f>
        <v>0</v>
      </c>
      <c r="E2582" s="325"/>
      <c r="F2582" s="316" t="s">
        <v>464</v>
      </c>
      <c r="G2582" s="314" t="s">
        <v>67</v>
      </c>
      <c r="H2582" s="326">
        <f>H2557*0</f>
        <v>0</v>
      </c>
      <c r="I2582" s="91">
        <f t="shared" si="104"/>
        <v>0</v>
      </c>
      <c r="J2582" s="327"/>
      <c r="K2582" s="327"/>
      <c r="L2582" s="117"/>
      <c r="M2582" s="56">
        <v>2000</v>
      </c>
    </row>
    <row r="2583" spans="1:13" s="51" customFormat="1" ht="25.2" hidden="1" customHeight="1">
      <c r="A2583" s="68">
        <f>IF(A2582&gt;0,1,0)</f>
        <v>0</v>
      </c>
      <c r="B2583" s="69"/>
      <c r="C2583" s="69"/>
      <c r="D2583" s="111"/>
      <c r="E2583" s="328"/>
      <c r="F2583" s="243" t="s">
        <v>68</v>
      </c>
      <c r="G2583" s="87"/>
      <c r="H2583" s="145"/>
      <c r="I2583" s="91">
        <f t="shared" si="104"/>
        <v>0</v>
      </c>
      <c r="J2583" s="282"/>
      <c r="K2583" s="282"/>
      <c r="L2583" s="117"/>
      <c r="M2583" s="56">
        <v>2000</v>
      </c>
    </row>
    <row r="2584" spans="1:13" s="51" customFormat="1" ht="25.2" hidden="1" customHeight="1">
      <c r="A2584" s="68">
        <f t="shared" si="103"/>
        <v>0</v>
      </c>
      <c r="B2584" s="86" t="s">
        <v>347</v>
      </c>
      <c r="C2584" s="86"/>
      <c r="D2584" s="111"/>
      <c r="E2584" s="88" t="str">
        <f>VLOOKUP($B2584,[1]DG!A:D,[1]DG!$B$2,)</f>
        <v>05.6105</v>
      </c>
      <c r="F2584" s="89" t="str">
        <f>VLOOKUP($B2584,[1]DG!A:D,[1]DG!$C$2,)</f>
        <v>Đà U160x68x5x2800 đỡ MBA</v>
      </c>
      <c r="G2584" s="88" t="str">
        <f>VLOOKUP($B2584,[1]DG!A:D,[1]DG!$D$2,)</f>
        <v>cái</v>
      </c>
      <c r="H2584" s="145">
        <f>2*H2582</f>
        <v>0</v>
      </c>
      <c r="I2584" s="91">
        <f t="shared" si="104"/>
        <v>0</v>
      </c>
      <c r="J2584" s="92"/>
      <c r="K2584" s="92"/>
      <c r="L2584" s="117"/>
      <c r="M2584" s="56">
        <v>2000</v>
      </c>
    </row>
    <row r="2585" spans="1:13" s="51" customFormat="1" ht="25.2" hidden="1" customHeight="1">
      <c r="A2585" s="68">
        <f t="shared" si="103"/>
        <v>0</v>
      </c>
      <c r="B2585" s="86" t="s">
        <v>348</v>
      </c>
      <c r="C2585" s="86"/>
      <c r="D2585" s="111"/>
      <c r="E2585" s="88" t="str">
        <f>VLOOKUP($B2585,[1]DG!A:D,[1]DG!$B$2,)</f>
        <v>05.6101</v>
      </c>
      <c r="F2585" s="89" t="str">
        <f>VLOOKUP($B2585,[1]DG!A:D,[1]DG!$C$2,)</f>
        <v xml:space="preserve">Đà U100x46x4.5x400 </v>
      </c>
      <c r="G2585" s="88" t="str">
        <f>VLOOKUP($B2585,[1]DG!A:D,[1]DG!$D$2,)</f>
        <v>cái</v>
      </c>
      <c r="H2585" s="145">
        <f>H2582*4</f>
        <v>0</v>
      </c>
      <c r="I2585" s="91">
        <f t="shared" si="104"/>
        <v>0</v>
      </c>
      <c r="J2585" s="92"/>
      <c r="K2585" s="92"/>
      <c r="L2585" s="117"/>
      <c r="M2585" s="56">
        <v>2000</v>
      </c>
    </row>
    <row r="2586" spans="1:13" s="51" customFormat="1" ht="25.2" hidden="1" customHeight="1">
      <c r="A2586" s="68">
        <f t="shared" si="103"/>
        <v>0</v>
      </c>
      <c r="B2586" s="86" t="s">
        <v>349</v>
      </c>
      <c r="C2586" s="86"/>
      <c r="D2586" s="111"/>
      <c r="E2586" s="88" t="str">
        <f>VLOOKUP($B2586,[1]DG!A:D,[1]DG!$B$2,)</f>
        <v>05.6101</v>
      </c>
      <c r="F2586" s="89" t="str">
        <f>VLOOKUP($B2586,[1]DG!A:D,[1]DG!$C$2,)</f>
        <v xml:space="preserve">Đà U100x46x5x800 </v>
      </c>
      <c r="G2586" s="88" t="str">
        <f>VLOOKUP($B2586,[1]DG!A:D,[1]DG!$D$2,)</f>
        <v>cái</v>
      </c>
      <c r="H2586" s="145">
        <f>H2582*2</f>
        <v>0</v>
      </c>
      <c r="I2586" s="91">
        <f t="shared" si="104"/>
        <v>0</v>
      </c>
      <c r="J2586" s="92"/>
      <c r="K2586" s="92"/>
      <c r="L2586" s="117"/>
      <c r="M2586" s="56">
        <v>2000</v>
      </c>
    </row>
    <row r="2587" spans="1:13" s="51" customFormat="1" ht="25.2" hidden="1" customHeight="1">
      <c r="A2587" s="68">
        <f t="shared" si="103"/>
        <v>0</v>
      </c>
      <c r="B2587" s="69" t="s">
        <v>350</v>
      </c>
      <c r="C2587" s="69"/>
      <c r="D2587" s="111"/>
      <c r="E2587" s="88">
        <f>VLOOKUP($B2587,[1]DG!A:D,[1]DG!$B$2,)</f>
        <v>0</v>
      </c>
      <c r="F2587" s="89" t="str">
        <f>VLOOKUP($B2587,[1]DG!A:D,[1]DG!$C$2,)</f>
        <v>Boulon 16x400VRS+ 4 long đền vuông D18-50x50x3/Zn</v>
      </c>
      <c r="G2587" s="88" t="str">
        <f>VLOOKUP($B2587,[1]DG!A:D,[1]DG!$D$2,)</f>
        <v>bộ</v>
      </c>
      <c r="H2587" s="145">
        <f>H2582*12</f>
        <v>0</v>
      </c>
      <c r="I2587" s="91">
        <f t="shared" si="104"/>
        <v>0</v>
      </c>
      <c r="J2587" s="92"/>
      <c r="K2587" s="92"/>
      <c r="L2587" s="117"/>
      <c r="M2587" s="56">
        <v>2000</v>
      </c>
    </row>
    <row r="2588" spans="1:13" s="51" customFormat="1" ht="25.2" hidden="1" customHeight="1">
      <c r="A2588" s="68">
        <f t="shared" si="103"/>
        <v>0</v>
      </c>
      <c r="B2588" s="69" t="s">
        <v>265</v>
      </c>
      <c r="C2588" s="69"/>
      <c r="D2588" s="111"/>
      <c r="E2588" s="88">
        <f>VLOOKUP($B2588,[1]DG!A:D,[1]DG!$B$2,)</f>
        <v>0</v>
      </c>
      <c r="F2588" s="89" t="str">
        <f>VLOOKUP($B2588,[1]DG!A:D,[1]DG!$C$2,)</f>
        <v>Boulon 16x400+ 2 long đền vuông D18-50x50x3/Zn</v>
      </c>
      <c r="G2588" s="88" t="str">
        <f>VLOOKUP($B2588,[1]DG!A:D,[1]DG!$D$2,)</f>
        <v>bộ</v>
      </c>
      <c r="H2588" s="145">
        <f>H2582*2</f>
        <v>0</v>
      </c>
      <c r="I2588" s="91">
        <f t="shared" si="104"/>
        <v>0</v>
      </c>
      <c r="J2588" s="92"/>
      <c r="K2588" s="92"/>
      <c r="L2588" s="117"/>
      <c r="M2588" s="56">
        <v>2000</v>
      </c>
    </row>
    <row r="2589" spans="1:13" s="51" customFormat="1" ht="25.2" hidden="1" customHeight="1">
      <c r="A2589" s="68">
        <f t="shared" si="103"/>
        <v>0</v>
      </c>
      <c r="B2589" s="69" t="s">
        <v>123</v>
      </c>
      <c r="C2589" s="69"/>
      <c r="D2589" s="111"/>
      <c r="E2589" s="88">
        <f>VLOOKUP($B2589,[1]DG!A:D,[1]DG!$B$2,)</f>
        <v>0</v>
      </c>
      <c r="F2589" s="89" t="str">
        <f>VLOOKUP($B2589,[1]DG!A:D,[1]DG!$C$2,)</f>
        <v>Boulon 16x350+ 2 long đền vuông D18-50x50x3/Zn</v>
      </c>
      <c r="G2589" s="88" t="str">
        <f>VLOOKUP($B2589,[1]DG!A:D,[1]DG!$D$2,)</f>
        <v>bộ</v>
      </c>
      <c r="H2589" s="145">
        <f>+H2582*4</f>
        <v>0</v>
      </c>
      <c r="I2589" s="91">
        <f t="shared" si="104"/>
        <v>0</v>
      </c>
      <c r="J2589" s="92"/>
      <c r="K2589" s="92"/>
      <c r="L2589" s="117"/>
      <c r="M2589" s="56">
        <v>2000</v>
      </c>
    </row>
    <row r="2590" spans="1:13" s="51" customFormat="1" ht="25.2" hidden="1" customHeight="1">
      <c r="A2590" s="68">
        <f t="shared" si="103"/>
        <v>0</v>
      </c>
      <c r="B2590" s="69"/>
      <c r="C2590" s="69"/>
      <c r="D2590" s="220">
        <f>IF(H2590&gt;0,D2582+1,D2582)</f>
        <v>0</v>
      </c>
      <c r="E2590" s="238"/>
      <c r="F2590" s="329" t="s">
        <v>366</v>
      </c>
      <c r="G2590" s="220" t="s">
        <v>67</v>
      </c>
      <c r="H2590" s="240">
        <f>H2582*2*0</f>
        <v>0</v>
      </c>
      <c r="I2590" s="91">
        <f t="shared" si="104"/>
        <v>0</v>
      </c>
      <c r="J2590" s="95"/>
      <c r="K2590" s="95"/>
      <c r="L2590" s="117"/>
      <c r="M2590" s="56">
        <v>2000</v>
      </c>
    </row>
    <row r="2591" spans="1:13" s="51" customFormat="1" ht="25.2" hidden="1" customHeight="1">
      <c r="A2591" s="68">
        <f>IF(A2590&gt;0,1,0)</f>
        <v>0</v>
      </c>
      <c r="B2591" s="69"/>
      <c r="C2591" s="69"/>
      <c r="D2591" s="111"/>
      <c r="E2591" s="242"/>
      <c r="F2591" s="243" t="s">
        <v>68</v>
      </c>
      <c r="G2591" s="87"/>
      <c r="H2591" s="145"/>
      <c r="I2591" s="91">
        <f t="shared" si="104"/>
        <v>0</v>
      </c>
      <c r="J2591" s="95"/>
      <c r="K2591" s="95"/>
      <c r="L2591" s="117"/>
      <c r="M2591" s="56">
        <v>2000</v>
      </c>
    </row>
    <row r="2592" spans="1:13" s="51" customFormat="1" ht="25.2" hidden="1" customHeight="1">
      <c r="A2592" s="68">
        <f t="shared" ref="A2592:A2655" si="106">IF(I2592&gt;0,1,0)</f>
        <v>0</v>
      </c>
      <c r="B2592" s="86" t="s">
        <v>367</v>
      </c>
      <c r="C2592" s="86"/>
      <c r="D2592" s="111"/>
      <c r="E2592" s="88">
        <v>0</v>
      </c>
      <c r="F2592" s="89" t="str">
        <f>VLOOKUP($B2592,[1]DG!A:D,[1]DG!$C$2,)</f>
        <v>Sắt góc L75 x75 x8</v>
      </c>
      <c r="G2592" s="88" t="s">
        <v>377</v>
      </c>
      <c r="H2592" s="145">
        <f>H2590*9.02*(2.6+3*0.07)*2</f>
        <v>0</v>
      </c>
      <c r="I2592" s="91">
        <f t="shared" si="104"/>
        <v>0</v>
      </c>
      <c r="J2592" s="92"/>
      <c r="K2592" s="92"/>
      <c r="L2592" s="117"/>
      <c r="M2592" s="56">
        <v>2000</v>
      </c>
    </row>
    <row r="2593" spans="1:13" s="51" customFormat="1" ht="25.2" hidden="1" customHeight="1">
      <c r="A2593" s="68">
        <f t="shared" si="106"/>
        <v>0</v>
      </c>
      <c r="B2593" s="69" t="s">
        <v>368</v>
      </c>
      <c r="C2593" s="69"/>
      <c r="D2593" s="111"/>
      <c r="E2593" s="88">
        <v>0</v>
      </c>
      <c r="F2593" s="89" t="str">
        <f>VLOOKUP($B2593,[1]DG!A:D,[1]DG!$C$2,)</f>
        <v>Boulon 16x300VRS+ 4 long đền vuông D18-50x50x3/Zn</v>
      </c>
      <c r="G2593" s="88" t="s">
        <v>375</v>
      </c>
      <c r="H2593" s="145">
        <f>H2590*2</f>
        <v>0</v>
      </c>
      <c r="I2593" s="91">
        <f t="shared" si="104"/>
        <v>0</v>
      </c>
      <c r="J2593" s="92"/>
      <c r="K2593" s="92"/>
      <c r="L2593" s="117"/>
      <c r="M2593" s="56">
        <v>2000</v>
      </c>
    </row>
    <row r="2594" spans="1:13" s="51" customFormat="1" ht="25.2" hidden="1" customHeight="1">
      <c r="A2594" s="68">
        <f t="shared" si="106"/>
        <v>0</v>
      </c>
      <c r="B2594" s="69" t="s">
        <v>65</v>
      </c>
      <c r="C2594" s="69"/>
      <c r="D2594" s="111"/>
      <c r="E2594" s="88">
        <v>0</v>
      </c>
      <c r="F2594" s="89" t="str">
        <f>VLOOKUP($B2594,[1]DG!A:D,[1]DG!$C$2,)</f>
        <v>Boulon 16x300+ 2 long đền vuông D18-50x50x3/Zn</v>
      </c>
      <c r="G2594" s="88" t="s">
        <v>375</v>
      </c>
      <c r="H2594" s="145">
        <f>H2590*2</f>
        <v>0</v>
      </c>
      <c r="I2594" s="91">
        <f t="shared" si="104"/>
        <v>0</v>
      </c>
      <c r="J2594" s="92"/>
      <c r="K2594" s="92"/>
      <c r="L2594" s="117"/>
      <c r="M2594" s="56">
        <v>2000</v>
      </c>
    </row>
    <row r="2595" spans="1:13" s="51" customFormat="1" ht="25.2" hidden="1" customHeight="1">
      <c r="A2595" s="68">
        <f t="shared" si="106"/>
        <v>0</v>
      </c>
      <c r="B2595" s="69" t="s">
        <v>237</v>
      </c>
      <c r="C2595" s="69"/>
      <c r="D2595" s="111"/>
      <c r="E2595" s="88">
        <v>0</v>
      </c>
      <c r="F2595" s="89" t="str">
        <f>VLOOKUP($B2595,[1]DG!A:D,[1]DG!$C$2,)</f>
        <v>Boulon 16x250+ 2 long đền vuông D18-50x50x3/Zn</v>
      </c>
      <c r="G2595" s="88" t="s">
        <v>375</v>
      </c>
      <c r="H2595" s="145">
        <f>H2594</f>
        <v>0</v>
      </c>
      <c r="I2595" s="91">
        <f t="shared" si="104"/>
        <v>0</v>
      </c>
      <c r="J2595" s="92"/>
      <c r="K2595" s="92"/>
      <c r="L2595" s="117"/>
      <c r="M2595" s="56">
        <v>2000</v>
      </c>
    </row>
    <row r="2596" spans="1:13" s="51" customFormat="1" ht="25.2" hidden="1" customHeight="1">
      <c r="A2596" s="68">
        <f t="shared" si="106"/>
        <v>0</v>
      </c>
      <c r="B2596" s="69" t="s">
        <v>363</v>
      </c>
      <c r="C2596" s="69"/>
      <c r="D2596" s="111"/>
      <c r="E2596" s="88" t="s">
        <v>566</v>
      </c>
      <c r="F2596" s="89" t="str">
        <f>VLOOKUP($B2596,[1]DG!A:D,[1]DG!$C$2,)</f>
        <v>Lắp xà cột Pi loại ≤140kg/xà</v>
      </c>
      <c r="G2596" s="88" t="s">
        <v>375</v>
      </c>
      <c r="H2596" s="145">
        <f>H2590</f>
        <v>0</v>
      </c>
      <c r="I2596" s="91">
        <f t="shared" si="104"/>
        <v>0</v>
      </c>
      <c r="J2596" s="92"/>
      <c r="K2596" s="92"/>
      <c r="L2596" s="117"/>
      <c r="M2596" s="56">
        <v>2000</v>
      </c>
    </row>
    <row r="2597" spans="1:13" s="51" customFormat="1" ht="25.2" hidden="1" customHeight="1">
      <c r="A2597" s="68">
        <f t="shared" si="106"/>
        <v>0</v>
      </c>
      <c r="B2597" s="69"/>
      <c r="C2597" s="69"/>
      <c r="D2597" s="220">
        <f>IF(H2597&gt;0,D2590+1,D2590)</f>
        <v>0</v>
      </c>
      <c r="E2597" s="238"/>
      <c r="F2597" s="329" t="s">
        <v>567</v>
      </c>
      <c r="G2597" s="220" t="s">
        <v>67</v>
      </c>
      <c r="H2597" s="240">
        <f>H2582*3</f>
        <v>0</v>
      </c>
      <c r="I2597" s="91">
        <f t="shared" si="104"/>
        <v>0</v>
      </c>
      <c r="J2597" s="95"/>
      <c r="K2597" s="95"/>
      <c r="L2597" s="117"/>
      <c r="M2597" s="56">
        <v>2000</v>
      </c>
    </row>
    <row r="2598" spans="1:13" s="51" customFormat="1" ht="25.2" hidden="1" customHeight="1">
      <c r="A2598" s="68">
        <f>IF(A2597&gt;0,1,0)</f>
        <v>0</v>
      </c>
      <c r="B2598" s="69"/>
      <c r="C2598" s="69"/>
      <c r="D2598" s="111"/>
      <c r="E2598" s="242"/>
      <c r="F2598" s="243" t="s">
        <v>68</v>
      </c>
      <c r="G2598" s="87"/>
      <c r="H2598" s="145"/>
      <c r="I2598" s="91">
        <f t="shared" si="104"/>
        <v>0</v>
      </c>
      <c r="J2598" s="95"/>
      <c r="K2598" s="95"/>
      <c r="L2598" s="117"/>
      <c r="M2598" s="56">
        <v>2000</v>
      </c>
    </row>
    <row r="2599" spans="1:13" s="51" customFormat="1" ht="25.2" hidden="1" customHeight="1">
      <c r="A2599" s="68">
        <f t="shared" si="106"/>
        <v>0</v>
      </c>
      <c r="B2599" s="86" t="s">
        <v>367</v>
      </c>
      <c r="C2599" s="86"/>
      <c r="D2599" s="111"/>
      <c r="E2599" s="88">
        <v>0</v>
      </c>
      <c r="F2599" s="89" t="str">
        <f>VLOOKUP($B2599,[1]DG!A:D,[1]DG!$C$2,)</f>
        <v>Sắt góc L75 x75 x8</v>
      </c>
      <c r="G2599" s="88" t="s">
        <v>377</v>
      </c>
      <c r="H2599" s="145">
        <f>H2597*9.02*(2.6+3*0.07)</f>
        <v>0</v>
      </c>
      <c r="I2599" s="91">
        <f t="shared" si="104"/>
        <v>0</v>
      </c>
      <c r="J2599" s="92"/>
      <c r="K2599" s="92"/>
      <c r="L2599" s="117"/>
      <c r="M2599" s="56">
        <v>2000</v>
      </c>
    </row>
    <row r="2600" spans="1:13" s="51" customFormat="1" ht="25.2" hidden="1" customHeight="1">
      <c r="A2600" s="68">
        <f t="shared" si="106"/>
        <v>0</v>
      </c>
      <c r="B2600" s="69" t="s">
        <v>237</v>
      </c>
      <c r="C2600" s="69"/>
      <c r="D2600" s="111"/>
      <c r="E2600" s="88">
        <v>0</v>
      </c>
      <c r="F2600" s="89" t="str">
        <f>VLOOKUP($B2600,[1]DG!A:D,[1]DG!$C$2,)</f>
        <v>Boulon 16x250+ 2 long đền vuông D18-50x50x3/Zn</v>
      </c>
      <c r="G2600" s="88" t="s">
        <v>375</v>
      </c>
      <c r="H2600" s="145">
        <f>IF(H2597&gt;2,(H2597-1)*2,0)</f>
        <v>0</v>
      </c>
      <c r="I2600" s="91">
        <f t="shared" si="104"/>
        <v>0</v>
      </c>
      <c r="J2600" s="92"/>
      <c r="K2600" s="92"/>
      <c r="L2600" s="117"/>
      <c r="M2600" s="56">
        <v>2000</v>
      </c>
    </row>
    <row r="2601" spans="1:13" s="51" customFormat="1" ht="25.2" hidden="1" customHeight="1">
      <c r="A2601" s="68">
        <f t="shared" si="106"/>
        <v>0</v>
      </c>
      <c r="B2601" s="69" t="s">
        <v>65</v>
      </c>
      <c r="C2601" s="69"/>
      <c r="D2601" s="111"/>
      <c r="E2601" s="88">
        <v>0</v>
      </c>
      <c r="F2601" s="89" t="str">
        <f>VLOOKUP($B2601,[1]DG!A:D,[1]DG!$C$2,)</f>
        <v>Boulon 16x300+ 2 long đền vuông D18-50x50x3/Zn</v>
      </c>
      <c r="G2601" s="88" t="s">
        <v>375</v>
      </c>
      <c r="H2601" s="145">
        <f>IF(H2597=0,0,2)</f>
        <v>0</v>
      </c>
      <c r="I2601" s="91">
        <f t="shared" si="104"/>
        <v>0</v>
      </c>
      <c r="J2601" s="92"/>
      <c r="K2601" s="92"/>
      <c r="L2601" s="117"/>
      <c r="M2601" s="56">
        <v>2000</v>
      </c>
    </row>
    <row r="2602" spans="1:13" s="51" customFormat="1" ht="25.2" hidden="1" customHeight="1">
      <c r="A2602" s="68">
        <f t="shared" si="106"/>
        <v>0</v>
      </c>
      <c r="B2602" s="86" t="s">
        <v>125</v>
      </c>
      <c r="C2602" s="86"/>
      <c r="D2602" s="111"/>
      <c r="E2602" s="88">
        <v>0</v>
      </c>
      <c r="F2602" s="89" t="str">
        <f>VLOOKUP($B2602,[1]DG!A:D,[1]DG!$C$2,)</f>
        <v>Bass LL bắt FCO, LA</v>
      </c>
      <c r="G2602" s="88" t="s">
        <v>67</v>
      </c>
      <c r="H2602" s="145">
        <f>H2597*1</f>
        <v>0</v>
      </c>
      <c r="I2602" s="91">
        <f t="shared" si="104"/>
        <v>0</v>
      </c>
      <c r="J2602" s="92"/>
      <c r="K2602" s="92"/>
      <c r="L2602" s="117"/>
      <c r="M2602" s="56">
        <v>2000</v>
      </c>
    </row>
    <row r="2603" spans="1:13" s="51" customFormat="1" ht="25.2" hidden="1" customHeight="1">
      <c r="A2603" s="68">
        <f t="shared" si="106"/>
        <v>0</v>
      </c>
      <c r="B2603" s="69" t="s">
        <v>363</v>
      </c>
      <c r="C2603" s="69"/>
      <c r="D2603" s="111"/>
      <c r="E2603" s="88" t="s">
        <v>566</v>
      </c>
      <c r="F2603" s="89" t="str">
        <f>VLOOKUP($B2603,[1]DG!A:D,[1]DG!$C$2,)</f>
        <v>Lắp xà cột Pi loại ≤140kg/xà</v>
      </c>
      <c r="G2603" s="88" t="s">
        <v>375</v>
      </c>
      <c r="H2603" s="145">
        <f>H2597</f>
        <v>0</v>
      </c>
      <c r="I2603" s="91">
        <f t="shared" si="104"/>
        <v>0</v>
      </c>
      <c r="J2603" s="92"/>
      <c r="K2603" s="92"/>
      <c r="L2603" s="117"/>
      <c r="M2603" s="56">
        <v>2000</v>
      </c>
    </row>
    <row r="2604" spans="1:13" s="51" customFormat="1" ht="25.2" hidden="1" customHeight="1">
      <c r="A2604" s="68">
        <f t="shared" si="106"/>
        <v>0</v>
      </c>
      <c r="B2604" s="69"/>
      <c r="C2604" s="69"/>
      <c r="D2604" s="220">
        <f>IF(H2604&gt;0,D2597+1,D2597)</f>
        <v>0</v>
      </c>
      <c r="E2604" s="238"/>
      <c r="F2604" s="329" t="s">
        <v>373</v>
      </c>
      <c r="G2604" s="220" t="s">
        <v>67</v>
      </c>
      <c r="H2604" s="240">
        <f>H2582*2</f>
        <v>0</v>
      </c>
      <c r="I2604" s="91">
        <f t="shared" si="104"/>
        <v>0</v>
      </c>
      <c r="J2604" s="95"/>
      <c r="K2604" s="95"/>
      <c r="L2604" s="117"/>
      <c r="M2604" s="56">
        <v>2000</v>
      </c>
    </row>
    <row r="2605" spans="1:13" s="51" customFormat="1" ht="25.2" hidden="1" customHeight="1">
      <c r="A2605" s="68">
        <f>IF(A2604&gt;0,1,0)</f>
        <v>0</v>
      </c>
      <c r="B2605" s="69"/>
      <c r="C2605" s="69"/>
      <c r="D2605" s="111"/>
      <c r="E2605" s="242"/>
      <c r="F2605" s="243" t="s">
        <v>68</v>
      </c>
      <c r="G2605" s="87"/>
      <c r="H2605" s="145"/>
      <c r="I2605" s="91">
        <f t="shared" si="104"/>
        <v>0</v>
      </c>
      <c r="J2605" s="95"/>
      <c r="K2605" s="95"/>
      <c r="L2605" s="117"/>
      <c r="M2605" s="56">
        <v>2000</v>
      </c>
    </row>
    <row r="2606" spans="1:13" s="51" customFormat="1" ht="25.2" hidden="1" customHeight="1">
      <c r="A2606" s="68">
        <f t="shared" si="106"/>
        <v>0</v>
      </c>
      <c r="B2606" s="69" t="s">
        <v>367</v>
      </c>
      <c r="C2606" s="69"/>
      <c r="D2606" s="111"/>
      <c r="E2606" s="88">
        <v>0</v>
      </c>
      <c r="F2606" s="89" t="str">
        <f>VLOOKUP($B2606,[1]DG!A:D,[1]DG!$C$2,)</f>
        <v>Sắt góc L75 x75 x8</v>
      </c>
      <c r="G2606" s="88" t="s">
        <v>377</v>
      </c>
      <c r="H2606" s="145">
        <f>H2604*9.02*2.6</f>
        <v>0</v>
      </c>
      <c r="I2606" s="91">
        <f t="shared" si="104"/>
        <v>0</v>
      </c>
      <c r="J2606" s="92"/>
      <c r="K2606" s="92"/>
      <c r="L2606" s="117"/>
      <c r="M2606" s="56">
        <v>2000</v>
      </c>
    </row>
    <row r="2607" spans="1:13" s="51" customFormat="1" ht="25.2" hidden="1" customHeight="1">
      <c r="A2607" s="68">
        <f t="shared" si="106"/>
        <v>0</v>
      </c>
      <c r="B2607" s="69" t="s">
        <v>265</v>
      </c>
      <c r="C2607" s="69"/>
      <c r="D2607" s="111"/>
      <c r="E2607" s="88">
        <v>0</v>
      </c>
      <c r="F2607" s="89" t="str">
        <f>VLOOKUP($B2607,[1]DG!A:D,[1]DG!$C$2,)</f>
        <v>Boulon 16x400+ 2 long đền vuông D18-50x50x3/Zn</v>
      </c>
      <c r="G2607" s="88" t="s">
        <v>375</v>
      </c>
      <c r="H2607" s="145">
        <f>H2604*2</f>
        <v>0</v>
      </c>
      <c r="I2607" s="91">
        <f t="shared" si="104"/>
        <v>0</v>
      </c>
      <c r="J2607" s="92"/>
      <c r="K2607" s="92"/>
      <c r="L2607" s="117"/>
      <c r="M2607" s="56">
        <v>2000</v>
      </c>
    </row>
    <row r="2608" spans="1:13" s="51" customFormat="1" ht="25.2" hidden="1" customHeight="1">
      <c r="A2608" s="68">
        <f t="shared" si="106"/>
        <v>0</v>
      </c>
      <c r="B2608" s="69" t="s">
        <v>363</v>
      </c>
      <c r="C2608" s="69"/>
      <c r="D2608" s="111"/>
      <c r="E2608" s="88" t="s">
        <v>566</v>
      </c>
      <c r="F2608" s="89" t="str">
        <f>VLOOKUP($B2608,[1]DG!A:D,[1]DG!$C$2,)</f>
        <v>Lắp xà cột Pi loại ≤140kg/xà</v>
      </c>
      <c r="G2608" s="88" t="s">
        <v>375</v>
      </c>
      <c r="H2608" s="145">
        <f>H2604</f>
        <v>0</v>
      </c>
      <c r="I2608" s="91">
        <f t="shared" si="104"/>
        <v>0</v>
      </c>
      <c r="J2608" s="92"/>
      <c r="K2608" s="92"/>
      <c r="L2608" s="117"/>
      <c r="M2608" s="56">
        <v>2000</v>
      </c>
    </row>
    <row r="2609" spans="1:13" s="51" customFormat="1" ht="25.2" hidden="1" customHeight="1">
      <c r="A2609" s="68">
        <f t="shared" si="106"/>
        <v>0</v>
      </c>
      <c r="B2609" s="69" t="s">
        <v>65</v>
      </c>
      <c r="C2609" s="69"/>
      <c r="D2609" s="111"/>
      <c r="E2609" s="88">
        <v>0</v>
      </c>
      <c r="F2609" s="89" t="str">
        <f>VLOOKUP($B2609,[1]DG!A:D,[1]DG!$C$2,)</f>
        <v>Boulon 16x300+ 2 long đền vuông D18-50x50x3/Zn</v>
      </c>
      <c r="G2609" s="88" t="s">
        <v>375</v>
      </c>
      <c r="H2609" s="145">
        <f>H2604*2*0</f>
        <v>0</v>
      </c>
      <c r="I2609" s="91">
        <f t="shared" si="104"/>
        <v>0</v>
      </c>
      <c r="J2609" s="92"/>
      <c r="K2609" s="92"/>
      <c r="L2609" s="117"/>
      <c r="M2609" s="56">
        <v>2000</v>
      </c>
    </row>
    <row r="2610" spans="1:13" s="51" customFormat="1" ht="25.2" hidden="1" customHeight="1">
      <c r="A2610" s="68">
        <f t="shared" si="106"/>
        <v>0</v>
      </c>
      <c r="B2610" s="69" t="s">
        <v>237</v>
      </c>
      <c r="C2610" s="69"/>
      <c r="D2610" s="111"/>
      <c r="E2610" s="88">
        <v>0</v>
      </c>
      <c r="F2610" s="89" t="str">
        <f>VLOOKUP($B2610,[1]DG!A:D,[1]DG!$C$2,)</f>
        <v>Boulon 16x250+ 2 long đền vuông D18-50x50x3/Zn</v>
      </c>
      <c r="G2610" s="88" t="s">
        <v>375</v>
      </c>
      <c r="H2610" s="145">
        <f>2*H2604*2*0</f>
        <v>0</v>
      </c>
      <c r="I2610" s="91">
        <f t="shared" si="104"/>
        <v>0</v>
      </c>
      <c r="J2610" s="92"/>
      <c r="K2610" s="92"/>
      <c r="L2610" s="117"/>
      <c r="M2610" s="56">
        <v>2000</v>
      </c>
    </row>
    <row r="2611" spans="1:13" s="51" customFormat="1" ht="25.2" hidden="1" customHeight="1" collapsed="1">
      <c r="A2611" s="68">
        <f t="shared" si="106"/>
        <v>0</v>
      </c>
      <c r="B2611" s="69"/>
      <c r="C2611" s="69"/>
      <c r="D2611" s="220">
        <f>IF(H2611&gt;0,D2604+1,D2604)</f>
        <v>0</v>
      </c>
      <c r="E2611" s="238"/>
      <c r="F2611" s="329" t="s">
        <v>568</v>
      </c>
      <c r="G2611" s="220" t="s">
        <v>67</v>
      </c>
      <c r="H2611" s="240">
        <f>H2557</f>
        <v>0</v>
      </c>
      <c r="I2611" s="91">
        <f t="shared" si="104"/>
        <v>0</v>
      </c>
      <c r="J2611" s="146"/>
      <c r="K2611" s="146"/>
      <c r="L2611" s="117"/>
      <c r="M2611" s="56">
        <v>2000</v>
      </c>
    </row>
    <row r="2612" spans="1:13" s="51" customFormat="1" ht="25.2" hidden="1" customHeight="1">
      <c r="A2612" s="68">
        <f>IF(A2611&gt;0,1,0)</f>
        <v>0</v>
      </c>
      <c r="B2612" s="69"/>
      <c r="C2612" s="69"/>
      <c r="D2612" s="111"/>
      <c r="E2612" s="242"/>
      <c r="F2612" s="243" t="s">
        <v>68</v>
      </c>
      <c r="G2612" s="87"/>
      <c r="H2612" s="145"/>
      <c r="I2612" s="91">
        <f t="shared" si="104"/>
        <v>0</v>
      </c>
      <c r="J2612" s="146"/>
      <c r="K2612" s="146"/>
      <c r="L2612" s="117"/>
      <c r="M2612" s="56">
        <v>2000</v>
      </c>
    </row>
    <row r="2613" spans="1:13" s="51" customFormat="1" ht="25.2" hidden="1" customHeight="1">
      <c r="A2613" s="68">
        <f t="shared" si="106"/>
        <v>0</v>
      </c>
      <c r="B2613" s="69" t="s">
        <v>367</v>
      </c>
      <c r="C2613" s="69"/>
      <c r="D2613" s="111"/>
      <c r="E2613" s="88">
        <v>0</v>
      </c>
      <c r="F2613" s="89" t="str">
        <f>VLOOKUP($B2613,[1]DG!A:D,[1]DG!$C$2,)</f>
        <v>Sắt góc L75 x75 x8</v>
      </c>
      <c r="G2613" s="88" t="s">
        <v>377</v>
      </c>
      <c r="H2613" s="145">
        <f>H2611*9.02*(2.4+4*0.07)*2</f>
        <v>0</v>
      </c>
      <c r="I2613" s="91">
        <f t="shared" si="104"/>
        <v>0</v>
      </c>
      <c r="J2613" s="146"/>
      <c r="K2613" s="146"/>
      <c r="L2613" s="117"/>
      <c r="M2613" s="56">
        <v>2000</v>
      </c>
    </row>
    <row r="2614" spans="1:13" s="51" customFormat="1" ht="25.2" hidden="1" customHeight="1">
      <c r="A2614" s="68">
        <f t="shared" si="106"/>
        <v>0</v>
      </c>
      <c r="B2614" s="69" t="s">
        <v>378</v>
      </c>
      <c r="C2614" s="69"/>
      <c r="D2614" s="111"/>
      <c r="E2614" s="88" t="s">
        <v>569</v>
      </c>
      <c r="F2614" s="89" t="str">
        <f>VLOOKUP($B2614,[1]DG!A:D,[1]DG!$C$2,)&amp;" (Thanh choáng 920)"</f>
        <v>Sắt góc L50 x50 x5 (Thanh choáng 920)</v>
      </c>
      <c r="G2614" s="88" t="s">
        <v>377</v>
      </c>
      <c r="H2614" s="145">
        <f>H2611*3.77*0.92*4</f>
        <v>0</v>
      </c>
      <c r="I2614" s="91">
        <f t="shared" si="104"/>
        <v>0</v>
      </c>
      <c r="J2614" s="146"/>
      <c r="K2614" s="146"/>
      <c r="L2614" s="117"/>
      <c r="M2614" s="56">
        <v>2000</v>
      </c>
    </row>
    <row r="2615" spans="1:13" s="51" customFormat="1" ht="25.2" hidden="1" customHeight="1">
      <c r="A2615" s="68">
        <f t="shared" si="106"/>
        <v>0</v>
      </c>
      <c r="B2615" s="69" t="s">
        <v>65</v>
      </c>
      <c r="C2615" s="69"/>
      <c r="D2615" s="111"/>
      <c r="E2615" s="88">
        <v>0</v>
      </c>
      <c r="F2615" s="89" t="str">
        <f>VLOOKUP($B2615,[1]DG!A:D,[1]DG!$C$2,)</f>
        <v>Boulon 16x300+ 2 long đền vuông D18-50x50x3/Zn</v>
      </c>
      <c r="G2615" s="88" t="s">
        <v>375</v>
      </c>
      <c r="H2615" s="145">
        <f>H2611*2</f>
        <v>0</v>
      </c>
      <c r="I2615" s="91">
        <f t="shared" si="104"/>
        <v>0</v>
      </c>
      <c r="J2615" s="146"/>
      <c r="K2615" s="146"/>
      <c r="L2615" s="117"/>
      <c r="M2615" s="56">
        <v>2000</v>
      </c>
    </row>
    <row r="2616" spans="1:13" s="51" customFormat="1" ht="25.2" hidden="1" customHeight="1">
      <c r="A2616" s="68">
        <f t="shared" si="106"/>
        <v>0</v>
      </c>
      <c r="B2616" s="69" t="s">
        <v>231</v>
      </c>
      <c r="C2616" s="69"/>
      <c r="D2616" s="111"/>
      <c r="E2616" s="88">
        <v>0</v>
      </c>
      <c r="F2616" s="89" t="str">
        <f>VLOOKUP($B2616,[1]DG!A:D,[1]DG!$C$2,)</f>
        <v>Boulon 16x50+ 2 long đền vuông D18-50x50x3/Zn</v>
      </c>
      <c r="G2616" s="88" t="s">
        <v>375</v>
      </c>
      <c r="H2616" s="145">
        <f>H2611*4</f>
        <v>0</v>
      </c>
      <c r="I2616" s="91">
        <f t="shared" si="104"/>
        <v>0</v>
      </c>
      <c r="J2616" s="146"/>
      <c r="K2616" s="146"/>
      <c r="L2616" s="117"/>
      <c r="M2616" s="56">
        <v>2000</v>
      </c>
    </row>
    <row r="2617" spans="1:13" s="51" customFormat="1" ht="25.2" hidden="1" customHeight="1">
      <c r="A2617" s="68">
        <f t="shared" si="106"/>
        <v>0</v>
      </c>
      <c r="B2617" s="69" t="s">
        <v>368</v>
      </c>
      <c r="C2617" s="69"/>
      <c r="D2617" s="111"/>
      <c r="E2617" s="88">
        <v>0</v>
      </c>
      <c r="F2617" s="89" t="str">
        <f>VLOOKUP($B2617,[1]DG!A:D,[1]DG!$C$2,)</f>
        <v>Boulon 16x300VRS+ 4 long đền vuông D18-50x50x3/Zn</v>
      </c>
      <c r="G2617" s="88" t="s">
        <v>375</v>
      </c>
      <c r="H2617" s="145">
        <f>H2611*4</f>
        <v>0</v>
      </c>
      <c r="I2617" s="91">
        <f t="shared" si="104"/>
        <v>0</v>
      </c>
      <c r="J2617" s="146"/>
      <c r="K2617" s="146"/>
      <c r="L2617" s="117"/>
      <c r="M2617" s="56">
        <v>2000</v>
      </c>
    </row>
    <row r="2618" spans="1:13" s="51" customFormat="1" ht="25.2" hidden="1" customHeight="1">
      <c r="A2618" s="68">
        <f t="shared" si="106"/>
        <v>0</v>
      </c>
      <c r="B2618" s="69" t="s">
        <v>421</v>
      </c>
      <c r="C2618" s="69"/>
      <c r="D2618" s="111"/>
      <c r="E2618" s="88">
        <v>0</v>
      </c>
      <c r="F2618" s="89" t="str">
        <f>VLOOKUP($B2618,[1]DG!A:D,[1]DG!$C$2,)</f>
        <v>Bass LI bắt FCO</v>
      </c>
      <c r="G2618" s="88" t="s">
        <v>375</v>
      </c>
      <c r="H2618" s="145">
        <f>H2611*3/2*0</f>
        <v>0</v>
      </c>
      <c r="I2618" s="91">
        <f t="shared" ref="I2618:I2681" si="107">IF(M2618=$M$23,H2618+J2618-K2618,0)</f>
        <v>0</v>
      </c>
      <c r="J2618" s="146"/>
      <c r="K2618" s="146"/>
      <c r="L2618" s="117"/>
      <c r="M2618" s="56">
        <v>2000</v>
      </c>
    </row>
    <row r="2619" spans="1:13" s="51" customFormat="1" ht="25.2" hidden="1" customHeight="1">
      <c r="A2619" s="68">
        <f t="shared" si="106"/>
        <v>0</v>
      </c>
      <c r="B2619" s="69" t="s">
        <v>379</v>
      </c>
      <c r="C2619" s="69"/>
      <c r="D2619" s="111"/>
      <c r="E2619" s="88" t="s">
        <v>570</v>
      </c>
      <c r="F2619" s="89" t="str">
        <f>VLOOKUP($B2619,[1]DG!A:D,[1]DG!$C$2,)</f>
        <v>Lắp xà néo ≤ 100kg</v>
      </c>
      <c r="G2619" s="88" t="s">
        <v>375</v>
      </c>
      <c r="H2619" s="145">
        <f>H2611</f>
        <v>0</v>
      </c>
      <c r="I2619" s="91">
        <f t="shared" si="107"/>
        <v>0</v>
      </c>
      <c r="J2619" s="146"/>
      <c r="K2619" s="146"/>
      <c r="L2619" s="117"/>
      <c r="M2619" s="56">
        <v>2000</v>
      </c>
    </row>
    <row r="2620" spans="1:13" s="51" customFormat="1" ht="25.2" hidden="1" customHeight="1">
      <c r="A2620" s="68">
        <f t="shared" si="106"/>
        <v>0</v>
      </c>
      <c r="B2620" s="69"/>
      <c r="C2620" s="69"/>
      <c r="D2620" s="220">
        <f>IF(H2620&gt;0,D2611+1,D2611)</f>
        <v>0</v>
      </c>
      <c r="E2620" s="238"/>
      <c r="F2620" s="329" t="s">
        <v>571</v>
      </c>
      <c r="G2620" s="220" t="s">
        <v>67</v>
      </c>
      <c r="H2620" s="240">
        <f>H2557*3</f>
        <v>0</v>
      </c>
      <c r="I2620" s="91">
        <f t="shared" si="107"/>
        <v>0</v>
      </c>
      <c r="J2620" s="146"/>
      <c r="K2620" s="146"/>
      <c r="L2620" s="117"/>
      <c r="M2620" s="56">
        <v>2000</v>
      </c>
    </row>
    <row r="2621" spans="1:13" s="51" customFormat="1" ht="25.2" hidden="1" customHeight="1">
      <c r="A2621" s="68">
        <f>IF(A2620&gt;0,1,0)</f>
        <v>0</v>
      </c>
      <c r="B2621" s="69"/>
      <c r="C2621" s="69"/>
      <c r="D2621" s="111"/>
      <c r="E2621" s="242"/>
      <c r="F2621" s="243" t="s">
        <v>68</v>
      </c>
      <c r="G2621" s="87"/>
      <c r="H2621" s="145"/>
      <c r="I2621" s="91">
        <f t="shared" si="107"/>
        <v>0</v>
      </c>
      <c r="J2621" s="146"/>
      <c r="K2621" s="146"/>
      <c r="L2621" s="117"/>
      <c r="M2621" s="56">
        <v>2000</v>
      </c>
    </row>
    <row r="2622" spans="1:13" s="51" customFormat="1" ht="25.2" hidden="1" customHeight="1">
      <c r="A2622" s="68">
        <f t="shared" si="106"/>
        <v>0</v>
      </c>
      <c r="B2622" s="69" t="s">
        <v>367</v>
      </c>
      <c r="C2622" s="69"/>
      <c r="D2622" s="111"/>
      <c r="E2622" s="88">
        <v>0</v>
      </c>
      <c r="F2622" s="89" t="str">
        <f>VLOOKUP($B2622,[1]DG!A:D,[1]DG!$C$2,)</f>
        <v>Sắt góc L75 x75 x8</v>
      </c>
      <c r="G2622" s="88" t="s">
        <v>377</v>
      </c>
      <c r="H2622" s="145">
        <f>H2620*9.02*(2.2+4*0.07)</f>
        <v>0</v>
      </c>
      <c r="I2622" s="91">
        <f t="shared" si="107"/>
        <v>0</v>
      </c>
      <c r="J2622" s="146"/>
      <c r="K2622" s="146"/>
      <c r="L2622" s="117"/>
      <c r="M2622" s="56">
        <v>2000</v>
      </c>
    </row>
    <row r="2623" spans="1:13" s="51" customFormat="1" ht="25.2" hidden="1" customHeight="1">
      <c r="A2623" s="68">
        <f t="shared" si="106"/>
        <v>0</v>
      </c>
      <c r="B2623" s="69" t="s">
        <v>378</v>
      </c>
      <c r="C2623" s="69"/>
      <c r="D2623" s="111"/>
      <c r="E2623" s="88">
        <v>0</v>
      </c>
      <c r="F2623" s="89" t="str">
        <f>VLOOKUP($B2623,[1]DG!A:D,[1]DG!$C$2,)&amp;" (Thanh choáng 920)"</f>
        <v>Sắt góc L50 x50 x5 (Thanh choáng 920)</v>
      </c>
      <c r="G2623" s="88" t="s">
        <v>377</v>
      </c>
      <c r="H2623" s="340">
        <f>H2620*3.77*0.92*2</f>
        <v>0</v>
      </c>
      <c r="I2623" s="91">
        <f t="shared" si="107"/>
        <v>0</v>
      </c>
      <c r="J2623" s="146"/>
      <c r="K2623" s="146"/>
      <c r="L2623" s="117"/>
      <c r="M2623" s="56">
        <v>2000</v>
      </c>
    </row>
    <row r="2624" spans="1:13" s="51" customFormat="1" ht="25.2" hidden="1" customHeight="1">
      <c r="A2624" s="68">
        <f t="shared" si="106"/>
        <v>0</v>
      </c>
      <c r="B2624" s="69" t="s">
        <v>123</v>
      </c>
      <c r="C2624" s="69"/>
      <c r="D2624" s="111"/>
      <c r="E2624" s="88">
        <v>0</v>
      </c>
      <c r="F2624" s="89" t="str">
        <f>VLOOKUP($B2624,[1]DG!A:D,[1]DG!$C$2,)</f>
        <v>Boulon 16x350+ 2 long đền vuông D18-50x50x3/Zn</v>
      </c>
      <c r="G2624" s="88" t="s">
        <v>375</v>
      </c>
      <c r="H2624" s="145">
        <f>H2620*2</f>
        <v>0</v>
      </c>
      <c r="I2624" s="91">
        <f t="shared" si="107"/>
        <v>0</v>
      </c>
      <c r="J2624" s="146"/>
      <c r="K2624" s="146"/>
      <c r="L2624" s="117"/>
      <c r="M2624" s="56">
        <v>2000</v>
      </c>
    </row>
    <row r="2625" spans="1:13" s="51" customFormat="1" ht="25.2" hidden="1" customHeight="1">
      <c r="A2625" s="68">
        <f t="shared" si="106"/>
        <v>0</v>
      </c>
      <c r="B2625" s="69" t="s">
        <v>231</v>
      </c>
      <c r="C2625" s="69"/>
      <c r="D2625" s="111"/>
      <c r="E2625" s="88">
        <v>0</v>
      </c>
      <c r="F2625" s="89" t="str">
        <f>VLOOKUP($B2625,[1]DG!A:D,[1]DG!$C$2,)</f>
        <v>Boulon 16x50+ 2 long đền vuông D18-50x50x3/Zn</v>
      </c>
      <c r="G2625" s="88" t="s">
        <v>375</v>
      </c>
      <c r="H2625" s="145">
        <f>H2620*2</f>
        <v>0</v>
      </c>
      <c r="I2625" s="91">
        <f t="shared" si="107"/>
        <v>0</v>
      </c>
      <c r="J2625" s="146"/>
      <c r="K2625" s="146"/>
      <c r="L2625" s="117"/>
      <c r="M2625" s="56">
        <v>2000</v>
      </c>
    </row>
    <row r="2626" spans="1:13" s="51" customFormat="1" ht="25.2" hidden="1" customHeight="1">
      <c r="A2626" s="68">
        <f t="shared" si="106"/>
        <v>0</v>
      </c>
      <c r="B2626" s="69" t="s">
        <v>381</v>
      </c>
      <c r="C2626" s="69"/>
      <c r="D2626" s="111"/>
      <c r="E2626" s="88">
        <v>0</v>
      </c>
      <c r="F2626" s="89" t="str">
        <f>VLOOKUP($B2626,[1]DG!A:D,[1]DG!$C$2,)</f>
        <v>Bass LI bắt FCO</v>
      </c>
      <c r="G2626" s="88" t="s">
        <v>375</v>
      </c>
      <c r="H2626" s="340">
        <f>H2620</f>
        <v>0</v>
      </c>
      <c r="I2626" s="91">
        <f t="shared" si="107"/>
        <v>0</v>
      </c>
      <c r="J2626" s="146"/>
      <c r="K2626" s="146"/>
      <c r="L2626" s="117"/>
      <c r="M2626" s="56">
        <v>2000</v>
      </c>
    </row>
    <row r="2627" spans="1:13" s="51" customFormat="1" ht="25.2" hidden="1" customHeight="1">
      <c r="A2627" s="68">
        <f t="shared" si="106"/>
        <v>0</v>
      </c>
      <c r="B2627" s="69" t="s">
        <v>382</v>
      </c>
      <c r="C2627" s="69"/>
      <c r="D2627" s="111"/>
      <c r="E2627" s="88">
        <v>0</v>
      </c>
      <c r="F2627" s="89" t="str">
        <f>VLOOKUP($B2627,[1]DG!A:D,[1]DG!$C$2,)</f>
        <v xml:space="preserve">Cổ dê chống lắc 8x80x800 </v>
      </c>
      <c r="G2627" s="88" t="s">
        <v>375</v>
      </c>
      <c r="H2627" s="145">
        <f>H2620/3</f>
        <v>0</v>
      </c>
      <c r="I2627" s="91">
        <f t="shared" si="107"/>
        <v>0</v>
      </c>
      <c r="J2627" s="146"/>
      <c r="K2627" s="146"/>
      <c r="L2627" s="117"/>
      <c r="M2627" s="56">
        <v>2000</v>
      </c>
    </row>
    <row r="2628" spans="1:13" s="51" customFormat="1" ht="25.2" hidden="1" customHeight="1">
      <c r="A2628" s="68">
        <f t="shared" si="106"/>
        <v>0</v>
      </c>
      <c r="B2628" s="69" t="s">
        <v>572</v>
      </c>
      <c r="C2628" s="69"/>
      <c r="D2628" s="111"/>
      <c r="E2628" s="88" t="s">
        <v>573</v>
      </c>
      <c r="F2628" s="89" t="str">
        <f>VLOOKUP($B2628,[1]DG!A:D,[1]DG!$C$2,)</f>
        <v>Lắp xà néo ≤ 50kg</v>
      </c>
      <c r="G2628" s="88" t="s">
        <v>375</v>
      </c>
      <c r="H2628" s="145">
        <f>H2620</f>
        <v>0</v>
      </c>
      <c r="I2628" s="91">
        <f t="shared" si="107"/>
        <v>0</v>
      </c>
      <c r="J2628" s="146"/>
      <c r="K2628" s="146"/>
      <c r="L2628" s="117"/>
      <c r="M2628" s="56">
        <v>2000</v>
      </c>
    </row>
    <row r="2629" spans="1:13" s="51" customFormat="1" ht="25.2" hidden="1" customHeight="1">
      <c r="A2629" s="68">
        <f t="shared" si="106"/>
        <v>0</v>
      </c>
      <c r="B2629" s="69"/>
      <c r="C2629" s="69"/>
      <c r="D2629" s="220">
        <f>IF(H2629&gt;0,D2620+1,D2620)</f>
        <v>0</v>
      </c>
      <c r="E2629" s="238"/>
      <c r="F2629" s="329" t="s">
        <v>574</v>
      </c>
      <c r="G2629" s="220" t="s">
        <v>67</v>
      </c>
      <c r="H2629" s="240">
        <f>H2557</f>
        <v>0</v>
      </c>
      <c r="I2629" s="91">
        <f t="shared" si="107"/>
        <v>0</v>
      </c>
      <c r="J2629" s="146"/>
      <c r="K2629" s="146"/>
      <c r="L2629" s="117"/>
      <c r="M2629" s="56">
        <v>2000</v>
      </c>
    </row>
    <row r="2630" spans="1:13" s="51" customFormat="1" ht="25.2" hidden="1" customHeight="1">
      <c r="A2630" s="68">
        <f t="shared" si="106"/>
        <v>0</v>
      </c>
      <c r="B2630" s="330"/>
      <c r="C2630" s="330"/>
      <c r="D2630" s="111"/>
      <c r="E2630" s="242"/>
      <c r="F2630" s="369" t="s">
        <v>575</v>
      </c>
      <c r="G2630" s="87"/>
      <c r="H2630" s="145"/>
      <c r="I2630" s="91">
        <f t="shared" si="107"/>
        <v>0</v>
      </c>
      <c r="J2630" s="146"/>
      <c r="K2630" s="146"/>
      <c r="L2630" s="117"/>
      <c r="M2630" s="56">
        <v>2000</v>
      </c>
    </row>
    <row r="2631" spans="1:13" s="51" customFormat="1" ht="25.2" hidden="1" customHeight="1">
      <c r="A2631" s="68">
        <f t="shared" si="106"/>
        <v>0</v>
      </c>
      <c r="B2631" s="69" t="s">
        <v>81</v>
      </c>
      <c r="C2631" s="69"/>
      <c r="D2631" s="111"/>
      <c r="E2631" s="88">
        <f>VLOOKUP($B2631,[1]DG!A:D,[1]DG!$B$2,)</f>
        <v>0</v>
      </c>
      <c r="F2631" s="89" t="str">
        <f>VLOOKUP($B2631,[1]DG!A:D,[1]DG!$C$2,)&amp; ": "&amp;I3&amp;"m"</f>
        <v>Cáp đồng trần M25mm2: 46m</v>
      </c>
      <c r="G2631" s="88" t="str">
        <f>VLOOKUP($B2631,[1]DG!A:D,[1]DG!$D$2,)</f>
        <v>kg</v>
      </c>
      <c r="H2631" s="145">
        <f>I3*0.224*H2629*0</f>
        <v>0</v>
      </c>
      <c r="I2631" s="91">
        <f t="shared" si="107"/>
        <v>0</v>
      </c>
      <c r="J2631" s="146"/>
      <c r="K2631" s="146"/>
      <c r="L2631" s="117"/>
      <c r="M2631" s="56">
        <v>2000</v>
      </c>
    </row>
    <row r="2632" spans="1:13" s="51" customFormat="1" ht="25.2" hidden="1" customHeight="1">
      <c r="A2632" s="68">
        <f t="shared" si="106"/>
        <v>0</v>
      </c>
      <c r="B2632" s="69" t="s">
        <v>81</v>
      </c>
      <c r="C2632" s="69"/>
      <c r="D2632" s="111"/>
      <c r="E2632" s="88">
        <f>VLOOKUP($B2632,[1]DG!A:D,[1]DG!$B$2,)</f>
        <v>0</v>
      </c>
      <c r="F2632" s="89" t="str">
        <f>VLOOKUP($B2632,[1]DG!A:D,[1]DG!$C$2,)&amp;": 10m noái leân voû caùc thieát bò"</f>
        <v>Cáp đồng trần M25mm2: 10m noái leân voû caùc thieát bò</v>
      </c>
      <c r="G2632" s="88" t="str">
        <f>VLOOKUP($B2632,[1]DG!A:D,[1]DG!$D$2,)</f>
        <v>kg</v>
      </c>
      <c r="H2632" s="145">
        <f>10*0.224*H2629*0</f>
        <v>0</v>
      </c>
      <c r="I2632" s="91">
        <f t="shared" si="107"/>
        <v>0</v>
      </c>
      <c r="J2632" s="146"/>
      <c r="K2632" s="146"/>
      <c r="L2632" s="117"/>
      <c r="M2632" s="56">
        <v>2000</v>
      </c>
    </row>
    <row r="2633" spans="1:13" s="51" customFormat="1" ht="25.2" hidden="1" customHeight="1">
      <c r="A2633" s="68">
        <f t="shared" si="106"/>
        <v>0</v>
      </c>
      <c r="B2633" s="86" t="s">
        <v>82</v>
      </c>
      <c r="C2633" s="86"/>
      <c r="D2633" s="111"/>
      <c r="E2633" s="88">
        <f>VLOOKUP($B2633,[1]DG!A:D,[1]DG!$B$2,)</f>
        <v>0</v>
      </c>
      <c r="F2633" s="89" t="str">
        <f>VLOOKUP($B2633,[1]DG!A:D,[1]DG!$C$2,)</f>
        <v>Cọc tiếp đất Þ 16- 2,4m + kẹp cọc mạ đồng</v>
      </c>
      <c r="G2633" s="88" t="str">
        <f>VLOOKUP($B2633,[1]DG!A:D,[1]DG!$D$2,)</f>
        <v>bộ</v>
      </c>
      <c r="H2633" s="145">
        <f>I2*H2629</f>
        <v>0</v>
      </c>
      <c r="I2633" s="91">
        <f t="shared" si="107"/>
        <v>0</v>
      </c>
      <c r="J2633" s="146"/>
      <c r="K2633" s="146"/>
      <c r="L2633" s="117"/>
      <c r="M2633" s="56">
        <v>2000</v>
      </c>
    </row>
    <row r="2634" spans="1:13" s="51" customFormat="1" ht="25.2" hidden="1" customHeight="1">
      <c r="A2634" s="68">
        <f t="shared" si="106"/>
        <v>0</v>
      </c>
      <c r="B2634" s="86" t="s">
        <v>83</v>
      </c>
      <c r="C2634" s="86"/>
      <c r="D2634" s="111"/>
      <c r="E2634" s="88" t="str">
        <f>VLOOKUP($B2634,[1]DG!A:D,[1]DG!$B$2,)</f>
        <v>07.2403</v>
      </c>
      <c r="F2634" s="89" t="str">
        <f>VLOOKUP($B2634,[1]DG!A:D,[1]DG!$C$2,)</f>
        <v xml:space="preserve">Ống PVC D21x1,6mm </v>
      </c>
      <c r="G2634" s="88" t="str">
        <f>VLOOKUP($B2634,[1]DG!A:D,[1]DG!$D$2,)</f>
        <v>m</v>
      </c>
      <c r="H2634" s="145">
        <f>H2629*6*0</f>
        <v>0</v>
      </c>
      <c r="I2634" s="91">
        <f t="shared" si="107"/>
        <v>0</v>
      </c>
      <c r="J2634" s="146"/>
      <c r="K2634" s="146"/>
      <c r="L2634" s="117"/>
      <c r="M2634" s="56">
        <v>2000</v>
      </c>
    </row>
    <row r="2635" spans="1:13" s="51" customFormat="1" ht="25.2" hidden="1" customHeight="1">
      <c r="A2635" s="68">
        <f t="shared" si="106"/>
        <v>0</v>
      </c>
      <c r="B2635" s="69" t="s">
        <v>184</v>
      </c>
      <c r="C2635" s="69"/>
      <c r="D2635" s="111"/>
      <c r="E2635" s="88">
        <f>VLOOKUP($B2635,[1]DG!A:D,[1]DG!$B$2,)</f>
        <v>0</v>
      </c>
      <c r="F2635" s="89" t="str">
        <f>VLOOKUP($B2635,[1]DG!A:D,[1]DG!$C$2,)&amp; " baét trung tính löôùi"</f>
        <v>Kẹp ép WR cỡ dây 50mm2 baét trung tính löôùi</v>
      </c>
      <c r="G2635" s="88" t="str">
        <f>VLOOKUP($B2635,[1]DG!A:D,[1]DG!$D$2,)</f>
        <v>cái</v>
      </c>
      <c r="H2635" s="145">
        <f>2*H2629*0</f>
        <v>0</v>
      </c>
      <c r="I2635" s="91">
        <f t="shared" si="107"/>
        <v>0</v>
      </c>
      <c r="J2635" s="146"/>
      <c r="K2635" s="146"/>
      <c r="L2635" s="117"/>
      <c r="M2635" s="56">
        <v>2000</v>
      </c>
    </row>
    <row r="2636" spans="1:13" s="51" customFormat="1" ht="25.2" hidden="1" customHeight="1">
      <c r="A2636" s="68">
        <f t="shared" si="106"/>
        <v>0</v>
      </c>
      <c r="B2636" s="69" t="s">
        <v>85</v>
      </c>
      <c r="C2636" s="69"/>
      <c r="D2636" s="111"/>
      <c r="E2636" s="88">
        <f>VLOOKUP($B2636,[1]DG!A:D,[1]DG!$B$2,)</f>
        <v>0</v>
      </c>
      <c r="F2636" s="89" t="str">
        <f>VLOOKUP($B2636,[1]DG!A:D,[1]DG!$C$2,)</f>
        <v>Kẹp ép cỡ dây 25mm2</v>
      </c>
      <c r="G2636" s="88" t="str">
        <f>VLOOKUP($B2636,[1]DG!A:D,[1]DG!$D$2,)</f>
        <v>cái</v>
      </c>
      <c r="H2636" s="340">
        <f>H2629*11*0</f>
        <v>0</v>
      </c>
      <c r="I2636" s="91">
        <f t="shared" si="107"/>
        <v>0</v>
      </c>
      <c r="J2636" s="146"/>
      <c r="K2636" s="146"/>
      <c r="L2636" s="117"/>
      <c r="M2636" s="56">
        <v>2000</v>
      </c>
    </row>
    <row r="2637" spans="1:13" s="51" customFormat="1" ht="25.2" hidden="1" customHeight="1">
      <c r="A2637" s="68">
        <f t="shared" si="106"/>
        <v>0</v>
      </c>
      <c r="B2637" s="86" t="s">
        <v>131</v>
      </c>
      <c r="C2637" s="86"/>
      <c r="D2637" s="111"/>
      <c r="E2637" s="88">
        <f>VLOOKUP($B2637,[1]DG!A:D,[1]DG!$B$2,)</f>
        <v>0</v>
      </c>
      <c r="F2637" s="89" t="str">
        <f>VLOOKUP($B2637,[1]DG!A:D,[1]DG!$C$2,)</f>
        <v>Boulon 12x40+ 2 long đền vuông D14-50x50x3/Zn</v>
      </c>
      <c r="G2637" s="88" t="str">
        <f>VLOOKUP($B2637,[1]DG!A:D,[1]DG!$D$2,)</f>
        <v>bộ</v>
      </c>
      <c r="H2637" s="145">
        <f>H2638/2</f>
        <v>0</v>
      </c>
      <c r="I2637" s="91">
        <f t="shared" si="107"/>
        <v>0</v>
      </c>
      <c r="J2637" s="146"/>
      <c r="K2637" s="146"/>
      <c r="L2637" s="117"/>
      <c r="M2637" s="56">
        <v>2000</v>
      </c>
    </row>
    <row r="2638" spans="1:13" s="51" customFormat="1" ht="25.2" hidden="1" customHeight="1">
      <c r="A2638" s="68">
        <f t="shared" si="106"/>
        <v>0</v>
      </c>
      <c r="B2638" s="86" t="s">
        <v>198</v>
      </c>
      <c r="C2638" s="86"/>
      <c r="D2638" s="111"/>
      <c r="E2638" s="88" t="str">
        <f>VLOOKUP($B2638,[1]DG!A:D,[1]DG!$B$2,)</f>
        <v>03.4001</v>
      </c>
      <c r="F2638" s="89" t="str">
        <f>VLOOKUP($B2638,[1]DG!A:D,[1]DG!$C$2,)</f>
        <v>Đầu cosse ép Cu 25mm2</v>
      </c>
      <c r="G2638" s="88" t="str">
        <f>VLOOKUP($B2638,[1]DG!A:D,[1]DG!$D$2,)</f>
        <v>cái</v>
      </c>
      <c r="H2638" s="145">
        <f>+H2629*2*0</f>
        <v>0</v>
      </c>
      <c r="I2638" s="91">
        <f t="shared" si="107"/>
        <v>0</v>
      </c>
      <c r="J2638" s="146"/>
      <c r="K2638" s="146"/>
      <c r="L2638" s="117"/>
      <c r="M2638" s="56">
        <v>2000</v>
      </c>
    </row>
    <row r="2639" spans="1:13" s="51" customFormat="1" ht="25.2" hidden="1" customHeight="1">
      <c r="A2639" s="68">
        <f t="shared" si="106"/>
        <v>0</v>
      </c>
      <c r="B2639" s="86" t="s">
        <v>86</v>
      </c>
      <c r="C2639" s="86"/>
      <c r="D2639" s="111"/>
      <c r="E2639" s="88" t="str">
        <f>VLOOKUP($B2639,[1]DG!A:D,[1]DG!$B$2,)</f>
        <v>06.3231</v>
      </c>
      <c r="F2639" s="89" t="str">
        <f>VLOOKUP($B2639,[1]DG!A:D,[1]DG!$C$2,)</f>
        <v>Cổ dê kẹp ống PVC  21</v>
      </c>
      <c r="G2639" s="88" t="str">
        <f>VLOOKUP($B2639,[1]DG!A:D,[1]DG!$D$2,)</f>
        <v>bộ</v>
      </c>
      <c r="H2639" s="145">
        <f>H2629*2*0</f>
        <v>0</v>
      </c>
      <c r="I2639" s="91">
        <f t="shared" si="107"/>
        <v>0</v>
      </c>
      <c r="J2639" s="146"/>
      <c r="K2639" s="146"/>
      <c r="L2639" s="117"/>
      <c r="M2639" s="56">
        <v>2000</v>
      </c>
    </row>
    <row r="2640" spans="1:13" s="51" customFormat="1" ht="25.2" hidden="1" customHeight="1">
      <c r="A2640" s="68">
        <f t="shared" si="106"/>
        <v>0</v>
      </c>
      <c r="B2640" s="86" t="s">
        <v>290</v>
      </c>
      <c r="C2640" s="86"/>
      <c r="D2640" s="111"/>
      <c r="E2640" s="88">
        <f>VLOOKUP($B2640,[1]DG!A:D,[1]DG!$B$2,)</f>
        <v>0</v>
      </c>
      <c r="F2640" s="89" t="str">
        <f>VLOOKUP($B2640,[1]DG!A:D,[1]DG!$C$2,)</f>
        <v>Giếng tiếp địa khoan đất</v>
      </c>
      <c r="G2640" s="88" t="str">
        <f>VLOOKUP($B2640,[1]DG!A:D,[1]DG!$D$2,)</f>
        <v>Cái</v>
      </c>
      <c r="H2640" s="145"/>
      <c r="I2640" s="91">
        <f t="shared" si="107"/>
        <v>0</v>
      </c>
      <c r="J2640" s="146"/>
      <c r="K2640" s="146"/>
      <c r="L2640" s="117"/>
      <c r="M2640" s="56">
        <v>2000</v>
      </c>
    </row>
    <row r="2641" spans="1:13" s="51" customFormat="1" ht="25.2" hidden="1" customHeight="1">
      <c r="A2641" s="68">
        <f t="shared" si="106"/>
        <v>0</v>
      </c>
      <c r="B2641" s="86" t="s">
        <v>576</v>
      </c>
      <c r="C2641" s="86"/>
      <c r="D2641" s="87"/>
      <c r="E2641" s="88" t="str">
        <f>VLOOKUP($B2641,[1]DG!A:D,[1]DG!$B$2,)</f>
        <v>03.8133</v>
      </c>
      <c r="F2641" s="92" t="str">
        <f>VLOOKUP($B2641,[1]DG!A:D,[1]DG!$C$2,)&amp;": (2m3/cọc)x"&amp;H2633&amp;" cọc"</f>
        <v>Phá đá chân hố móng, đá cấp II: (2m3/cọc)x0 cọc</v>
      </c>
      <c r="G2641" s="339" t="s">
        <v>11</v>
      </c>
      <c r="H2641" s="94"/>
      <c r="I2641" s="91">
        <f t="shared" si="107"/>
        <v>0</v>
      </c>
      <c r="J2641" s="146"/>
      <c r="K2641" s="146"/>
      <c r="L2641" s="117"/>
      <c r="M2641" s="56">
        <v>2000</v>
      </c>
    </row>
    <row r="2642" spans="1:13" s="51" customFormat="1" ht="25.2" hidden="1" customHeight="1">
      <c r="A2642" s="68">
        <f t="shared" si="106"/>
        <v>0</v>
      </c>
      <c r="B2642" s="86" t="s">
        <v>244</v>
      </c>
      <c r="C2642" s="86"/>
      <c r="D2642" s="87"/>
      <c r="E2642" s="88" t="str">
        <f>VLOOKUP($B2642,[1]DG!A:D,[1]DG!$B$2,)</f>
        <v>03.3123</v>
      </c>
      <c r="F2642" s="89" t="str">
        <f>VLOOKUP($B2642,[1]DG!A:D,[1]DG!$C$2,)</f>
        <v>Đào rãnh tiếp địa đất cấp 3</v>
      </c>
      <c r="G2642" s="339" t="s">
        <v>11</v>
      </c>
      <c r="H2642" s="94">
        <f>I3*H2629</f>
        <v>0</v>
      </c>
      <c r="I2642" s="91">
        <f t="shared" si="107"/>
        <v>0</v>
      </c>
      <c r="J2642" s="146"/>
      <c r="K2642" s="146"/>
      <c r="L2642" s="117"/>
      <c r="M2642" s="56">
        <v>2000</v>
      </c>
    </row>
    <row r="2643" spans="1:13" s="51" customFormat="1" ht="25.2" hidden="1" customHeight="1">
      <c r="A2643" s="68">
        <f t="shared" si="106"/>
        <v>0</v>
      </c>
      <c r="B2643" s="86" t="s">
        <v>245</v>
      </c>
      <c r="C2643" s="86"/>
      <c r="D2643" s="87"/>
      <c r="E2643" s="88" t="str">
        <f>VLOOKUP($B2643,[1]DG!A:D,[1]DG!$B$2,)</f>
        <v>03.4123</v>
      </c>
      <c r="F2643" s="89" t="str">
        <f>VLOOKUP($B2643,[1]DG!A:D,[1]DG!$C$2,)</f>
        <v>Đắp đất rãnh tiếp độ chặt k=0,85</v>
      </c>
      <c r="G2643" s="339" t="s">
        <v>11</v>
      </c>
      <c r="H2643" s="94">
        <f>($H2642+H2641)*H2629</f>
        <v>0</v>
      </c>
      <c r="I2643" s="91">
        <f t="shared" si="107"/>
        <v>0</v>
      </c>
      <c r="J2643" s="146"/>
      <c r="K2643" s="146"/>
      <c r="L2643" s="117"/>
      <c r="M2643" s="56">
        <v>2000</v>
      </c>
    </row>
    <row r="2644" spans="1:13" s="51" customFormat="1" ht="25.2" hidden="1" customHeight="1">
      <c r="A2644" s="68">
        <f t="shared" si="106"/>
        <v>0</v>
      </c>
      <c r="B2644" s="86" t="s">
        <v>89</v>
      </c>
      <c r="C2644" s="86"/>
      <c r="D2644" s="87"/>
      <c r="E2644" s="88" t="str">
        <f>VLOOKUP($B2644,[1]DG!A:D,[1]DG!$B$2,)</f>
        <v>04.7001</v>
      </c>
      <c r="F2644" s="89" t="str">
        <f>VLOOKUP($B2644,[1]DG!A:D,[1]DG!$C$2,)</f>
        <v>Đóng cọc tiếp địa trong TBA</v>
      </c>
      <c r="G2644" s="339" t="s">
        <v>11</v>
      </c>
      <c r="H2644" s="94">
        <f>H2633</f>
        <v>0</v>
      </c>
      <c r="I2644" s="91">
        <f t="shared" si="107"/>
        <v>0</v>
      </c>
      <c r="J2644" s="146"/>
      <c r="K2644" s="146"/>
      <c r="L2644" s="117"/>
      <c r="M2644" s="56">
        <v>2000</v>
      </c>
    </row>
    <row r="2645" spans="1:13" s="51" customFormat="1" ht="25.2" hidden="1" customHeight="1">
      <c r="A2645" s="68">
        <f t="shared" si="106"/>
        <v>0</v>
      </c>
      <c r="B2645" s="86" t="s">
        <v>387</v>
      </c>
      <c r="C2645" s="86"/>
      <c r="D2645" s="111"/>
      <c r="E2645" s="88" t="str">
        <f>VLOOKUP($B2645,[1]DG!A:D,[1]DG!$B$2,)</f>
        <v>04.7002</v>
      </c>
      <c r="F2645" s="89" t="str">
        <f>VLOOKUP($B2645,[1]DG!A:D,[1]DG!$C$2,)</f>
        <v>Kéo dây tiếp địa trong TBA</v>
      </c>
      <c r="G2645" s="88" t="str">
        <f>VLOOKUP($B2645,[1]DG!A:D,[1]DG!$D$2,)</f>
        <v>mét</v>
      </c>
      <c r="H2645" s="145">
        <f>H2629*I3*0</f>
        <v>0</v>
      </c>
      <c r="I2645" s="91">
        <f t="shared" si="107"/>
        <v>0</v>
      </c>
      <c r="J2645" s="146"/>
      <c r="K2645" s="146"/>
      <c r="L2645" s="117"/>
      <c r="M2645" s="56">
        <v>2000</v>
      </c>
    </row>
    <row r="2646" spans="1:13" s="51" customFormat="1" ht="25.2" hidden="1" customHeight="1">
      <c r="A2646" s="68">
        <f t="shared" si="106"/>
        <v>0</v>
      </c>
      <c r="B2646" s="69"/>
      <c r="C2646" s="69"/>
      <c r="D2646" s="220">
        <f>IF(H2646&gt;0,D2629+1,D2629)</f>
        <v>0</v>
      </c>
      <c r="E2646" s="238"/>
      <c r="F2646" s="239" t="s">
        <v>577</v>
      </c>
      <c r="G2646" s="220" t="s">
        <v>67</v>
      </c>
      <c r="H2646" s="240">
        <f>H2557</f>
        <v>0</v>
      </c>
      <c r="I2646" s="91">
        <f t="shared" si="107"/>
        <v>0</v>
      </c>
      <c r="J2646" s="146"/>
      <c r="K2646" s="146"/>
      <c r="L2646" s="117"/>
      <c r="M2646" s="56">
        <v>2000</v>
      </c>
    </row>
    <row r="2647" spans="1:13" s="51" customFormat="1" ht="25.2" hidden="1" customHeight="1">
      <c r="A2647" s="68">
        <f>IF(A2646&gt;0,1,0)</f>
        <v>0</v>
      </c>
      <c r="B2647" s="69"/>
      <c r="C2647" s="69"/>
      <c r="D2647" s="111"/>
      <c r="E2647" s="242"/>
      <c r="F2647" s="243" t="s">
        <v>68</v>
      </c>
      <c r="G2647" s="87"/>
      <c r="H2647" s="145"/>
      <c r="I2647" s="91">
        <f t="shared" si="107"/>
        <v>0</v>
      </c>
      <c r="J2647" s="146"/>
      <c r="K2647" s="146"/>
      <c r="L2647" s="117"/>
      <c r="M2647" s="56">
        <v>2000</v>
      </c>
    </row>
    <row r="2648" spans="1:13" s="51" customFormat="1" ht="25.2" hidden="1" customHeight="1">
      <c r="A2648" s="68">
        <f t="shared" si="106"/>
        <v>0</v>
      </c>
      <c r="B2648" s="370" t="s">
        <v>578</v>
      </c>
      <c r="C2648" s="370"/>
      <c r="D2648" s="87"/>
      <c r="E2648" s="88" t="str">
        <f>VLOOKUP($B2648,[1]DG!A:D,[1]DG!$B$2,)</f>
        <v>05.1002</v>
      </c>
      <c r="F2648" s="89" t="str">
        <f>VLOOKUP($B2648,[1]DG!A:D,[1]DG!$C$2,)</f>
        <v>Tủ CB trạm 3 pha + khoá + bulon</v>
      </c>
      <c r="G2648" s="88" t="str">
        <f>VLOOKUP($B2648,[1]DG!A:D,[1]DG!$D$2,)</f>
        <v>cái</v>
      </c>
      <c r="H2648" s="145">
        <f>H2646</f>
        <v>0</v>
      </c>
      <c r="I2648" s="91">
        <f t="shared" si="107"/>
        <v>0</v>
      </c>
      <c r="J2648" s="146"/>
      <c r="K2648" s="146"/>
      <c r="L2648" s="117"/>
      <c r="M2648" s="56">
        <v>2000</v>
      </c>
    </row>
    <row r="2649" spans="1:13" s="51" customFormat="1" ht="25.2" hidden="1" customHeight="1">
      <c r="A2649" s="68">
        <f t="shared" si="106"/>
        <v>0</v>
      </c>
      <c r="B2649" s="69" t="s">
        <v>394</v>
      </c>
      <c r="C2649" s="69"/>
      <c r="D2649" s="111"/>
      <c r="E2649" s="88">
        <f>VLOOKUP($B2649,[1]DG!A:D,[1]DG!$B$2,)</f>
        <v>0</v>
      </c>
      <c r="F2649" s="89" t="str">
        <f>VLOOKUP($B2649,[1]DG!A:D,[1]DG!$C$2,)</f>
        <v>Giá nới + Thanh cái tủ CB</v>
      </c>
      <c r="G2649" s="88" t="str">
        <f>VLOOKUP($B2649,[1]DG!A:D,[1]DG!$D$2,)</f>
        <v>bộ</v>
      </c>
      <c r="H2649" s="244">
        <f>H2646</f>
        <v>0</v>
      </c>
      <c r="I2649" s="91">
        <f t="shared" si="107"/>
        <v>0</v>
      </c>
      <c r="J2649" s="146"/>
      <c r="K2649" s="146"/>
      <c r="L2649" s="117"/>
      <c r="M2649" s="56">
        <v>2000</v>
      </c>
    </row>
    <row r="2650" spans="1:13" s="51" customFormat="1" ht="25.2" hidden="1" customHeight="1">
      <c r="A2650" s="68">
        <f t="shared" si="106"/>
        <v>0</v>
      </c>
      <c r="B2650" s="69" t="s">
        <v>96</v>
      </c>
      <c r="C2650" s="69"/>
      <c r="D2650" s="111"/>
      <c r="E2650" s="88">
        <f>VLOOKUP($B2650,[1]DG!A:D,[1]DG!$B$2,)</f>
        <v>0</v>
      </c>
      <c r="F2650" s="89" t="str">
        <f>VLOOKUP($B2650,[1]DG!A:D,[1]DG!$C$2,)</f>
        <v xml:space="preserve">Bakelit 550x450 dầy 10mm </v>
      </c>
      <c r="G2650" s="88" t="str">
        <f>VLOOKUP($B2650,[1]DG!A:D,[1]DG!$D$2,)</f>
        <v>cái</v>
      </c>
      <c r="H2650" s="244">
        <f>H2646*1</f>
        <v>0</v>
      </c>
      <c r="I2650" s="91">
        <f t="shared" si="107"/>
        <v>0</v>
      </c>
      <c r="J2650" s="146"/>
      <c r="K2650" s="146"/>
      <c r="L2650" s="117"/>
      <c r="M2650" s="56">
        <v>2000</v>
      </c>
    </row>
    <row r="2651" spans="1:13" s="51" customFormat="1" ht="25.2" hidden="1" customHeight="1">
      <c r="A2651" s="68">
        <f t="shared" si="106"/>
        <v>0</v>
      </c>
      <c r="B2651" s="69" t="s">
        <v>117</v>
      </c>
      <c r="C2651" s="69"/>
      <c r="D2651" s="87"/>
      <c r="E2651" s="88" t="str">
        <f>VLOOKUP($B2651,[1]DG!A:D,[1]DG!$B$2,)</f>
        <v>06.3191</v>
      </c>
      <c r="F2651" s="89" t="str">
        <f>VLOOKUP($B2651,[1]DG!A:D,[1]DG!$C$2,)</f>
        <v>Bảng tên trạm, bảng báo nguy hiểm + đinh vít</v>
      </c>
      <c r="G2651" s="88" t="str">
        <f>VLOOKUP($B2651,[1]DG!A:D,[1]DG!$D$2,)</f>
        <v>bộ</v>
      </c>
      <c r="H2651" s="145">
        <f>H2646</f>
        <v>0</v>
      </c>
      <c r="I2651" s="91">
        <f t="shared" si="107"/>
        <v>0</v>
      </c>
      <c r="J2651" s="146"/>
      <c r="K2651" s="146"/>
      <c r="L2651" s="117"/>
      <c r="M2651" s="56">
        <v>2000</v>
      </c>
    </row>
    <row r="2652" spans="1:13" s="51" customFormat="1" ht="25.2" hidden="1" customHeight="1">
      <c r="A2652" s="68">
        <f t="shared" si="106"/>
        <v>0</v>
      </c>
      <c r="B2652" s="69"/>
      <c r="C2652" s="69"/>
      <c r="D2652" s="220">
        <f>IF(H2652&gt;0,D2646+1,D2646)</f>
        <v>0</v>
      </c>
      <c r="E2652" s="238"/>
      <c r="F2652" s="239" t="s">
        <v>579</v>
      </c>
      <c r="G2652" s="220" t="s">
        <v>396</v>
      </c>
      <c r="H2652" s="240"/>
      <c r="I2652" s="91">
        <f t="shared" si="107"/>
        <v>0</v>
      </c>
      <c r="J2652" s="146"/>
      <c r="K2652" s="146"/>
      <c r="L2652" s="117"/>
      <c r="M2652" s="56">
        <v>2000</v>
      </c>
    </row>
    <row r="2653" spans="1:13" s="51" customFormat="1" ht="25.2" hidden="1" customHeight="1">
      <c r="A2653" s="68">
        <f>IF(A2652&gt;0,1,0)</f>
        <v>0</v>
      </c>
      <c r="B2653" s="69"/>
      <c r="C2653" s="69"/>
      <c r="D2653" s="111"/>
      <c r="E2653" s="242"/>
      <c r="F2653" s="243" t="s">
        <v>68</v>
      </c>
      <c r="G2653" s="87"/>
      <c r="H2653" s="145"/>
      <c r="I2653" s="91">
        <f t="shared" si="107"/>
        <v>0</v>
      </c>
      <c r="J2653" s="146"/>
      <c r="K2653" s="146"/>
      <c r="L2653" s="117"/>
      <c r="M2653" s="56">
        <v>2000</v>
      </c>
    </row>
    <row r="2654" spans="1:13" s="51" customFormat="1" ht="25.2" hidden="1" customHeight="1">
      <c r="A2654" s="68">
        <f t="shared" si="106"/>
        <v>0</v>
      </c>
      <c r="B2654" s="98" t="s">
        <v>294</v>
      </c>
      <c r="C2654" s="98"/>
      <c r="D2654" s="87"/>
      <c r="E2654" s="88">
        <f>VLOOKUP($B2654,[1]DG!A:D,[1]DG!$B$2,)</f>
        <v>0</v>
      </c>
      <c r="F2654" s="92" t="str">
        <f>VLOOKUP($B2654,[1]DG!A:D,[1]DG!$C$2,)&amp;": 0,38m3/m"</f>
        <v>Cát vàng: 0,38m3/m</v>
      </c>
      <c r="G2654" s="88" t="str">
        <f>VLOOKUP($B2654,[1]DG!A:D,[1]DG!$D$2,)</f>
        <v>m3</v>
      </c>
      <c r="H2654" s="145">
        <f>H2652*0.38</f>
        <v>0</v>
      </c>
      <c r="I2654" s="91">
        <f t="shared" si="107"/>
        <v>0</v>
      </c>
      <c r="J2654" s="146"/>
      <c r="K2654" s="146"/>
      <c r="L2654" s="117"/>
      <c r="M2654" s="56">
        <v>2000</v>
      </c>
    </row>
    <row r="2655" spans="1:13" s="51" customFormat="1" ht="25.2" hidden="1" customHeight="1">
      <c r="A2655" s="68">
        <f t="shared" si="106"/>
        <v>0</v>
      </c>
      <c r="B2655" s="98" t="s">
        <v>580</v>
      </c>
      <c r="C2655" s="98"/>
      <c r="D2655" s="87"/>
      <c r="E2655" s="88">
        <f>VLOOKUP($B2655,[1]DG!A:D,[1]DG!$B$2,)</f>
        <v>0</v>
      </c>
      <c r="F2655" s="92" t="str">
        <f>VLOOKUP($B2655,[1]DG!A:D,[1]DG!$C$2,)&amp;": 0,12m3/m"</f>
        <v>Đá 1x2: 0,12m3/m</v>
      </c>
      <c r="G2655" s="88" t="str">
        <f>VLOOKUP($B2655,[1]DG!A:D,[1]DG!$D$2,)</f>
        <v>m3</v>
      </c>
      <c r="H2655" s="145">
        <f>0.12*H2652*0</f>
        <v>0</v>
      </c>
      <c r="I2655" s="91">
        <f t="shared" si="107"/>
        <v>0</v>
      </c>
      <c r="J2655" s="146"/>
      <c r="K2655" s="146"/>
      <c r="L2655" s="117"/>
      <c r="M2655" s="56">
        <v>2000</v>
      </c>
    </row>
    <row r="2656" spans="1:13" s="51" customFormat="1" ht="25.2" hidden="1" customHeight="1">
      <c r="A2656" s="68">
        <f t="shared" ref="A2656:A2719" si="108">IF(I2656&gt;0,1,0)</f>
        <v>0</v>
      </c>
      <c r="B2656" s="98" t="s">
        <v>398</v>
      </c>
      <c r="C2656" s="98"/>
      <c r="D2656" s="87"/>
      <c r="E2656" s="88">
        <f>VLOOKUP($B2656,[1]DG!A:D,[1]DG!$B$2,)</f>
        <v>0</v>
      </c>
      <c r="F2656" s="92" t="str">
        <f>VLOOKUP($B2656,[1]DG!A:D,[1]DG!$C$2,)&amp;": 3,3vieân/m"</f>
        <v>Gạch tàu: 3,3vieân/m</v>
      </c>
      <c r="G2656" s="88" t="str">
        <f>VLOOKUP($B2656,[1]DG!A:D,[1]DG!$D$2,)</f>
        <v>viên</v>
      </c>
      <c r="H2656" s="145">
        <f>3.3*H2652</f>
        <v>0</v>
      </c>
      <c r="I2656" s="91">
        <f t="shared" si="107"/>
        <v>0</v>
      </c>
      <c r="J2656" s="146"/>
      <c r="K2656" s="146"/>
      <c r="L2656" s="117"/>
      <c r="M2656" s="56">
        <v>2000</v>
      </c>
    </row>
    <row r="2657" spans="1:14" s="51" customFormat="1" ht="25.2" hidden="1" customHeight="1">
      <c r="A2657" s="68">
        <f t="shared" si="108"/>
        <v>0</v>
      </c>
      <c r="B2657" s="98" t="s">
        <v>399</v>
      </c>
      <c r="C2657" s="98"/>
      <c r="D2657" s="87"/>
      <c r="E2657" s="88">
        <f>VLOOKUP($B2657,[1]DG!A:D,[1]DG!$B$2,)</f>
        <v>0</v>
      </c>
      <c r="F2657" s="92" t="str">
        <f>VLOOKUP($B2657,[1]DG!A:D,[1]DG!$C$2,)&amp;": 0,4m2/m"</f>
        <v>Tấm nilông màu cảnh báo: 0,4m2/m</v>
      </c>
      <c r="G2657" s="88" t="str">
        <f>VLOOKUP($B2657,[1]DG!A:D,[1]DG!$D$2,)</f>
        <v>m2</v>
      </c>
      <c r="H2657" s="145">
        <f>0.4*H2652</f>
        <v>0</v>
      </c>
      <c r="I2657" s="91">
        <f t="shared" si="107"/>
        <v>0</v>
      </c>
      <c r="J2657" s="146"/>
      <c r="K2657" s="146"/>
      <c r="L2657" s="117"/>
      <c r="M2657" s="56">
        <v>2000</v>
      </c>
    </row>
    <row r="2658" spans="1:14" s="51" customFormat="1" ht="25.2" hidden="1" customHeight="1">
      <c r="A2658" s="68">
        <f t="shared" si="108"/>
        <v>0</v>
      </c>
      <c r="B2658" s="98" t="s">
        <v>400</v>
      </c>
      <c r="C2658" s="98"/>
      <c r="D2658" s="111"/>
      <c r="E2658" s="88">
        <f>VLOOKUP($B2658,[1]DG!A:D,[1]DG!$B$2,)</f>
        <v>0</v>
      </c>
      <c r="F2658" s="92" t="str">
        <f>VLOOKUP($B2658,[1]DG!A:D,[1]DG!$C$2,)</f>
        <v>Ống PVC D140x6,7mm</v>
      </c>
      <c r="G2658" s="88" t="str">
        <f>VLOOKUP($B2658,[1]DG!A:D,[1]DG!$D$2,)</f>
        <v>m</v>
      </c>
      <c r="H2658" s="145">
        <f>1*H2652</f>
        <v>0</v>
      </c>
      <c r="I2658" s="91">
        <f t="shared" si="107"/>
        <v>0</v>
      </c>
      <c r="J2658" s="146"/>
      <c r="K2658" s="146"/>
      <c r="L2658" s="117"/>
      <c r="M2658" s="56">
        <v>2000</v>
      </c>
    </row>
    <row r="2659" spans="1:14" s="51" customFormat="1" ht="25.2" hidden="1" customHeight="1">
      <c r="A2659" s="68">
        <f t="shared" si="108"/>
        <v>0</v>
      </c>
      <c r="B2659" s="98" t="s">
        <v>401</v>
      </c>
      <c r="C2659" s="98"/>
      <c r="D2659" s="87"/>
      <c r="E2659" s="88" t="str">
        <f>VLOOKUP($B2659,[1]DG!A:D,[1]DG!$B$2,)</f>
        <v>03.7000</v>
      </c>
      <c r="F2659" s="92" t="str">
        <f>VLOOKUP($B2659,[1]DG!A:D,[1]DG!$C$2,)&amp;" + ñaép ñaù"</f>
        <v>Đắp cát  + ñaép ñaù</v>
      </c>
      <c r="G2659" s="88" t="str">
        <f>VLOOKUP($B2659,[1]DG!A:D,[1]DG!$D$2,)</f>
        <v>m3</v>
      </c>
      <c r="H2659" s="145">
        <f>H2654+H2655</f>
        <v>0</v>
      </c>
      <c r="I2659" s="91">
        <f t="shared" si="107"/>
        <v>0</v>
      </c>
      <c r="J2659" s="146"/>
      <c r="K2659" s="146"/>
      <c r="L2659" s="117"/>
      <c r="M2659" s="56">
        <v>2000</v>
      </c>
    </row>
    <row r="2660" spans="1:14" s="51" customFormat="1" ht="25.2" hidden="1" customHeight="1">
      <c r="A2660" s="68">
        <f t="shared" si="108"/>
        <v>0</v>
      </c>
      <c r="B2660" s="98" t="s">
        <v>402</v>
      </c>
      <c r="C2660" s="98"/>
      <c r="D2660" s="87"/>
      <c r="E2660" s="88" t="str">
        <f>VLOOKUP($B2660,[1]DG!A:D,[1]DG!$B$2,)</f>
        <v>03.3103</v>
      </c>
      <c r="F2660" s="92" t="str">
        <f>VLOOKUP($B2660,[1]DG!A:D,[1]DG!$C$2,)&amp;" : 0,48m3/m"</f>
        <v>Đào mương cáp ngầm đất cấp 3 : 0,48m3/m</v>
      </c>
      <c r="G2660" s="88" t="str">
        <f>VLOOKUP($B2660,[1]DG!A:D,[1]DG!$D$2,)</f>
        <v>m3</v>
      </c>
      <c r="H2660" s="145">
        <f>H2652*0.48</f>
        <v>0</v>
      </c>
      <c r="I2660" s="91">
        <f t="shared" si="107"/>
        <v>0</v>
      </c>
      <c r="J2660" s="146"/>
      <c r="K2660" s="146"/>
      <c r="L2660" s="117"/>
      <c r="M2660" s="56">
        <v>2000</v>
      </c>
    </row>
    <row r="2661" spans="1:14" s="51" customFormat="1" ht="25.2" hidden="1" customHeight="1">
      <c r="A2661" s="68">
        <f t="shared" si="108"/>
        <v>0</v>
      </c>
      <c r="B2661" s="98" t="s">
        <v>403</v>
      </c>
      <c r="C2661" s="98"/>
      <c r="D2661" s="87"/>
      <c r="E2661" s="88" t="str">
        <f>VLOOKUP($B2661,[1]DG!A:D,[1]DG!$B$2,)</f>
        <v>03.3203</v>
      </c>
      <c r="F2661" s="92" t="str">
        <f>VLOOKUP($B2661,[1]DG!A:D,[1]DG!$C$2,)&amp;" : 0,16m3/m"</f>
        <v>Đắp đất mương cáp ngầm, đất cấp 3 : 0,16m3/m</v>
      </c>
      <c r="G2661" s="88" t="str">
        <f>VLOOKUP($B2661,[1]DG!A:D,[1]DG!$D$2,)</f>
        <v>m3</v>
      </c>
      <c r="H2661" s="145">
        <f>0.16*H2652</f>
        <v>0</v>
      </c>
      <c r="I2661" s="91">
        <f t="shared" si="107"/>
        <v>0</v>
      </c>
      <c r="J2661" s="146"/>
      <c r="K2661" s="146"/>
      <c r="L2661" s="117"/>
      <c r="M2661" s="56">
        <v>2000</v>
      </c>
      <c r="N2661" s="335">
        <v>0.47499999999999998</v>
      </c>
    </row>
    <row r="2662" spans="1:14" s="51" customFormat="1" ht="25.2" hidden="1" customHeight="1">
      <c r="A2662" s="68">
        <f t="shared" si="108"/>
        <v>0</v>
      </c>
      <c r="B2662" s="69"/>
      <c r="C2662" s="69"/>
      <c r="D2662" s="220">
        <f>IF(H2662&gt;0,D2652+1,D2652)</f>
        <v>0</v>
      </c>
      <c r="E2662" s="238"/>
      <c r="F2662" s="239" t="s">
        <v>581</v>
      </c>
      <c r="G2662" s="220" t="s">
        <v>67</v>
      </c>
      <c r="H2662" s="240">
        <f>H2671</f>
        <v>0</v>
      </c>
      <c r="I2662" s="91">
        <f t="shared" si="107"/>
        <v>0</v>
      </c>
      <c r="J2662" s="146"/>
      <c r="K2662" s="146"/>
      <c r="L2662" s="117"/>
      <c r="M2662" s="56">
        <v>2000</v>
      </c>
      <c r="N2662" s="335">
        <v>0.88100000000000001</v>
      </c>
    </row>
    <row r="2663" spans="1:14" s="51" customFormat="1" ht="25.2" hidden="1" customHeight="1">
      <c r="A2663" s="68">
        <f>IF(A2662&gt;0,1,0)</f>
        <v>0</v>
      </c>
      <c r="B2663" s="69"/>
      <c r="C2663" s="69"/>
      <c r="D2663" s="111"/>
      <c r="E2663" s="242"/>
      <c r="F2663" s="243" t="s">
        <v>68</v>
      </c>
      <c r="G2663" s="87"/>
      <c r="H2663" s="145"/>
      <c r="I2663" s="91">
        <f t="shared" si="107"/>
        <v>0</v>
      </c>
      <c r="J2663" s="146"/>
      <c r="K2663" s="146"/>
      <c r="L2663" s="117"/>
      <c r="M2663" s="56">
        <v>2000</v>
      </c>
    </row>
    <row r="2664" spans="1:14" s="51" customFormat="1" ht="25.2" hidden="1" customHeight="1">
      <c r="A2664" s="68">
        <f t="shared" si="108"/>
        <v>0</v>
      </c>
      <c r="B2664" s="69" t="s">
        <v>405</v>
      </c>
      <c r="C2664" s="69"/>
      <c r="D2664" s="87"/>
      <c r="E2664" s="88" t="str">
        <f>VLOOKUP($B2664,[1]DG!A:D,[1]DG!$B$2,)</f>
        <v>07.2204</v>
      </c>
      <c r="F2664" s="89" t="str">
        <f>VLOOKUP($B2664,[1]DG!A:D,[1]DG!$C$2,)</f>
        <v>ÔÁng sắt tráng kẽm D140</v>
      </c>
      <c r="G2664" s="88" t="str">
        <f>VLOOKUP($B2664,[1]DG!A:D,[1]DG!$D$2,)</f>
        <v>mét</v>
      </c>
      <c r="H2664" s="145">
        <f>H2662*4</f>
        <v>0</v>
      </c>
      <c r="I2664" s="91">
        <f t="shared" si="107"/>
        <v>0</v>
      </c>
      <c r="J2664" s="146"/>
      <c r="K2664" s="146"/>
      <c r="L2664" s="117"/>
      <c r="M2664" s="56">
        <v>2000</v>
      </c>
    </row>
    <row r="2665" spans="1:14" s="51" customFormat="1" ht="25.2" hidden="1" customHeight="1">
      <c r="A2665" s="68">
        <f t="shared" si="108"/>
        <v>0</v>
      </c>
      <c r="B2665" s="98" t="s">
        <v>406</v>
      </c>
      <c r="C2665" s="98"/>
      <c r="D2665" s="111"/>
      <c r="E2665" s="88">
        <f>VLOOKUP($B2665,[1]DG!A:D,[1]DG!$B$2,)</f>
        <v>0</v>
      </c>
      <c r="F2665" s="89" t="str">
        <f>VLOOKUP($B2665,[1]DG!A:D,[1]DG!$C$2,)</f>
        <v>Co sừng 90 độ PVC 140</v>
      </c>
      <c r="G2665" s="88" t="str">
        <f>VLOOKUP($B2665,[1]DG!A:D,[1]DG!$D$2,)</f>
        <v>cái</v>
      </c>
      <c r="H2665" s="145">
        <f>H2662*1</f>
        <v>0</v>
      </c>
      <c r="I2665" s="91">
        <f t="shared" si="107"/>
        <v>0</v>
      </c>
      <c r="J2665" s="146"/>
      <c r="K2665" s="146"/>
      <c r="L2665" s="117"/>
      <c r="M2665" s="56">
        <v>2000</v>
      </c>
    </row>
    <row r="2666" spans="1:14" s="51" customFormat="1" ht="25.2" hidden="1" customHeight="1">
      <c r="A2666" s="68">
        <f t="shared" si="108"/>
        <v>0</v>
      </c>
      <c r="B2666" s="69" t="s">
        <v>407</v>
      </c>
      <c r="C2666" s="69"/>
      <c r="D2666" s="87"/>
      <c r="E2666" s="88" t="str">
        <f>VLOOKUP($B2666,[1]DG!A:D,[1]DG!$B$2,)</f>
        <v>06.3231</v>
      </c>
      <c r="F2666" s="89" t="str">
        <f>VLOOKUP($B2666,[1]DG!A:D,[1]DG!$C$2,)</f>
        <v>Cổ dê giữ ống STK D140 vào tường+Boulon+long đền+tắc ke sắt</v>
      </c>
      <c r="G2666" s="88" t="str">
        <f>VLOOKUP($B2666,[1]DG!A:D,[1]DG!$D$2,)</f>
        <v>bộ</v>
      </c>
      <c r="H2666" s="145">
        <f>H2662*2</f>
        <v>0</v>
      </c>
      <c r="I2666" s="91">
        <f t="shared" si="107"/>
        <v>0</v>
      </c>
      <c r="J2666" s="146"/>
      <c r="K2666" s="146"/>
      <c r="L2666" s="117"/>
      <c r="M2666" s="56">
        <v>2000</v>
      </c>
    </row>
    <row r="2667" spans="1:14" s="51" customFormat="1" ht="25.2" hidden="1" customHeight="1">
      <c r="A2667" s="68">
        <f t="shared" si="108"/>
        <v>0</v>
      </c>
      <c r="B2667" s="86" t="s">
        <v>408</v>
      </c>
      <c r="C2667" s="86"/>
      <c r="D2667" s="87"/>
      <c r="E2667" s="88">
        <f>VLOOKUP($B2667,[1]DG!A:D,[1]DG!$B$2,)</f>
        <v>0</v>
      </c>
      <c r="F2667" s="89" t="str">
        <f>VLOOKUP($B2667,[1]DG!A:D,[1]DG!$C$2,)</f>
        <v>Giá đỡ cáp ngầm (V63x6)</v>
      </c>
      <c r="G2667" s="88" t="str">
        <f>VLOOKUP($B2667,[1]DG!A:D,[1]DG!$D$2,)</f>
        <v>bộ</v>
      </c>
      <c r="H2667" s="145">
        <f>H2662</f>
        <v>0</v>
      </c>
      <c r="I2667" s="91">
        <f t="shared" si="107"/>
        <v>0</v>
      </c>
      <c r="J2667" s="146"/>
      <c r="K2667" s="146"/>
      <c r="L2667" s="117"/>
      <c r="M2667" s="56">
        <v>2000</v>
      </c>
    </row>
    <row r="2668" spans="1:14" s="51" customFormat="1" ht="25.2" hidden="1" customHeight="1">
      <c r="A2668" s="68">
        <f t="shared" si="108"/>
        <v>0</v>
      </c>
      <c r="B2668" s="86" t="s">
        <v>582</v>
      </c>
      <c r="C2668" s="86"/>
      <c r="D2668" s="87"/>
      <c r="E2668" s="88">
        <f>VLOOKUP($B2668,[1]DG!A:D,[1]DG!$B$2,)</f>
        <v>0</v>
      </c>
      <c r="F2668" s="89" t="str">
        <f>VLOOKUP($B2668,[1]DG!A:D,[1]DG!$C$2,)</f>
        <v>Giá đỡ cáp trung thế</v>
      </c>
      <c r="G2668" s="88" t="str">
        <f>VLOOKUP($B2668,[1]DG!A:D,[1]DG!$D$2,)</f>
        <v>bộ</v>
      </c>
      <c r="H2668" s="145">
        <f>H2662*0</f>
        <v>0</v>
      </c>
      <c r="I2668" s="91">
        <f t="shared" si="107"/>
        <v>0</v>
      </c>
      <c r="J2668" s="146"/>
      <c r="K2668" s="146"/>
      <c r="L2668" s="117"/>
      <c r="M2668" s="56">
        <v>2000</v>
      </c>
    </row>
    <row r="2669" spans="1:14" s="51" customFormat="1" ht="25.2" hidden="1" customHeight="1">
      <c r="A2669" s="68">
        <f t="shared" si="108"/>
        <v>0</v>
      </c>
      <c r="B2669" s="69" t="s">
        <v>410</v>
      </c>
      <c r="C2669" s="69"/>
      <c r="D2669" s="111"/>
      <c r="E2669" s="88" t="str">
        <f>VLOOKUP($B2669,[1]DG!A:D,[1]DG!$B$2,)</f>
        <v>05.6101</v>
      </c>
      <c r="F2669" s="89" t="str">
        <f>VLOOKUP($B2669,[1]DG!A:D,[1]DG!$C$2,)</f>
        <v>Lắp Giá đỡ cáp</v>
      </c>
      <c r="G2669" s="88" t="str">
        <f>VLOOKUP($B2669,[1]DG!A:D,[1]DG!$D$2,)</f>
        <v>bộ</v>
      </c>
      <c r="H2669" s="145">
        <f>H2667</f>
        <v>0</v>
      </c>
      <c r="I2669" s="91">
        <f t="shared" si="107"/>
        <v>0</v>
      </c>
      <c r="J2669" s="146"/>
      <c r="K2669" s="146"/>
      <c r="L2669" s="117"/>
      <c r="M2669" s="56">
        <v>2000</v>
      </c>
    </row>
    <row r="2670" spans="1:14" s="51" customFormat="1" ht="25.2" hidden="1" customHeight="1">
      <c r="A2670" s="68">
        <f t="shared" si="108"/>
        <v>0</v>
      </c>
      <c r="B2670" s="69" t="s">
        <v>117</v>
      </c>
      <c r="C2670" s="69"/>
      <c r="D2670" s="87"/>
      <c r="E2670" s="88" t="str">
        <f>VLOOKUP($B2670,[1]DG!A:D,[1]DG!$B$2,)</f>
        <v>06.3191</v>
      </c>
      <c r="F2670" s="89" t="str">
        <f>VLOOKUP($B2670,[1]DG!A:D,[1]DG!$C$2,)</f>
        <v>Bảng tên trạm, bảng báo nguy hiểm + đinh vít</v>
      </c>
      <c r="G2670" s="88" t="str">
        <f>VLOOKUP($B2670,[1]DG!A:D,[1]DG!$D$2,)</f>
        <v>bộ</v>
      </c>
      <c r="H2670" s="145">
        <f>H2662</f>
        <v>0</v>
      </c>
      <c r="I2670" s="91">
        <f t="shared" si="107"/>
        <v>0</v>
      </c>
      <c r="J2670" s="146"/>
      <c r="K2670" s="146"/>
      <c r="L2670" s="117"/>
      <c r="M2670" s="56">
        <v>2000</v>
      </c>
    </row>
    <row r="2671" spans="1:14" s="51" customFormat="1" ht="25.2" hidden="1" customHeight="1">
      <c r="A2671" s="68">
        <f t="shared" si="108"/>
        <v>0</v>
      </c>
      <c r="B2671" s="69"/>
      <c r="C2671" s="69"/>
      <c r="D2671" s="220">
        <f>IF(H2671&gt;0,D2662+1,D2662)</f>
        <v>0</v>
      </c>
      <c r="E2671" s="238"/>
      <c r="F2671" s="247" t="s">
        <v>411</v>
      </c>
      <c r="G2671" s="220" t="s">
        <v>67</v>
      </c>
      <c r="H2671" s="240">
        <f>H2557*0</f>
        <v>0</v>
      </c>
      <c r="I2671" s="91">
        <f t="shared" si="107"/>
        <v>0</v>
      </c>
      <c r="J2671" s="146"/>
      <c r="K2671" s="146"/>
      <c r="L2671" s="117"/>
      <c r="M2671" s="56">
        <v>2000</v>
      </c>
    </row>
    <row r="2672" spans="1:14" s="51" customFormat="1" ht="25.2" hidden="1" customHeight="1">
      <c r="A2672" s="68">
        <f>IF(A2671&gt;0,1,0)</f>
        <v>0</v>
      </c>
      <c r="B2672" s="69"/>
      <c r="C2672" s="69"/>
      <c r="D2672" s="111"/>
      <c r="E2672" s="242"/>
      <c r="F2672" s="248" t="s">
        <v>68</v>
      </c>
      <c r="G2672" s="111"/>
      <c r="H2672" s="244"/>
      <c r="I2672" s="91">
        <f t="shared" si="107"/>
        <v>0</v>
      </c>
      <c r="J2672" s="146"/>
      <c r="K2672" s="146"/>
      <c r="L2672" s="117"/>
      <c r="M2672" s="56">
        <v>2000</v>
      </c>
    </row>
    <row r="2673" spans="1:13" s="51" customFormat="1" ht="25.2" hidden="1" customHeight="1">
      <c r="A2673" s="68">
        <f t="shared" si="108"/>
        <v>0</v>
      </c>
      <c r="B2673" s="86" t="s">
        <v>412</v>
      </c>
      <c r="C2673" s="86"/>
      <c r="D2673" s="87"/>
      <c r="E2673" s="88">
        <f>VLOOKUP($B2673,[1]DG!A:D,[1]DG!$B$2,)</f>
        <v>0</v>
      </c>
      <c r="F2673" s="89" t="str">
        <f>VLOOKUP($B2673,[1]DG!A:D,[1]DG!$C$2,)&amp;": töø trụ ño ñeám ñeán tuû LBSA"</f>
        <v>Cáp 24kV C/XLPE/DSTA/PVC3x50: töø trụ ño ñeám ñeán tuû LBSA</v>
      </c>
      <c r="G2673" s="88" t="str">
        <f>VLOOKUP($B2673,[1]DG!A:D,[1]DG!$D$2,)</f>
        <v>mét</v>
      </c>
      <c r="H2673" s="145">
        <f>(3+10)*1.02*H2671*0</f>
        <v>0</v>
      </c>
      <c r="I2673" s="91">
        <f t="shared" si="107"/>
        <v>0</v>
      </c>
      <c r="J2673" s="146"/>
      <c r="K2673" s="146"/>
      <c r="L2673" s="117"/>
      <c r="M2673" s="56">
        <v>2000</v>
      </c>
    </row>
    <row r="2674" spans="1:13" s="51" customFormat="1" ht="25.2" hidden="1" customHeight="1">
      <c r="A2674" s="68">
        <f t="shared" si="108"/>
        <v>0</v>
      </c>
      <c r="B2674" s="86" t="s">
        <v>413</v>
      </c>
      <c r="C2674" s="86"/>
      <c r="D2674" s="87"/>
      <c r="E2674" s="88">
        <f>VLOOKUP($B2674,[1]DG!A:D,[1]DG!$B$2,)</f>
        <v>0</v>
      </c>
      <c r="F2674" s="89" t="str">
        <f>VLOOKUP($B2674,[1]DG!A:D,[1]DG!$C$2,)&amp;": 0,5m/pha"</f>
        <v>Cáp 24KV C/XLPE/PVC 50mm2: 0,5m/pha</v>
      </c>
      <c r="G2674" s="88" t="str">
        <f>VLOOKUP($B2674,[1]DG!A:D,[1]DG!$D$2,)</f>
        <v>mét</v>
      </c>
      <c r="H2674" s="145">
        <f>H2671*0.5*3</f>
        <v>0</v>
      </c>
      <c r="I2674" s="91">
        <f t="shared" si="107"/>
        <v>0</v>
      </c>
      <c r="J2674" s="146"/>
      <c r="K2674" s="146"/>
      <c r="L2674" s="117"/>
      <c r="M2674" s="56">
        <v>2000</v>
      </c>
    </row>
    <row r="2675" spans="1:13" s="51" customFormat="1" ht="25.2" hidden="1" customHeight="1">
      <c r="A2675" s="68">
        <f t="shared" si="108"/>
        <v>0</v>
      </c>
      <c r="B2675" s="86" t="s">
        <v>414</v>
      </c>
      <c r="C2675" s="86"/>
      <c r="D2675" s="87"/>
      <c r="E2675" s="88">
        <f>VLOOKUP($B2675,[1]DG!A:D,[1]DG!$B$2,)</f>
        <v>0</v>
      </c>
      <c r="F2675" s="89" t="str">
        <f>VLOOKUP($B2675,[1]DG!A:D,[1]DG!$C$2,)</f>
        <v>Đầu cáp ngầm 24KV 3x50mm2 outdoor</v>
      </c>
      <c r="G2675" s="88" t="str">
        <f>VLOOKUP($B2675,[1]DG!A:D,[1]DG!$D$2,)</f>
        <v>cái</v>
      </c>
      <c r="H2675" s="145">
        <f>H2671*2*0</f>
        <v>0</v>
      </c>
      <c r="I2675" s="91">
        <f t="shared" si="107"/>
        <v>0</v>
      </c>
      <c r="J2675" s="146"/>
      <c r="K2675" s="146"/>
      <c r="L2675" s="117"/>
      <c r="M2675" s="56">
        <v>2000</v>
      </c>
    </row>
    <row r="2676" spans="1:13" s="51" customFormat="1" ht="25.2" hidden="1" customHeight="1">
      <c r="A2676" s="68">
        <f t="shared" si="108"/>
        <v>0</v>
      </c>
      <c r="B2676" s="86" t="s">
        <v>412</v>
      </c>
      <c r="C2676" s="86"/>
      <c r="D2676" s="87"/>
      <c r="E2676" s="88">
        <f>VLOOKUP($B2676,[1]DG!A:D,[1]DG!$B$2,)</f>
        <v>0</v>
      </c>
      <c r="F2676" s="89" t="str">
        <f>VLOOKUP($B2676,[1]DG!A:D,[1]DG!$C$2,)&amp;": töø tuû LBS ñeán MBA"</f>
        <v>Cáp 24kV C/XLPE/DSTA/PVC3x50: töø tuû LBS ñeán MBA</v>
      </c>
      <c r="G2676" s="88" t="str">
        <f>VLOOKUP($B2676,[1]DG!A:D,[1]DG!$D$2,)</f>
        <v>mét</v>
      </c>
      <c r="H2676" s="145">
        <f>(1.2+2.4)*H2671*0</f>
        <v>0</v>
      </c>
      <c r="I2676" s="91">
        <f t="shared" si="107"/>
        <v>0</v>
      </c>
      <c r="J2676" s="146"/>
      <c r="K2676" s="146"/>
      <c r="L2676" s="117"/>
      <c r="M2676" s="56">
        <v>2000</v>
      </c>
    </row>
    <row r="2677" spans="1:13" s="51" customFormat="1" ht="25.2" hidden="1" customHeight="1">
      <c r="A2677" s="68">
        <f t="shared" si="108"/>
        <v>0</v>
      </c>
      <c r="B2677" s="86" t="s">
        <v>413</v>
      </c>
      <c r="C2677" s="86"/>
      <c r="D2677" s="87"/>
      <c r="E2677" s="88">
        <f>VLOOKUP($B2677,[1]DG!A:D,[1]DG!$B$2,)</f>
        <v>0</v>
      </c>
      <c r="F2677" s="89" t="str">
        <f>VLOOKUP($B2677,[1]DG!A:D,[1]DG!$C$2,)&amp;": töø tuû LBS ñeán MBA"</f>
        <v>Cáp 24KV C/XLPE/PVC 50mm2: töø tuû LBS ñeán MBA</v>
      </c>
      <c r="G2677" s="88" t="str">
        <f>VLOOKUP($B2677,[1]DG!A:D,[1]DG!$D$2,)</f>
        <v>mét</v>
      </c>
      <c r="H2677" s="145">
        <f>H2676*0</f>
        <v>0</v>
      </c>
      <c r="I2677" s="91">
        <f t="shared" si="107"/>
        <v>0</v>
      </c>
      <c r="J2677" s="146"/>
      <c r="K2677" s="146"/>
      <c r="L2677" s="117"/>
      <c r="M2677" s="56">
        <v>2000</v>
      </c>
    </row>
    <row r="2678" spans="1:13" s="51" customFormat="1" ht="25.2" hidden="1" customHeight="1">
      <c r="A2678" s="68">
        <f t="shared" si="108"/>
        <v>0</v>
      </c>
      <c r="B2678" s="86" t="s">
        <v>415</v>
      </c>
      <c r="C2678" s="86"/>
      <c r="D2678" s="87"/>
      <c r="E2678" s="88">
        <f>VLOOKUP($B2678,[1]DG!A:D,[1]DG!$B$2,)</f>
        <v>0</v>
      </c>
      <c r="F2678" s="89" t="str">
        <f>VLOOKUP($B2678,[1]DG!A:D,[1]DG!$C$2,)</f>
        <v>Đầu cáp ngầm 24KV 3x50mm2 indoor</v>
      </c>
      <c r="G2678" s="88" t="str">
        <f>VLOOKUP($B2678,[1]DG!A:D,[1]DG!$D$2,)</f>
        <v>cái</v>
      </c>
      <c r="H2678" s="145">
        <f>H2671*3*0</f>
        <v>0</v>
      </c>
      <c r="I2678" s="91">
        <f t="shared" si="107"/>
        <v>0</v>
      </c>
      <c r="J2678" s="146"/>
      <c r="K2678" s="146"/>
      <c r="L2678" s="117"/>
      <c r="M2678" s="56">
        <v>2000</v>
      </c>
    </row>
    <row r="2679" spans="1:13" s="51" customFormat="1" ht="25.2" hidden="1" customHeight="1">
      <c r="A2679" s="68">
        <f t="shared" si="108"/>
        <v>0</v>
      </c>
      <c r="B2679" s="86" t="s">
        <v>416</v>
      </c>
      <c r="C2679" s="86"/>
      <c r="D2679" s="87"/>
      <c r="E2679" s="88" t="str">
        <f>VLOOKUP($B2679,[1]DG!A:D,[1]DG!$B$2,)</f>
        <v>07.4312</v>
      </c>
      <c r="F2679" s="89" t="str">
        <f>VLOOKUP($B2679,[1]DG!A:D,[1]DG!$C$2,)</f>
        <v>Lắp đầu cáp trung thế 3x50mm2, 70mm2</v>
      </c>
      <c r="G2679" s="88" t="str">
        <f>VLOOKUP($B2679,[1]DG!A:D,[1]DG!$D$2,)</f>
        <v>cái</v>
      </c>
      <c r="H2679" s="145">
        <f>H2675+H2678</f>
        <v>0</v>
      </c>
      <c r="I2679" s="91">
        <f t="shared" si="107"/>
        <v>0</v>
      </c>
      <c r="J2679" s="146"/>
      <c r="K2679" s="146"/>
      <c r="L2679" s="117"/>
      <c r="M2679" s="56">
        <v>2000</v>
      </c>
    </row>
    <row r="2680" spans="1:13" s="51" customFormat="1" ht="25.2" hidden="1" customHeight="1">
      <c r="A2680" s="68">
        <f t="shared" si="108"/>
        <v>0</v>
      </c>
      <c r="B2680" s="86" t="s">
        <v>583</v>
      </c>
      <c r="C2680" s="86"/>
      <c r="D2680" s="87"/>
      <c r="E2680" s="88" t="str">
        <f>VLOOKUP($B2680,[1]DG!A:D,[1]DG!$B$2,)</f>
        <v>07.3405</v>
      </c>
      <c r="F2680" s="89" t="str">
        <f>VLOOKUP($B2680,[1]DG!A:D,[1]DG!$C$2,)</f>
        <v>Lắp cáp trong ống bảo vệ loại &lt;=6kg</v>
      </c>
      <c r="G2680" s="88" t="str">
        <f>VLOOKUP($B2680,[1]DG!A:D,[1]DG!$D$2,)</f>
        <v>mét</v>
      </c>
      <c r="H2680" s="145">
        <f>H2673+H2676</f>
        <v>0</v>
      </c>
      <c r="I2680" s="91">
        <f t="shared" si="107"/>
        <v>0</v>
      </c>
      <c r="J2680" s="146"/>
      <c r="K2680" s="146"/>
      <c r="L2680" s="117"/>
      <c r="M2680" s="56">
        <v>2000</v>
      </c>
    </row>
    <row r="2681" spans="1:13" s="51" customFormat="1" ht="25.2" hidden="1" customHeight="1">
      <c r="A2681" s="68">
        <f t="shared" si="108"/>
        <v>0</v>
      </c>
      <c r="B2681" s="86" t="s">
        <v>101</v>
      </c>
      <c r="C2681" s="86"/>
      <c r="D2681" s="87"/>
      <c r="E2681" s="88" t="str">
        <f>VLOOKUP($B2681,[1]DG!A:D,[1]DG!$B$2,)</f>
        <v>04.4201</v>
      </c>
      <c r="F2681" s="89" t="str">
        <f>VLOOKUP($B2681,[1]DG!A:D,[1]DG!$C$2,)</f>
        <v>Lắp cáp đồng xuống thiết bị D ≤ 95mm2</v>
      </c>
      <c r="G2681" s="88" t="str">
        <f>VLOOKUP($B2681,[1]DG!A:D,[1]DG!$D$2,)</f>
        <v>m</v>
      </c>
      <c r="H2681" s="145">
        <f>H2674</f>
        <v>0</v>
      </c>
      <c r="I2681" s="91">
        <f t="shared" si="107"/>
        <v>0</v>
      </c>
      <c r="J2681" s="146"/>
      <c r="K2681" s="146"/>
      <c r="L2681" s="117"/>
      <c r="M2681" s="56">
        <v>2000</v>
      </c>
    </row>
    <row r="2682" spans="1:13" s="51" customFormat="1" ht="25.2" hidden="1" customHeight="1">
      <c r="A2682" s="68">
        <f t="shared" si="108"/>
        <v>0</v>
      </c>
      <c r="B2682" s="86" t="s">
        <v>419</v>
      </c>
      <c r="C2682" s="86"/>
      <c r="D2682" s="87"/>
      <c r="E2682" s="88">
        <f>VLOOKUP($B2682,[1]DG!A:D,[1]DG!$B$2,)</f>
        <v>0</v>
      </c>
      <c r="F2682" s="89" t="str">
        <f>VLOOKUP($B2682,[1]DG!A:D,[1]DG!$C$2,)</f>
        <v>Dây rút cáp</v>
      </c>
      <c r="G2682" s="88" t="str">
        <f>VLOOKUP($B2682,[1]DG!A:D,[1]DG!$D$2,)</f>
        <v>bọc</v>
      </c>
      <c r="H2682" s="145">
        <f>H2671*2*0</f>
        <v>0</v>
      </c>
      <c r="I2682" s="91">
        <f t="shared" ref="I2682:I2742" si="109">IF(M2682=$M$23,H2682+J2682-K2682,0)</f>
        <v>0</v>
      </c>
      <c r="J2682" s="146"/>
      <c r="K2682" s="146"/>
      <c r="L2682" s="117"/>
      <c r="M2682" s="56">
        <v>2000</v>
      </c>
    </row>
    <row r="2683" spans="1:13" s="51" customFormat="1" ht="25.2" hidden="1" customHeight="1">
      <c r="A2683" s="68">
        <f t="shared" si="108"/>
        <v>0</v>
      </c>
      <c r="B2683" s="69"/>
      <c r="C2683" s="69"/>
      <c r="D2683" s="220">
        <f>IF(H2683&gt;0,D2671+1,D2671)</f>
        <v>0</v>
      </c>
      <c r="E2683" s="238"/>
      <c r="F2683" s="247" t="s">
        <v>420</v>
      </c>
      <c r="G2683" s="220" t="s">
        <v>67</v>
      </c>
      <c r="H2683" s="240">
        <f>H2557</f>
        <v>0</v>
      </c>
      <c r="I2683" s="91">
        <f t="shared" si="109"/>
        <v>0</v>
      </c>
      <c r="J2683" s="146"/>
      <c r="K2683" s="146"/>
      <c r="L2683" s="117"/>
      <c r="M2683" s="56">
        <v>2000</v>
      </c>
    </row>
    <row r="2684" spans="1:13" s="51" customFormat="1" ht="25.2" hidden="1" customHeight="1">
      <c r="A2684" s="68">
        <f>IF(A2683&gt;0,1,0)</f>
        <v>0</v>
      </c>
      <c r="B2684" s="69"/>
      <c r="C2684" s="69"/>
      <c r="D2684" s="111"/>
      <c r="E2684" s="242"/>
      <c r="F2684" s="248" t="s">
        <v>68</v>
      </c>
      <c r="G2684" s="111"/>
      <c r="H2684" s="244"/>
      <c r="I2684" s="91">
        <f t="shared" si="109"/>
        <v>0</v>
      </c>
      <c r="J2684" s="146"/>
      <c r="K2684" s="146"/>
      <c r="L2684" s="117"/>
      <c r="M2684" s="56">
        <v>2000</v>
      </c>
    </row>
    <row r="2685" spans="1:13" s="51" customFormat="1" ht="25.2" hidden="1" customHeight="1">
      <c r="A2685" s="68">
        <f t="shared" si="108"/>
        <v>0</v>
      </c>
      <c r="B2685" s="86" t="s">
        <v>98</v>
      </c>
      <c r="C2685" s="86"/>
      <c r="D2685" s="87"/>
      <c r="E2685" s="88">
        <f>VLOOKUP($B2685,[1]DG!A:D,[1]DG!$B$2,)</f>
        <v>0</v>
      </c>
      <c r="F2685" s="89" t="str">
        <f>VLOOKUP($B2685,[1]DG!A:D,[1]DG!$C$2,)&amp;": 7m/1pha"</f>
        <v>Cáp 24KV CX-25mm2: 7m/1pha</v>
      </c>
      <c r="G2685" s="88" t="str">
        <f>VLOOKUP($B2685,[1]DG!A:D,[1]DG!$D$2,)</f>
        <v>mét</v>
      </c>
      <c r="H2685" s="145">
        <f>H2683*7*3</f>
        <v>0</v>
      </c>
      <c r="I2685" s="91">
        <f t="shared" si="109"/>
        <v>0</v>
      </c>
      <c r="J2685" s="146"/>
      <c r="K2685" s="146"/>
      <c r="L2685" s="117"/>
      <c r="M2685" s="56">
        <v>2000</v>
      </c>
    </row>
    <row r="2686" spans="1:13" s="51" customFormat="1" ht="25.2" hidden="1" customHeight="1">
      <c r="A2686" s="68">
        <f t="shared" si="108"/>
        <v>0</v>
      </c>
      <c r="B2686" s="86" t="s">
        <v>185</v>
      </c>
      <c r="C2686" s="86"/>
      <c r="D2686" s="87"/>
      <c r="E2686" s="88">
        <f>VLOOKUP($B2686,[1]DG!A:D,[1]DG!$B$2,)</f>
        <v>0</v>
      </c>
      <c r="F2686" s="89" t="str">
        <f>VLOOKUP($B2686,[1]DG!A:D,[1]DG!$C$2,)</f>
        <v>Kẹp ép cỡ dây 25mm2</v>
      </c>
      <c r="G2686" s="88" t="str">
        <f>VLOOKUP($B2686,[1]DG!A:D,[1]DG!$D$2,)</f>
        <v>cái</v>
      </c>
      <c r="H2686" s="145">
        <f>H2683*3*2</f>
        <v>0</v>
      </c>
      <c r="I2686" s="91">
        <f t="shared" si="109"/>
        <v>0</v>
      </c>
      <c r="J2686" s="146"/>
      <c r="K2686" s="146"/>
      <c r="L2686" s="117"/>
      <c r="M2686" s="56">
        <v>2000</v>
      </c>
    </row>
    <row r="2687" spans="1:13" s="51" customFormat="1" ht="25.2" hidden="1" customHeight="1">
      <c r="A2687" s="68">
        <f t="shared" si="108"/>
        <v>0</v>
      </c>
      <c r="B2687" s="86" t="s">
        <v>99</v>
      </c>
      <c r="C2687" s="86"/>
      <c r="D2687" s="87"/>
      <c r="E2687" s="88" t="str">
        <f>VLOOKUP($B2687,[1]DG!A:D,[1]DG!$B$2,)</f>
        <v>04.3007</v>
      </c>
      <c r="F2687" s="89" t="str">
        <f>VLOOKUP($B2687,[1]DG!A:D,[1]DG!$C$2,)</f>
        <v>Kẹp quai 2/0</v>
      </c>
      <c r="G2687" s="88" t="str">
        <f>VLOOKUP($B2687,[1]DG!A:D,[1]DG!$D$2,)</f>
        <v>cái</v>
      </c>
      <c r="H2687" s="145">
        <f>H2683*3*0</f>
        <v>0</v>
      </c>
      <c r="I2687" s="91">
        <f t="shared" si="109"/>
        <v>0</v>
      </c>
      <c r="J2687" s="146"/>
      <c r="K2687" s="146"/>
      <c r="L2687" s="117"/>
      <c r="M2687" s="56">
        <v>2000</v>
      </c>
    </row>
    <row r="2688" spans="1:13" s="51" customFormat="1" ht="25.2" hidden="1" customHeight="1">
      <c r="A2688" s="68">
        <f t="shared" si="108"/>
        <v>0</v>
      </c>
      <c r="B2688" s="86" t="s">
        <v>100</v>
      </c>
      <c r="C2688" s="86"/>
      <c r="D2688" s="87"/>
      <c r="E2688" s="88" t="str">
        <f>VLOOKUP($B2688,[1]DG!A:D,[1]DG!$B$2,)</f>
        <v>04.3007</v>
      </c>
      <c r="F2688" s="89" t="str">
        <f>VLOOKUP($B2688,[1]DG!A:D,[1]DG!$C$2,)&amp;": "</f>
        <v xml:space="preserve">Kẹp hotline 2/0: </v>
      </c>
      <c r="G2688" s="88" t="str">
        <f>VLOOKUP($B2688,[1]DG!A:D,[1]DG!$D$2,)</f>
        <v>cái</v>
      </c>
      <c r="H2688" s="145">
        <f>H2687</f>
        <v>0</v>
      </c>
      <c r="I2688" s="91">
        <f t="shared" si="109"/>
        <v>0</v>
      </c>
      <c r="J2688" s="146"/>
      <c r="K2688" s="146"/>
      <c r="L2688" s="117"/>
      <c r="M2688" s="56">
        <v>2000</v>
      </c>
    </row>
    <row r="2689" spans="1:14" s="51" customFormat="1" ht="25.2" hidden="1" customHeight="1">
      <c r="A2689" s="68">
        <f t="shared" si="108"/>
        <v>0</v>
      </c>
      <c r="B2689" s="86" t="s">
        <v>138</v>
      </c>
      <c r="C2689" s="86"/>
      <c r="D2689" s="96"/>
      <c r="E2689" s="88">
        <f>VLOOKUP($B2689,[1]DG!A:D,[1]DG!$B$2,)</f>
        <v>0</v>
      </c>
      <c r="F2689" s="89" t="str">
        <f>VLOOKUP($B2689,[1]DG!A:D,[1]DG!$C$2,)</f>
        <v xml:space="preserve">Sứ đứng 24KV </v>
      </c>
      <c r="G2689" s="88" t="str">
        <f>VLOOKUP($B2689,[1]DG!A:D,[1]DG!$D$2,)</f>
        <v>cái</v>
      </c>
      <c r="H2689" s="145">
        <f>+H2683*3*4</f>
        <v>0</v>
      </c>
      <c r="I2689" s="91">
        <f t="shared" si="109"/>
        <v>0</v>
      </c>
      <c r="J2689" s="146"/>
      <c r="K2689" s="146"/>
      <c r="L2689" s="117"/>
      <c r="M2689" s="56">
        <v>2000</v>
      </c>
    </row>
    <row r="2690" spans="1:14" s="51" customFormat="1" ht="25.2" hidden="1" customHeight="1">
      <c r="A2690" s="68">
        <f t="shared" si="108"/>
        <v>0</v>
      </c>
      <c r="B2690" s="86" t="s">
        <v>139</v>
      </c>
      <c r="C2690" s="86"/>
      <c r="D2690" s="87"/>
      <c r="E2690" s="88">
        <f>VLOOKUP($B2690,[1]DG!A:D,[1]DG!$B$2,)</f>
        <v>0</v>
      </c>
      <c r="F2690" s="89" t="str">
        <f>VLOOKUP($B2690,[1]DG!A:D,[1]DG!$C$2,)</f>
        <v>Chân sứ đứng D20</v>
      </c>
      <c r="G2690" s="88" t="str">
        <f>VLOOKUP($B2690,[1]DG!A:D,[1]DG!$D$2,)</f>
        <v>cái</v>
      </c>
      <c r="H2690" s="145">
        <f>+H2689</f>
        <v>0</v>
      </c>
      <c r="I2690" s="91">
        <f t="shared" si="109"/>
        <v>0</v>
      </c>
      <c r="J2690" s="146"/>
      <c r="K2690" s="146"/>
      <c r="L2690" s="117"/>
      <c r="M2690" s="56">
        <v>2000</v>
      </c>
    </row>
    <row r="2691" spans="1:14" s="51" customFormat="1" ht="25.2" hidden="1" customHeight="1">
      <c r="A2691" s="68">
        <f t="shared" si="108"/>
        <v>0</v>
      </c>
      <c r="B2691" s="86" t="s">
        <v>140</v>
      </c>
      <c r="C2691" s="86"/>
      <c r="D2691" s="87"/>
      <c r="E2691" s="88" t="str">
        <f>VLOOKUP($B2691,[1]DG!A:D,[1]DG!$B$2,)</f>
        <v>06.1115</v>
      </c>
      <c r="F2691" s="89" t="str">
        <f>VLOOKUP($B2691,[1]DG!A:D,[1]DG!$C$2,)</f>
        <v>Lắp sứ đứng 24KV</v>
      </c>
      <c r="G2691" s="88" t="str">
        <f>VLOOKUP($B2691,[1]DG!A:D,[1]DG!$D$2,)</f>
        <v>bộ</v>
      </c>
      <c r="H2691" s="145">
        <f>H2689</f>
        <v>0</v>
      </c>
      <c r="I2691" s="91">
        <f t="shared" si="109"/>
        <v>0</v>
      </c>
      <c r="J2691" s="146"/>
      <c r="K2691" s="146"/>
      <c r="L2691" s="117"/>
      <c r="M2691" s="56">
        <v>2000</v>
      </c>
    </row>
    <row r="2692" spans="1:14" s="51" customFormat="1" ht="25.2" hidden="1" customHeight="1">
      <c r="A2692" s="68">
        <f t="shared" si="108"/>
        <v>0</v>
      </c>
      <c r="B2692" s="69"/>
      <c r="C2692" s="69"/>
      <c r="D2692" s="220">
        <f>IF(H2692&gt;0,D2683+1,D2683)</f>
        <v>0</v>
      </c>
      <c r="E2692" s="238"/>
      <c r="F2692" s="239" t="s">
        <v>584</v>
      </c>
      <c r="G2692" s="220" t="s">
        <v>67</v>
      </c>
      <c r="H2692" s="240">
        <f>H2557*1</f>
        <v>0</v>
      </c>
      <c r="I2692" s="91">
        <f t="shared" si="109"/>
        <v>0</v>
      </c>
      <c r="J2692" s="146"/>
      <c r="K2692" s="146"/>
      <c r="L2692" s="117"/>
      <c r="M2692" s="56">
        <v>2000</v>
      </c>
    </row>
    <row r="2693" spans="1:14" s="51" customFormat="1" ht="25.2" hidden="1" customHeight="1">
      <c r="A2693" s="68">
        <f>IF(A2692&gt;0,1,0)</f>
        <v>0</v>
      </c>
      <c r="B2693" s="69"/>
      <c r="C2693" s="69"/>
      <c r="D2693" s="111"/>
      <c r="E2693" s="242"/>
      <c r="F2693" s="248" t="s">
        <v>68</v>
      </c>
      <c r="G2693" s="111"/>
      <c r="H2693" s="244"/>
      <c r="I2693" s="91">
        <f t="shared" si="109"/>
        <v>0</v>
      </c>
      <c r="J2693" s="146"/>
      <c r="K2693" s="146"/>
      <c r="L2693" s="117"/>
      <c r="M2693" s="56">
        <v>2000</v>
      </c>
    </row>
    <row r="2694" spans="1:14" s="51" customFormat="1" ht="25.2" hidden="1" customHeight="1">
      <c r="A2694" s="68">
        <f t="shared" si="108"/>
        <v>0</v>
      </c>
      <c r="B2694" s="69" t="s">
        <v>585</v>
      </c>
      <c r="C2694" s="69"/>
      <c r="D2694" s="87"/>
      <c r="E2694" s="88">
        <f>VLOOKUP($B2694,[1]DG!A:D,[1]DG!$B$2,)</f>
        <v>0</v>
      </c>
      <c r="F2694" s="89" t="str">
        <f>VLOOKUP($B2694,[1]DG!A:D,[1]DG!$C$2,)</f>
        <v xml:space="preserve">Giá đỡ cáp hạ thế </v>
      </c>
      <c r="G2694" s="88" t="str">
        <f>VLOOKUP($B2694,[1]DG!A:D,[1]DG!$D$2,)</f>
        <v>bộ</v>
      </c>
      <c r="H2694" s="145">
        <f>H2692</f>
        <v>0</v>
      </c>
      <c r="I2694" s="91">
        <f t="shared" si="109"/>
        <v>0</v>
      </c>
      <c r="J2694" s="146"/>
      <c r="K2694" s="146"/>
      <c r="L2694" s="117"/>
      <c r="M2694" s="56">
        <v>2000</v>
      </c>
    </row>
    <row r="2695" spans="1:14" s="51" customFormat="1" ht="25.2" hidden="1" customHeight="1">
      <c r="A2695" s="68">
        <f t="shared" si="108"/>
        <v>0</v>
      </c>
      <c r="B2695" s="69" t="s">
        <v>410</v>
      </c>
      <c r="C2695" s="69"/>
      <c r="D2695" s="87"/>
      <c r="E2695" s="88" t="str">
        <f>VLOOKUP($B2695,[1]DG!A:D,[1]DG!$B$2,)</f>
        <v>05.6101</v>
      </c>
      <c r="F2695" s="89" t="str">
        <f>VLOOKUP($B2695,[1]DG!A:D,[1]DG!$C$2,)</f>
        <v>Lắp Giá đỡ cáp</v>
      </c>
      <c r="G2695" s="88" t="str">
        <f>VLOOKUP($B2695,[1]DG!A:D,[1]DG!$D$2,)</f>
        <v>bộ</v>
      </c>
      <c r="H2695" s="145">
        <f>H2694</f>
        <v>0</v>
      </c>
      <c r="I2695" s="91">
        <f t="shared" si="109"/>
        <v>0</v>
      </c>
      <c r="J2695" s="146"/>
      <c r="K2695" s="146"/>
      <c r="L2695" s="117"/>
      <c r="M2695" s="56">
        <v>2000</v>
      </c>
    </row>
    <row r="2696" spans="1:14" s="51" customFormat="1" ht="25.2" hidden="1" customHeight="1">
      <c r="A2696" s="68">
        <f t="shared" si="108"/>
        <v>0</v>
      </c>
      <c r="B2696" s="86"/>
      <c r="C2696" s="86"/>
      <c r="D2696" s="220">
        <f>IF(H2696&gt;0,D2692+1,D2692)</f>
        <v>0</v>
      </c>
      <c r="E2696" s="238"/>
      <c r="F2696" s="247" t="s">
        <v>586</v>
      </c>
      <c r="G2696" s="220" t="s">
        <v>67</v>
      </c>
      <c r="H2696" s="337">
        <f>H2671+H2683</f>
        <v>0</v>
      </c>
      <c r="I2696" s="91">
        <f t="shared" si="109"/>
        <v>0</v>
      </c>
      <c r="J2696" s="146"/>
      <c r="K2696" s="146"/>
      <c r="L2696" s="117"/>
      <c r="M2696" s="56">
        <v>2000</v>
      </c>
    </row>
    <row r="2697" spans="1:14" s="51" customFormat="1" ht="25.2" hidden="1" customHeight="1">
      <c r="A2697" s="68">
        <f>IF(A2696&gt;0,1,0)</f>
        <v>0</v>
      </c>
      <c r="B2697" s="86"/>
      <c r="C2697" s="86"/>
      <c r="D2697" s="111"/>
      <c r="E2697" s="242"/>
      <c r="F2697" s="248" t="s">
        <v>68</v>
      </c>
      <c r="G2697" s="111"/>
      <c r="H2697" s="145"/>
      <c r="I2697" s="91">
        <f t="shared" si="109"/>
        <v>0</v>
      </c>
      <c r="J2697" s="146"/>
      <c r="K2697" s="146"/>
      <c r="L2697" s="117"/>
      <c r="M2697" s="56">
        <v>2000</v>
      </c>
    </row>
    <row r="2698" spans="1:14" s="51" customFormat="1" ht="25.2" hidden="1" customHeight="1">
      <c r="A2698" s="68">
        <f t="shared" si="108"/>
        <v>0</v>
      </c>
      <c r="B2698" s="69" t="s">
        <v>595</v>
      </c>
      <c r="C2698" s="69"/>
      <c r="D2698" s="87"/>
      <c r="E2698" s="88">
        <f>VLOOKUP($B2698,[1]DG!A:D,[1]DG!$B$2,)</f>
        <v>0</v>
      </c>
      <c r="F2698" s="89" t="e">
        <f>VLOOKUP($B2698,[1]DG!A:D,[1]DG!$C$2,)&amp;": "&amp;#REF!&amp;"x 8m/pha "</f>
        <v>#REF!</v>
      </c>
      <c r="G2698" s="88" t="str">
        <f>VLOOKUP($B2698,[1]DG!A:D,[1]DG!$D$2,)</f>
        <v>mét</v>
      </c>
      <c r="H2698" s="365"/>
      <c r="I2698" s="91">
        <f t="shared" si="109"/>
        <v>0</v>
      </c>
      <c r="J2698" s="146"/>
      <c r="K2698" s="146"/>
      <c r="L2698" s="117"/>
      <c r="M2698" s="56">
        <v>2000</v>
      </c>
      <c r="N2698" s="51">
        <f>48*(30+6)</f>
        <v>1728</v>
      </c>
    </row>
    <row r="2699" spans="1:14" s="51" customFormat="1" ht="25.2" hidden="1" customHeight="1">
      <c r="A2699" s="68">
        <f t="shared" si="108"/>
        <v>0</v>
      </c>
      <c r="B2699" s="69" t="s">
        <v>595</v>
      </c>
      <c r="C2699" s="69"/>
      <c r="D2699" s="87"/>
      <c r="E2699" s="88">
        <f>VLOOKUP($B2699,[1]DG!A:D,[1]DG!$B$2,)</f>
        <v>0</v>
      </c>
      <c r="F2699" s="89" t="e">
        <f>VLOOKUP($B2699,[1]DG!A:D,[1]DG!$C$2,)&amp;": "&amp;#REF!/2&amp;"x 8m/trung tính "</f>
        <v>#REF!</v>
      </c>
      <c r="G2699" s="88" t="str">
        <f>VLOOKUP($B2699,[1]DG!A:D,[1]DG!$D$2,)</f>
        <v>mét</v>
      </c>
      <c r="H2699" s="365"/>
      <c r="I2699" s="91">
        <f t="shared" si="109"/>
        <v>0</v>
      </c>
      <c r="J2699" s="146"/>
      <c r="K2699" s="146"/>
      <c r="L2699" s="117"/>
      <c r="M2699" s="56">
        <v>2000</v>
      </c>
      <c r="N2699" s="51">
        <f>8*(30+6)</f>
        <v>288</v>
      </c>
    </row>
    <row r="2700" spans="1:14" s="51" customFormat="1" ht="25.2" hidden="1" customHeight="1">
      <c r="A2700" s="68">
        <f t="shared" si="108"/>
        <v>0</v>
      </c>
      <c r="B2700" s="69" t="s">
        <v>542</v>
      </c>
      <c r="C2700" s="69"/>
      <c r="D2700" s="87"/>
      <c r="E2700" s="88" t="str">
        <f>VLOOKUP($B2700,[1]DG!A:D,[1]DG!$B$2,)</f>
        <v>03.4009</v>
      </c>
      <c r="F2700" s="89" t="str">
        <f>VLOOKUP($B2700,[1]DG!A:D,[1]DG!$C$2,)&amp;": "</f>
        <v xml:space="preserve">Đầu cosse ép Cu 250mm2: </v>
      </c>
      <c r="G2700" s="88" t="str">
        <f>VLOOKUP($B2700,[1]DG!A:D,[1]DG!$D$2,)</f>
        <v>cái</v>
      </c>
      <c r="H2700" s="365"/>
      <c r="I2700" s="91">
        <f t="shared" si="109"/>
        <v>0</v>
      </c>
      <c r="J2700" s="146"/>
      <c r="K2700" s="146"/>
      <c r="L2700" s="117"/>
      <c r="M2700" s="56">
        <v>2000</v>
      </c>
    </row>
    <row r="2701" spans="1:14" s="51" customFormat="1" ht="25.2" hidden="1" customHeight="1">
      <c r="A2701" s="68">
        <f t="shared" si="108"/>
        <v>0</v>
      </c>
      <c r="B2701" s="69" t="s">
        <v>542</v>
      </c>
      <c r="C2701" s="69"/>
      <c r="D2701" s="87"/>
      <c r="E2701" s="88" t="str">
        <f>VLOOKUP($B2701,[1]DG!A:D,[1]DG!$B$2,)</f>
        <v>03.4009</v>
      </c>
      <c r="F2701" s="89" t="str">
        <f>VLOOKUP($B2701,[1]DG!A:D,[1]DG!$C$2,)&amp;": "</f>
        <v xml:space="preserve">Đầu cosse ép Cu 250mm2: </v>
      </c>
      <c r="G2701" s="88" t="str">
        <f>VLOOKUP($B2701,[1]DG!A:D,[1]DG!$D$2,)</f>
        <v>cái</v>
      </c>
      <c r="H2701" s="365"/>
      <c r="I2701" s="91">
        <f t="shared" si="109"/>
        <v>0</v>
      </c>
      <c r="J2701" s="146"/>
      <c r="K2701" s="146"/>
      <c r="L2701" s="117"/>
      <c r="M2701" s="56">
        <v>2000</v>
      </c>
    </row>
    <row r="2702" spans="1:14" s="51" customFormat="1" ht="25.2" hidden="1" customHeight="1">
      <c r="A2702" s="68">
        <f t="shared" si="108"/>
        <v>0</v>
      </c>
      <c r="B2702" s="69" t="s">
        <v>544</v>
      </c>
      <c r="C2702" s="69"/>
      <c r="D2702" s="87"/>
      <c r="E2702" s="88">
        <f>VLOOKUP($B2702,[1]DG!A:D,[1]DG!$B$2,)</f>
        <v>0</v>
      </c>
      <c r="F2702" s="89" t="str">
        <f>VLOOKUP($B2702,[1]DG!A:D,[1]DG!$C$2,)&amp;": "</f>
        <v xml:space="preserve">Chụp đầu cosse  250mm2: </v>
      </c>
      <c r="G2702" s="88" t="str">
        <f>VLOOKUP($B2702,[1]DG!A:D,[1]DG!$D$2,)</f>
        <v>cái</v>
      </c>
      <c r="H2702" s="365"/>
      <c r="I2702" s="91">
        <f t="shared" si="109"/>
        <v>0</v>
      </c>
      <c r="J2702" s="146"/>
      <c r="K2702" s="146"/>
      <c r="L2702" s="117"/>
      <c r="M2702" s="56">
        <v>2000</v>
      </c>
    </row>
    <row r="2703" spans="1:14" s="51" customFormat="1" ht="25.2" hidden="1" customHeight="1">
      <c r="A2703" s="68">
        <f t="shared" si="108"/>
        <v>0</v>
      </c>
      <c r="B2703" s="69" t="s">
        <v>544</v>
      </c>
      <c r="C2703" s="69"/>
      <c r="D2703" s="87"/>
      <c r="E2703" s="88">
        <f>VLOOKUP($B2703,[1]DG!A:D,[1]DG!$B$2,)</f>
        <v>0</v>
      </c>
      <c r="F2703" s="89" t="str">
        <f>VLOOKUP($B2703,[1]DG!A:D,[1]DG!$C$2,)&amp;": "</f>
        <v xml:space="preserve">Chụp đầu cosse  250mm2: </v>
      </c>
      <c r="G2703" s="88" t="str">
        <f>VLOOKUP($B2703,[1]DG!A:D,[1]DG!$D$2,)</f>
        <v>cái</v>
      </c>
      <c r="H2703" s="365"/>
      <c r="I2703" s="91">
        <f t="shared" si="109"/>
        <v>0</v>
      </c>
      <c r="J2703" s="146"/>
      <c r="K2703" s="146"/>
      <c r="L2703" s="117"/>
      <c r="M2703" s="56">
        <v>2000</v>
      </c>
    </row>
    <row r="2704" spans="1:14" s="51" customFormat="1" ht="25.2" hidden="1" customHeight="1">
      <c r="A2704" s="68">
        <f t="shared" si="108"/>
        <v>0</v>
      </c>
      <c r="B2704" s="69" t="s">
        <v>144</v>
      </c>
      <c r="C2704" s="69"/>
      <c r="D2704" s="87"/>
      <c r="E2704" s="88">
        <f>VLOOKUP($B2704,[1]DG!A:D,[1]DG!$B$2,)</f>
        <v>0</v>
      </c>
      <c r="F2704" s="89" t="str">
        <f>VLOOKUP($B2704,[1]DG!A:D,[1]DG!$C$2,)</f>
        <v xml:space="preserve">Ống PVC D114x4,9mm </v>
      </c>
      <c r="G2704" s="88" t="str">
        <f>VLOOKUP($B2704,[1]DG!A:D,[1]DG!$D$2,)</f>
        <v>m</v>
      </c>
      <c r="H2704" s="365"/>
      <c r="I2704" s="91">
        <f t="shared" si="109"/>
        <v>0</v>
      </c>
      <c r="J2704" s="146"/>
      <c r="K2704" s="146"/>
      <c r="L2704" s="117"/>
      <c r="M2704" s="56">
        <v>2000</v>
      </c>
    </row>
    <row r="2705" spans="1:13" s="51" customFormat="1" ht="25.2" hidden="1" customHeight="1">
      <c r="A2705" s="68">
        <f t="shared" si="108"/>
        <v>0</v>
      </c>
      <c r="B2705" s="86" t="s">
        <v>435</v>
      </c>
      <c r="C2705" s="86"/>
      <c r="D2705" s="87"/>
      <c r="E2705" s="88" t="str">
        <f>VLOOKUP($B2705,[1]DG!A:D,[1]DG!$B$2,)</f>
        <v>06.3231</v>
      </c>
      <c r="F2705" s="89" t="str">
        <f>VLOOKUP($B2705,[1]DG!A:D,[1]DG!$C$2,)</f>
        <v>Cổ dê kẹp ống PVC Ø 114</v>
      </c>
      <c r="G2705" s="88" t="str">
        <f>VLOOKUP($B2705,[1]DG!A:D,[1]DG!$D$2,)</f>
        <v>bộ</v>
      </c>
      <c r="H2705" s="365"/>
      <c r="I2705" s="91">
        <f t="shared" si="109"/>
        <v>0</v>
      </c>
      <c r="J2705" s="146"/>
      <c r="K2705" s="146"/>
      <c r="L2705" s="117"/>
      <c r="M2705" s="56">
        <v>2000</v>
      </c>
    </row>
    <row r="2706" spans="1:13" s="51" customFormat="1" ht="25.2" hidden="1" customHeight="1">
      <c r="A2706" s="68">
        <f t="shared" si="108"/>
        <v>0</v>
      </c>
      <c r="B2706" s="69" t="s">
        <v>508</v>
      </c>
      <c r="C2706" s="69"/>
      <c r="D2706" s="87"/>
      <c r="E2706" s="88">
        <f>VLOOKUP($B2706,[1]DG!A:D,[1]DG!$B$2,)</f>
        <v>0</v>
      </c>
      <c r="F2706" s="89" t="str">
        <f>VLOOKUP($B2706,[1]DG!A:D,[1]DG!$C$2,)</f>
        <v>Co sừng 90 độ PVC 114</v>
      </c>
      <c r="G2706" s="88" t="str">
        <f>VLOOKUP($B2706,[1]DG!A:D,[1]DG!$D$2,)</f>
        <v>cái</v>
      </c>
      <c r="H2706" s="365"/>
      <c r="I2706" s="91">
        <f t="shared" si="109"/>
        <v>0</v>
      </c>
      <c r="J2706" s="146"/>
      <c r="K2706" s="146"/>
      <c r="L2706" s="117"/>
      <c r="M2706" s="56">
        <v>2000</v>
      </c>
    </row>
    <row r="2707" spans="1:13" s="51" customFormat="1" ht="25.2" hidden="1" customHeight="1">
      <c r="A2707" s="68">
        <f t="shared" si="108"/>
        <v>0</v>
      </c>
      <c r="B2707" s="69" t="s">
        <v>217</v>
      </c>
      <c r="C2707" s="69"/>
      <c r="D2707" s="87"/>
      <c r="E2707" s="88">
        <f>VLOOKUP($B2707,[1]DG!A:D,[1]DG!$B$2,)</f>
        <v>0</v>
      </c>
      <c r="F2707" s="89" t="str">
        <f>VLOOKUP($B2707,[1]DG!A:D,[1]DG!$C$2,)</f>
        <v>Khâu ven răng trong D114</v>
      </c>
      <c r="G2707" s="88" t="str">
        <f>VLOOKUP($B2707,[1]DG!A:D,[1]DG!$D$2,)</f>
        <v>cái</v>
      </c>
      <c r="H2707" s="365"/>
      <c r="I2707" s="91">
        <f t="shared" si="109"/>
        <v>0</v>
      </c>
      <c r="J2707" s="146"/>
      <c r="K2707" s="146"/>
      <c r="L2707" s="117"/>
      <c r="M2707" s="56">
        <v>2000</v>
      </c>
    </row>
    <row r="2708" spans="1:13" s="51" customFormat="1" ht="25.2" hidden="1" customHeight="1">
      <c r="A2708" s="68">
        <f t="shared" si="108"/>
        <v>0</v>
      </c>
      <c r="B2708" s="69" t="s">
        <v>218</v>
      </c>
      <c r="C2708" s="69"/>
      <c r="D2708" s="87"/>
      <c r="E2708" s="88">
        <f>VLOOKUP($B2708,[1]DG!A:D,[1]DG!$B$2,)</f>
        <v>0</v>
      </c>
      <c r="F2708" s="89" t="str">
        <f>VLOOKUP($B2708,[1]DG!A:D,[1]DG!$C$2,)&amp;": "</f>
        <v xml:space="preserve">Khâu ven răng ngoài D114: </v>
      </c>
      <c r="G2708" s="88" t="str">
        <f>VLOOKUP($B2708,[1]DG!A:D,[1]DG!$D$2,)</f>
        <v>cái</v>
      </c>
      <c r="H2708" s="365"/>
      <c r="I2708" s="91">
        <f t="shared" si="109"/>
        <v>0</v>
      </c>
      <c r="J2708" s="146"/>
      <c r="K2708" s="146"/>
      <c r="L2708" s="117"/>
      <c r="M2708" s="56">
        <v>2000</v>
      </c>
    </row>
    <row r="2709" spans="1:13" s="51" customFormat="1" ht="25.2" hidden="1" customHeight="1">
      <c r="A2709" s="68">
        <f t="shared" si="108"/>
        <v>0</v>
      </c>
      <c r="B2709" s="69" t="s">
        <v>446</v>
      </c>
      <c r="C2709" s="69"/>
      <c r="D2709" s="87"/>
      <c r="E2709" s="88">
        <f>VLOOKUP($B2709,[1]DG!A:D,[1]DG!$B$2,)</f>
        <v>0</v>
      </c>
      <c r="F2709" s="89" t="str">
        <f>VLOOKUP($B2709,[1]DG!A:D,[1]DG!$C$2,)&amp;": "</f>
        <v xml:space="preserve">Keo dán ống PVC (500gr): </v>
      </c>
      <c r="G2709" s="88" t="str">
        <f>VLOOKUP($B2709,[1]DG!A:D,[1]DG!$D$2,)</f>
        <v>lon</v>
      </c>
      <c r="H2709" s="365"/>
      <c r="I2709" s="91">
        <f t="shared" si="109"/>
        <v>0</v>
      </c>
      <c r="J2709" s="146"/>
      <c r="K2709" s="146"/>
      <c r="L2709" s="117"/>
      <c r="M2709" s="56">
        <v>2000</v>
      </c>
    </row>
    <row r="2710" spans="1:13" s="51" customFormat="1" ht="25.2" hidden="1" customHeight="1">
      <c r="A2710" s="68">
        <f t="shared" si="108"/>
        <v>0</v>
      </c>
      <c r="B2710" s="86" t="s">
        <v>436</v>
      </c>
      <c r="C2710" s="86"/>
      <c r="D2710" s="87"/>
      <c r="E2710" s="88"/>
      <c r="F2710" s="89" t="str">
        <f>VLOOKUP($B2710,[1]DG!A:D,[1]DG!$C$2,)&amp;":"</f>
        <v>Keo silicon bít miệng ống:</v>
      </c>
      <c r="G2710" s="88" t="str">
        <f>VLOOKUP($B2710,[1]DG!A:D,[1]DG!$D$2,)</f>
        <v>ống</v>
      </c>
      <c r="H2710" s="365"/>
      <c r="I2710" s="91">
        <f t="shared" si="109"/>
        <v>0</v>
      </c>
      <c r="J2710" s="146"/>
      <c r="K2710" s="146"/>
      <c r="L2710" s="117"/>
      <c r="M2710" s="56">
        <v>2000</v>
      </c>
    </row>
    <row r="2711" spans="1:13" s="51" customFormat="1" ht="25.2" hidden="1" customHeight="1">
      <c r="A2711" s="68">
        <f t="shared" si="108"/>
        <v>0</v>
      </c>
      <c r="B2711" s="69" t="s">
        <v>437</v>
      </c>
      <c r="C2711" s="69"/>
      <c r="D2711" s="87"/>
      <c r="E2711" s="88">
        <f>VLOOKUP($B2711,[1]DG!A:D,[1]DG!$B$2,)</f>
        <v>0</v>
      </c>
      <c r="F2711" s="89" t="str">
        <f>VLOOKUP($B2711,[1]DG!A:D,[1]DG!$C$2,)</f>
        <v>Dây rút cáp</v>
      </c>
      <c r="G2711" s="88" t="str">
        <f>VLOOKUP($B2711,[1]DG!A:D,[1]DG!$D$2,)</f>
        <v>bọc</v>
      </c>
      <c r="H2711" s="365"/>
      <c r="I2711" s="91">
        <f t="shared" si="109"/>
        <v>0</v>
      </c>
      <c r="J2711" s="146"/>
      <c r="K2711" s="146"/>
      <c r="L2711" s="117"/>
      <c r="M2711" s="56">
        <v>2000</v>
      </c>
    </row>
    <row r="2712" spans="1:13" s="51" customFormat="1" ht="25.2" hidden="1" customHeight="1">
      <c r="A2712" s="68">
        <f t="shared" si="108"/>
        <v>0</v>
      </c>
      <c r="B2712" s="86" t="s">
        <v>148</v>
      </c>
      <c r="C2712" s="86"/>
      <c r="D2712" s="87"/>
      <c r="E2712" s="88">
        <f>VLOOKUP($B2712,[1]DG!A:D,[1]DG!$B$2,)</f>
        <v>0</v>
      </c>
      <c r="F2712" s="89" t="str">
        <f>VLOOKUP($B2712,[1]DG!A:D,[1]DG!$C$2,)</f>
        <v>Băng keo cách điện</v>
      </c>
      <c r="G2712" s="88" t="str">
        <f>VLOOKUP($B2712,[1]DG!A:D,[1]DG!$D$2,)</f>
        <v>cuộn</v>
      </c>
      <c r="H2712" s="365"/>
      <c r="I2712" s="91">
        <f t="shared" si="109"/>
        <v>0</v>
      </c>
      <c r="J2712" s="146"/>
      <c r="K2712" s="146"/>
      <c r="L2712" s="117"/>
      <c r="M2712" s="56">
        <v>2000</v>
      </c>
    </row>
    <row r="2713" spans="1:13" s="51" customFormat="1" ht="25.2" hidden="1" customHeight="1">
      <c r="A2713" s="68">
        <f t="shared" si="108"/>
        <v>0</v>
      </c>
      <c r="B2713" s="86" t="s">
        <v>438</v>
      </c>
      <c r="C2713" s="86"/>
      <c r="D2713" s="249"/>
      <c r="E2713" s="88"/>
      <c r="F2713" s="89" t="str">
        <f>VLOOKUP($B2713,[1]DG!A:D,[1]DG!$C$2,)&amp;":"</f>
        <v>Lắp cáp đồng xuống thiết bị D &gt; 150mm2:</v>
      </c>
      <c r="G2713" s="88" t="str">
        <f>VLOOKUP($B2713,[1]DG!A:D,[1]DG!$D$2,)</f>
        <v>m</v>
      </c>
      <c r="H2713" s="365"/>
      <c r="I2713" s="91">
        <f t="shared" si="109"/>
        <v>0</v>
      </c>
      <c r="J2713" s="146"/>
      <c r="K2713" s="146"/>
      <c r="L2713" s="117"/>
      <c r="M2713" s="56">
        <v>2000</v>
      </c>
    </row>
    <row r="2714" spans="1:13" s="51" customFormat="1" ht="25.2" hidden="1" customHeight="1">
      <c r="A2714" s="68">
        <f t="shared" si="108"/>
        <v>0</v>
      </c>
      <c r="B2714" s="86"/>
      <c r="C2714" s="86"/>
      <c r="D2714" s="220">
        <f>IF(H2714&gt;0,D2696+1,D2696)</f>
        <v>0</v>
      </c>
      <c r="E2714" s="238"/>
      <c r="F2714" s="247" t="s">
        <v>327</v>
      </c>
      <c r="G2714" s="220" t="s">
        <v>67</v>
      </c>
      <c r="H2714" s="337"/>
      <c r="I2714" s="91">
        <f t="shared" si="109"/>
        <v>0</v>
      </c>
      <c r="J2714" s="146"/>
      <c r="K2714" s="146"/>
      <c r="L2714" s="117"/>
      <c r="M2714" s="56">
        <v>2000</v>
      </c>
    </row>
    <row r="2715" spans="1:13" s="147" customFormat="1" ht="25.2" hidden="1" customHeight="1">
      <c r="A2715" s="68">
        <f>IF(A2714&gt;0,1,0)</f>
        <v>0</v>
      </c>
      <c r="B2715" s="338"/>
      <c r="C2715" s="338"/>
      <c r="D2715" s="111"/>
      <c r="E2715" s="242"/>
      <c r="F2715" s="248" t="s">
        <v>68</v>
      </c>
      <c r="G2715" s="111" t="s">
        <v>375</v>
      </c>
      <c r="H2715" s="244"/>
      <c r="I2715" s="91">
        <f t="shared" si="109"/>
        <v>0</v>
      </c>
      <c r="J2715" s="146"/>
      <c r="K2715" s="146"/>
      <c r="L2715" s="117"/>
      <c r="M2715" s="56">
        <v>2000</v>
      </c>
    </row>
    <row r="2716" spans="1:13" s="51" customFormat="1" ht="25.2" hidden="1" customHeight="1">
      <c r="A2716" s="68">
        <f t="shared" si="108"/>
        <v>0</v>
      </c>
      <c r="B2716" s="69" t="s">
        <v>273</v>
      </c>
      <c r="C2716" s="69"/>
      <c r="D2716" s="96"/>
      <c r="E2716" s="88" t="str">
        <f>VLOOKUP($B2716,[1]DG!A:D,[1]DG!$B$2,)</f>
        <v>03.1401</v>
      </c>
      <c r="F2716" s="92" t="str">
        <f>VLOOKUP($B2716,[1]DG!A:D,[1]DG!$C$2,)</f>
        <v xml:space="preserve">Cáp CVV 4x2,5mm2  </v>
      </c>
      <c r="G2716" s="339" t="str">
        <f>VLOOKUP($B2716,[1]DG!A:D,[1]DG!$D$2,)</f>
        <v>mét</v>
      </c>
      <c r="H2716" s="145">
        <f>H2714*12</f>
        <v>0</v>
      </c>
      <c r="I2716" s="91">
        <f t="shared" si="109"/>
        <v>0</v>
      </c>
      <c r="J2716" s="146"/>
      <c r="K2716" s="146"/>
      <c r="L2716" s="117"/>
      <c r="M2716" s="56">
        <v>2000</v>
      </c>
    </row>
    <row r="2717" spans="1:13" s="51" customFormat="1" ht="25.2" hidden="1" customHeight="1">
      <c r="A2717" s="68">
        <f t="shared" si="108"/>
        <v>0</v>
      </c>
      <c r="B2717" s="69" t="s">
        <v>440</v>
      </c>
      <c r="C2717" s="69"/>
      <c r="D2717" s="96"/>
      <c r="E2717" s="88" t="str">
        <f>VLOOKUP($B2717,[1]DG!A:D,[1]DG!$B$2,)</f>
        <v>05.6101</v>
      </c>
      <c r="F2717" s="92" t="str">
        <f>VLOOKUP($B2717,[1]DG!A:D,[1]DG!$C$2,)</f>
        <v>Xà kẹp TU, TI U50x32x4 350</v>
      </c>
      <c r="G2717" s="339" t="str">
        <f>VLOOKUP($B2717,[1]DG!A:D,[1]DG!$D$2,)</f>
        <v>Bộ</v>
      </c>
      <c r="H2717" s="145">
        <f>H2714*24*0</f>
        <v>0</v>
      </c>
      <c r="I2717" s="91">
        <f t="shared" si="109"/>
        <v>0</v>
      </c>
      <c r="J2717" s="146"/>
      <c r="K2717" s="146"/>
      <c r="L2717" s="117"/>
      <c r="M2717" s="56">
        <v>2000</v>
      </c>
    </row>
    <row r="2718" spans="1:13" s="51" customFormat="1" ht="25.2" hidden="1" customHeight="1">
      <c r="A2718" s="68">
        <f t="shared" si="108"/>
        <v>0</v>
      </c>
      <c r="B2718" s="69" t="s">
        <v>441</v>
      </c>
      <c r="C2718" s="69"/>
      <c r="D2718" s="87"/>
      <c r="E2718" s="88" t="str">
        <f>VLOOKUP($B2718,[1]DG!A:D,[1]DG!$B$2,)</f>
        <v>03.4001</v>
      </c>
      <c r="F2718" s="92" t="str">
        <f>VLOOKUP($B2718,[1]DG!A:D,[1]DG!$C$2,)</f>
        <v xml:space="preserve">Đầu cosse ép Cu 2,5mm2 + bao PVC </v>
      </c>
      <c r="G2718" s="339" t="str">
        <f>VLOOKUP($B2718,[1]DG!A:D,[1]DG!$D$2,)</f>
        <v>cái</v>
      </c>
      <c r="H2718" s="145">
        <f>H2714*16*0</f>
        <v>0</v>
      </c>
      <c r="I2718" s="91">
        <f t="shared" si="109"/>
        <v>0</v>
      </c>
      <c r="J2718" s="146"/>
      <c r="K2718" s="146"/>
      <c r="L2718" s="117"/>
      <c r="M2718" s="56">
        <v>2000</v>
      </c>
    </row>
    <row r="2719" spans="1:13" s="51" customFormat="1" ht="25.2" hidden="1" customHeight="1">
      <c r="A2719" s="68">
        <f t="shared" si="108"/>
        <v>0</v>
      </c>
      <c r="B2719" s="69" t="s">
        <v>442</v>
      </c>
      <c r="C2719" s="69"/>
      <c r="D2719" s="87"/>
      <c r="E2719" s="88">
        <f>VLOOKUP($B2719,[1]DG!A:D,[1]DG!$B$2,)</f>
        <v>0</v>
      </c>
      <c r="F2719" s="92" t="str">
        <f>VLOOKUP($B2719,[1]DG!A:D,[1]DG!$C$2,)</f>
        <v>Dây điện đôi 16/10</v>
      </c>
      <c r="G2719" s="339" t="str">
        <f>VLOOKUP($B2719,[1]DG!A:D,[1]DG!$D$2,)</f>
        <v>mét</v>
      </c>
      <c r="H2719" s="145">
        <f>6*H2714*0</f>
        <v>0</v>
      </c>
      <c r="I2719" s="91">
        <f t="shared" si="109"/>
        <v>0</v>
      </c>
      <c r="J2719" s="146"/>
      <c r="K2719" s="146"/>
      <c r="L2719" s="117"/>
      <c r="M2719" s="56">
        <v>2000</v>
      </c>
    </row>
    <row r="2720" spans="1:13" s="51" customFormat="1" ht="25.2" hidden="1" customHeight="1">
      <c r="A2720" s="68">
        <f t="shared" ref="A2720:A2750" si="110">IF(I2720&gt;0,1,0)</f>
        <v>0</v>
      </c>
      <c r="B2720" s="69" t="s">
        <v>85</v>
      </c>
      <c r="C2720" s="69"/>
      <c r="D2720" s="87"/>
      <c r="E2720" s="88">
        <f>VLOOKUP($B2720,[1]DG!A:D,[1]DG!$B$2,)</f>
        <v>0</v>
      </c>
      <c r="F2720" s="92" t="str">
        <f>VLOOKUP($B2720,[1]DG!A:D,[1]DG!$C$2,)&amp;" (ñaáu TU)"</f>
        <v>Kẹp ép cỡ dây 25mm2 (ñaáu TU)</v>
      </c>
      <c r="G2720" s="339" t="str">
        <f>VLOOKUP($B2720,[1]DG!A:D,[1]DG!$D$2,)</f>
        <v>cái</v>
      </c>
      <c r="H2720" s="145">
        <f>+H2714*3*0</f>
        <v>0</v>
      </c>
      <c r="I2720" s="91">
        <f t="shared" si="109"/>
        <v>0</v>
      </c>
      <c r="J2720" s="146"/>
      <c r="K2720" s="146"/>
      <c r="L2720" s="117"/>
      <c r="M2720" s="56">
        <v>2000</v>
      </c>
    </row>
    <row r="2721" spans="1:13" s="51" customFormat="1" ht="25.2" hidden="1" customHeight="1">
      <c r="A2721" s="68">
        <f t="shared" si="110"/>
        <v>0</v>
      </c>
      <c r="B2721" s="69" t="s">
        <v>426</v>
      </c>
      <c r="C2721" s="69"/>
      <c r="D2721" s="87"/>
      <c r="E2721" s="88" t="str">
        <f>VLOOKUP($B2721,[1]DG!A:D,[1]DG!$B$2,)</f>
        <v>07.2403</v>
      </c>
      <c r="F2721" s="92" t="str">
        <f>VLOOKUP($B2721,[1]DG!A:D,[1]DG!$C$2,)</f>
        <v>Ống PVC D42x2,1mm</v>
      </c>
      <c r="G2721" s="339" t="str">
        <f>VLOOKUP($B2721,[1]DG!A:D,[1]DG!$D$2,)</f>
        <v>m</v>
      </c>
      <c r="H2721" s="145">
        <f>H2732*6</f>
        <v>0</v>
      </c>
      <c r="I2721" s="91">
        <f t="shared" si="109"/>
        <v>0</v>
      </c>
      <c r="J2721" s="146"/>
      <c r="K2721" s="146"/>
      <c r="L2721" s="117"/>
      <c r="M2721" s="56">
        <v>2000</v>
      </c>
    </row>
    <row r="2722" spans="1:13" s="51" customFormat="1" ht="25.2" hidden="1" customHeight="1">
      <c r="A2722" s="68">
        <f t="shared" si="110"/>
        <v>0</v>
      </c>
      <c r="B2722" s="86" t="s">
        <v>443</v>
      </c>
      <c r="C2722" s="86"/>
      <c r="D2722" s="87"/>
      <c r="E2722" s="88" t="str">
        <f>VLOOKUP($B2722,[1]DG!A:D,[1]DG!$B$2,)</f>
        <v>06.3231</v>
      </c>
      <c r="F2722" s="92" t="str">
        <f>VLOOKUP($B2722,[1]DG!A:D,[1]DG!$C$2,)</f>
        <v>Cổ dê giữ ống PVC D42</v>
      </c>
      <c r="G2722" s="339" t="str">
        <f>VLOOKUP($B2722,[1]DG!A:D,[1]DG!$D$2,)</f>
        <v>bộ</v>
      </c>
      <c r="H2722" s="145">
        <f>H2714*4</f>
        <v>0</v>
      </c>
      <c r="I2722" s="91">
        <f t="shared" si="109"/>
        <v>0</v>
      </c>
      <c r="J2722" s="146"/>
      <c r="K2722" s="146"/>
      <c r="L2722" s="117"/>
      <c r="M2722" s="56">
        <v>2000</v>
      </c>
    </row>
    <row r="2723" spans="1:13" s="51" customFormat="1" ht="25.2" hidden="1" customHeight="1">
      <c r="A2723" s="68">
        <f t="shared" si="110"/>
        <v>0</v>
      </c>
      <c r="B2723" s="69" t="s">
        <v>444</v>
      </c>
      <c r="C2723" s="69"/>
      <c r="D2723" s="87"/>
      <c r="E2723" s="88">
        <f>VLOOKUP($B2723,[1]DG!A:D,[1]DG!$B$2,)</f>
        <v>0</v>
      </c>
      <c r="F2723" s="92" t="str">
        <f>VLOOKUP($B2723,[1]DG!A:D,[1]DG!$C$2,)</f>
        <v>Co 90 độ PVC 42</v>
      </c>
      <c r="G2723" s="339" t="str">
        <f>VLOOKUP($B2723,[1]DG!A:D,[1]DG!$D$2,)</f>
        <v>cái</v>
      </c>
      <c r="H2723" s="145">
        <f>H2714*4</f>
        <v>0</v>
      </c>
      <c r="I2723" s="91">
        <f t="shared" si="109"/>
        <v>0</v>
      </c>
      <c r="J2723" s="146"/>
      <c r="K2723" s="146"/>
      <c r="L2723" s="117"/>
      <c r="M2723" s="56">
        <v>2000</v>
      </c>
    </row>
    <row r="2724" spans="1:13" s="51" customFormat="1" ht="25.2" hidden="1" customHeight="1">
      <c r="A2724" s="68">
        <f t="shared" si="110"/>
        <v>0</v>
      </c>
      <c r="B2724" s="69" t="s">
        <v>427</v>
      </c>
      <c r="C2724" s="69"/>
      <c r="D2724" s="87"/>
      <c r="E2724" s="88">
        <f>VLOOKUP($B2724,[1]DG!A:D,[1]DG!$B$2,)</f>
        <v>0</v>
      </c>
      <c r="F2724" s="92" t="str">
        <f>VLOOKUP($B2724,[1]DG!A:D,[1]DG!$C$2,)</f>
        <v>Co chữ T ống PVC 42</v>
      </c>
      <c r="G2724" s="339" t="str">
        <f>VLOOKUP($B2724,[1]DG!A:D,[1]DG!$D$2,)</f>
        <v>cái</v>
      </c>
      <c r="H2724" s="145">
        <f>H2714*5*0</f>
        <v>0</v>
      </c>
      <c r="I2724" s="91">
        <f t="shared" si="109"/>
        <v>0</v>
      </c>
      <c r="J2724" s="146"/>
      <c r="K2724" s="146"/>
      <c r="L2724" s="117"/>
      <c r="M2724" s="56">
        <v>2000</v>
      </c>
    </row>
    <row r="2725" spans="1:13" s="51" customFormat="1" ht="25.2" hidden="1" customHeight="1">
      <c r="A2725" s="68">
        <f t="shared" si="110"/>
        <v>0</v>
      </c>
      <c r="B2725" s="69" t="s">
        <v>445</v>
      </c>
      <c r="C2725" s="69"/>
      <c r="D2725" s="87"/>
      <c r="E2725" s="88">
        <f>VLOOKUP($B2725,[1]DG!A:D,[1]DG!$B$2,)</f>
        <v>0</v>
      </c>
      <c r="F2725" s="92" t="str">
        <f>VLOOKUP($B2725,[1]DG!A:D,[1]DG!$C$2,)</f>
        <v>Nối thẳng ống PVC 42</v>
      </c>
      <c r="G2725" s="339" t="str">
        <f>VLOOKUP($B2725,[1]DG!A:D,[1]DG!$D$2,)</f>
        <v>cái</v>
      </c>
      <c r="H2725" s="145">
        <f>H2714*0</f>
        <v>0</v>
      </c>
      <c r="I2725" s="91">
        <f t="shared" si="109"/>
        <v>0</v>
      </c>
      <c r="J2725" s="146"/>
      <c r="K2725" s="146"/>
      <c r="L2725" s="117"/>
      <c r="M2725" s="56">
        <v>2000</v>
      </c>
    </row>
    <row r="2726" spans="1:13" s="51" customFormat="1" ht="25.2" hidden="1" customHeight="1">
      <c r="A2726" s="68">
        <f t="shared" si="110"/>
        <v>0</v>
      </c>
      <c r="B2726" s="69" t="s">
        <v>98</v>
      </c>
      <c r="C2726" s="69"/>
      <c r="D2726" s="87"/>
      <c r="E2726" s="88">
        <f>VLOOKUP($B2726,[1]DG!A:D,[1]DG!$B$2,)</f>
        <v>0</v>
      </c>
      <c r="F2726" s="92" t="str">
        <f>VLOOKUP($B2726,[1]DG!A:D,[1]DG!$C$2,)&amp;" ñaáu TU"</f>
        <v>Cáp 24KV CX-25mm2 ñaáu TU</v>
      </c>
      <c r="G2726" s="339" t="str">
        <f>VLOOKUP($B2726,[1]DG!A:D,[1]DG!$D$2,)</f>
        <v>mét</v>
      </c>
      <c r="H2726" s="145">
        <f>H2714*2.5*3*0</f>
        <v>0</v>
      </c>
      <c r="I2726" s="91">
        <f t="shared" si="109"/>
        <v>0</v>
      </c>
      <c r="J2726" s="146"/>
      <c r="K2726" s="146"/>
      <c r="L2726" s="117"/>
      <c r="M2726" s="56">
        <v>2000</v>
      </c>
    </row>
    <row r="2727" spans="1:13" s="51" customFormat="1" ht="25.2" hidden="1" customHeight="1">
      <c r="A2727" s="68">
        <f t="shared" si="110"/>
        <v>0</v>
      </c>
      <c r="B2727" s="69" t="s">
        <v>446</v>
      </c>
      <c r="C2727" s="69"/>
      <c r="D2727" s="87"/>
      <c r="E2727" s="88">
        <f>VLOOKUP($B2727,[1]DG!A:D,[1]DG!$B$2,)</f>
        <v>0</v>
      </c>
      <c r="F2727" s="92" t="str">
        <f>VLOOKUP($B2727,[1]DG!A:D,[1]DG!$C$2,)</f>
        <v>Keo dán ống PVC (500gr)</v>
      </c>
      <c r="G2727" s="339" t="str">
        <f>VLOOKUP($B2727,[1]DG!A:D,[1]DG!$D$2,)</f>
        <v>lon</v>
      </c>
      <c r="H2727" s="145">
        <f>H2714</f>
        <v>0</v>
      </c>
      <c r="I2727" s="91">
        <f t="shared" si="109"/>
        <v>0</v>
      </c>
      <c r="J2727" s="146"/>
      <c r="K2727" s="146"/>
      <c r="L2727" s="117"/>
      <c r="M2727" s="56">
        <v>2000</v>
      </c>
    </row>
    <row r="2728" spans="1:13" s="51" customFormat="1" ht="25.2" hidden="1" customHeight="1">
      <c r="A2728" s="68">
        <f t="shared" si="110"/>
        <v>0</v>
      </c>
      <c r="B2728" s="86" t="s">
        <v>148</v>
      </c>
      <c r="C2728" s="86"/>
      <c r="D2728" s="87"/>
      <c r="E2728" s="88">
        <f>VLOOKUP($B2728,[1]DG!A:D,[1]DG!$B$2,)</f>
        <v>0</v>
      </c>
      <c r="F2728" s="92" t="str">
        <f>VLOOKUP($B2728,[1]DG!A:D,[1]DG!$C$2,)</f>
        <v>Băng keo cách điện</v>
      </c>
      <c r="G2728" s="339" t="str">
        <f>VLOOKUP($B2728,[1]DG!A:D,[1]DG!$D$2,)</f>
        <v>cuộn</v>
      </c>
      <c r="H2728" s="145">
        <f>H2714</f>
        <v>0</v>
      </c>
      <c r="I2728" s="91">
        <f t="shared" si="109"/>
        <v>0</v>
      </c>
      <c r="J2728" s="146"/>
      <c r="K2728" s="146"/>
      <c r="L2728" s="117"/>
      <c r="M2728" s="56">
        <v>2000</v>
      </c>
    </row>
    <row r="2729" spans="1:13" s="51" customFormat="1" ht="25.2" hidden="1" customHeight="1">
      <c r="A2729" s="68">
        <f t="shared" si="110"/>
        <v>0</v>
      </c>
      <c r="B2729" s="69" t="s">
        <v>428</v>
      </c>
      <c r="C2729" s="69"/>
      <c r="D2729" s="87"/>
      <c r="E2729" s="88">
        <f>VLOOKUP($B2729,[1]DG!A:D,[1]DG!$B$2,)</f>
        <v>0</v>
      </c>
      <c r="F2729" s="92" t="str">
        <f>VLOOKUP($B2729,[1]DG!A:D,[1]DG!$C$2,)</f>
        <v>Khâu ven răng trong D42</v>
      </c>
      <c r="G2729" s="339" t="str">
        <f>VLOOKUP($B2729,[1]DG!A:D,[1]DG!$D$2,)</f>
        <v>cái</v>
      </c>
      <c r="H2729" s="145">
        <f>H2714*2</f>
        <v>0</v>
      </c>
      <c r="I2729" s="91">
        <f t="shared" si="109"/>
        <v>0</v>
      </c>
      <c r="J2729" s="146"/>
      <c r="K2729" s="146"/>
      <c r="L2729" s="117"/>
      <c r="M2729" s="56">
        <v>2000</v>
      </c>
    </row>
    <row r="2730" spans="1:13" s="51" customFormat="1" ht="25.2" hidden="1" customHeight="1">
      <c r="A2730" s="68">
        <f t="shared" si="110"/>
        <v>0</v>
      </c>
      <c r="B2730" s="86" t="s">
        <v>429</v>
      </c>
      <c r="C2730" s="86"/>
      <c r="D2730" s="87"/>
      <c r="E2730" s="88">
        <f>VLOOKUP($B2730,[1]DG!A:D,[1]DG!$B$2,)</f>
        <v>0</v>
      </c>
      <c r="F2730" s="92" t="str">
        <f>VLOOKUP($B2730,[1]DG!A:D,[1]DG!$C$2,)</f>
        <v>Khâu ven răng ngoài D42</v>
      </c>
      <c r="G2730" s="339" t="str">
        <f>VLOOKUP($B2730,[1]DG!A:D,[1]DG!$D$2,)</f>
        <v>cái</v>
      </c>
      <c r="H2730" s="145">
        <f>H2714*2</f>
        <v>0</v>
      </c>
      <c r="I2730" s="91">
        <f t="shared" si="109"/>
        <v>0</v>
      </c>
      <c r="J2730" s="146"/>
      <c r="K2730" s="146"/>
      <c r="L2730" s="117"/>
      <c r="M2730" s="56">
        <v>2000</v>
      </c>
    </row>
    <row r="2731" spans="1:13" s="51" customFormat="1" ht="25.2" hidden="1" customHeight="1">
      <c r="A2731" s="68">
        <f t="shared" si="110"/>
        <v>0</v>
      </c>
      <c r="B2731" s="86" t="s">
        <v>317</v>
      </c>
      <c r="C2731" s="86"/>
      <c r="D2731" s="87"/>
      <c r="E2731" s="88" t="str">
        <f>VLOOKUP($B2731,[1]DG!A:D,[1]DG!$B$2,)</f>
        <v>06.3231</v>
      </c>
      <c r="F2731" s="92" t="str">
        <f>VLOOKUP($B2731,[1]DG!A:D,[1]DG!$C$2,)</f>
        <v>Cổ dê CDĐKĐT( bắt thùng điện kế)</v>
      </c>
      <c r="G2731" s="339" t="str">
        <f>VLOOKUP($B2731,[1]DG!A:D,[1]DG!$D$2,)</f>
        <v>bộ</v>
      </c>
      <c r="H2731" s="145">
        <f>H2714*2*0</f>
        <v>0</v>
      </c>
      <c r="I2731" s="91">
        <f t="shared" si="109"/>
        <v>0</v>
      </c>
      <c r="J2731" s="146"/>
      <c r="K2731" s="146"/>
      <c r="L2731" s="117"/>
      <c r="M2731" s="56">
        <v>2000</v>
      </c>
    </row>
    <row r="2732" spans="1:13" s="51" customFormat="1" ht="25.2" hidden="1" customHeight="1">
      <c r="A2732" s="68">
        <f t="shared" si="110"/>
        <v>0</v>
      </c>
      <c r="B2732" s="86" t="s">
        <v>447</v>
      </c>
      <c r="C2732" s="86"/>
      <c r="D2732" s="87"/>
      <c r="E2732" s="88" t="str">
        <f>VLOOKUP($B2732,[1]DG!A:D,[1]DG!$B$2,)</f>
        <v>05.1101</v>
      </c>
      <c r="F2732" s="92" t="str">
        <f>VLOOKUP($B2732,[1]DG!A:D,[1]DG!$C$2,)</f>
        <v>Thùng điện kế 450x300x200mm đo đếm trung thế</v>
      </c>
      <c r="G2732" s="339" t="str">
        <f>VLOOKUP($B2732,[1]DG!A:D,[1]DG!$D$2,)</f>
        <v>cái</v>
      </c>
      <c r="H2732" s="145">
        <f>H2714</f>
        <v>0</v>
      </c>
      <c r="I2732" s="91">
        <f t="shared" si="109"/>
        <v>0</v>
      </c>
      <c r="J2732" s="146"/>
      <c r="K2732" s="146"/>
      <c r="L2732" s="117"/>
      <c r="M2732" s="56">
        <v>2000</v>
      </c>
    </row>
    <row r="2733" spans="1:13" s="51" customFormat="1" ht="25.2" hidden="1" customHeight="1">
      <c r="A2733" s="68">
        <f t="shared" si="110"/>
        <v>0</v>
      </c>
      <c r="B2733" s="86" t="s">
        <v>436</v>
      </c>
      <c r="C2733" s="86"/>
      <c r="D2733" s="87"/>
      <c r="E2733" s="88">
        <f>VLOOKUP($B2733,[1]DG!A:D,[1]DG!$B$2,)</f>
        <v>0</v>
      </c>
      <c r="F2733" s="92" t="str">
        <f>VLOOKUP($B2733,[1]DG!A:D,[1]DG!$C$2,)</f>
        <v>Keo silicon bít miệng ống</v>
      </c>
      <c r="G2733" s="339" t="str">
        <f>VLOOKUP($B2733,[1]DG!A:D,[1]DG!$D$2,)</f>
        <v>ống</v>
      </c>
      <c r="H2733" s="145">
        <f>H2714*2</f>
        <v>0</v>
      </c>
      <c r="I2733" s="91">
        <f t="shared" si="109"/>
        <v>0</v>
      </c>
      <c r="J2733" s="146"/>
      <c r="K2733" s="146"/>
      <c r="L2733" s="117"/>
      <c r="M2733" s="56">
        <v>2000</v>
      </c>
    </row>
    <row r="2734" spans="1:13" s="51" customFormat="1" ht="25.2" hidden="1" customHeight="1">
      <c r="A2734" s="68">
        <f t="shared" si="110"/>
        <v>0</v>
      </c>
      <c r="B2734" s="86" t="s">
        <v>448</v>
      </c>
      <c r="C2734" s="86"/>
      <c r="D2734" s="87"/>
      <c r="E2734" s="88">
        <f>VLOOKUP($B2734,[1]DG!A:D,[1]DG!$B$2,)</f>
        <v>0</v>
      </c>
      <c r="F2734" s="92" t="str">
        <f>VLOOKUP($B2734,[1]DG!A:D,[1]DG!$C$2,)</f>
        <v>Dây đồng trần mềm dẹt</v>
      </c>
      <c r="G2734" s="339" t="str">
        <f>VLOOKUP($B2734,[1]DG!A:D,[1]DG!$D$2,)</f>
        <v>mét</v>
      </c>
      <c r="H2734" s="145">
        <f>H2714*4</f>
        <v>0</v>
      </c>
      <c r="I2734" s="91">
        <f t="shared" si="109"/>
        <v>0</v>
      </c>
      <c r="J2734" s="146"/>
      <c r="K2734" s="146"/>
      <c r="L2734" s="117"/>
      <c r="M2734" s="56">
        <v>2000</v>
      </c>
    </row>
    <row r="2735" spans="1:13" s="51" customFormat="1" ht="25.2" hidden="1" customHeight="1">
      <c r="A2735" s="68">
        <f t="shared" si="110"/>
        <v>0</v>
      </c>
      <c r="B2735" s="86" t="s">
        <v>378</v>
      </c>
      <c r="C2735" s="86"/>
      <c r="D2735" s="87"/>
      <c r="E2735" s="88">
        <v>0</v>
      </c>
      <c r="F2735" s="92" t="str">
        <f>VLOOKUP($B2735,[1]DG!A:D,[1]DG!$C$2,)&amp;" : 2 thanh daøi 0,5m"</f>
        <v>Sắt góc L50 x50 x5 : 2 thanh daøi 0,5m</v>
      </c>
      <c r="G2735" s="339" t="str">
        <f>VLOOKUP($B2735,[1]DG!A:D,[1]DG!$D$2,)</f>
        <v>kg</v>
      </c>
      <c r="H2735" s="145">
        <f>3.77*H2714</f>
        <v>0</v>
      </c>
      <c r="I2735" s="91">
        <f t="shared" si="109"/>
        <v>0</v>
      </c>
      <c r="J2735" s="146"/>
      <c r="K2735" s="146"/>
      <c r="L2735" s="117"/>
      <c r="M2735" s="56">
        <v>2000</v>
      </c>
    </row>
    <row r="2736" spans="1:13" s="51" customFormat="1" ht="25.2" hidden="1" customHeight="1">
      <c r="A2736" s="68">
        <f t="shared" si="110"/>
        <v>0</v>
      </c>
      <c r="B2736" s="86" t="s">
        <v>157</v>
      </c>
      <c r="C2736" s="86"/>
      <c r="D2736" s="87"/>
      <c r="E2736" s="88">
        <v>0</v>
      </c>
      <c r="F2736" s="372" t="str">
        <f>VLOOKUP($B2736,[1]DG!A:D,[1]DG!$C$2,)&amp;" baét thuøng ÑKÑT"</f>
        <v>Boulon 12x60+ 2 long đền vuông D14-50x50x3/Zn baét thuøng ÑKÑT</v>
      </c>
      <c r="G2736" s="339" t="str">
        <f>VLOOKUP($B2736,[1]DG!A:D,[1]DG!$D$2,)</f>
        <v>bộ</v>
      </c>
      <c r="H2736" s="145">
        <f>4*H2714</f>
        <v>0</v>
      </c>
      <c r="I2736" s="91">
        <f t="shared" si="109"/>
        <v>0</v>
      </c>
      <c r="J2736" s="146"/>
      <c r="K2736" s="146"/>
      <c r="L2736" s="117"/>
      <c r="M2736" s="56">
        <v>2000</v>
      </c>
    </row>
    <row r="2737" spans="1:13" s="51" customFormat="1" ht="25.2" hidden="1" customHeight="1">
      <c r="A2737" s="68">
        <f t="shared" si="110"/>
        <v>0</v>
      </c>
      <c r="B2737" s="86" t="s">
        <v>436</v>
      </c>
      <c r="C2737" s="86"/>
      <c r="D2737" s="276"/>
      <c r="E2737" s="277"/>
      <c r="F2737" s="267" t="s">
        <v>587</v>
      </c>
      <c r="G2737" s="267"/>
      <c r="H2737" s="191"/>
      <c r="I2737" s="91">
        <f t="shared" si="109"/>
        <v>0</v>
      </c>
      <c r="J2737" s="267"/>
      <c r="K2737" s="267"/>
      <c r="L2737" s="133"/>
      <c r="M2737" s="56">
        <v>2000</v>
      </c>
    </row>
    <row r="2738" spans="1:13" s="51" customFormat="1" ht="25.2" hidden="1" customHeight="1">
      <c r="A2738" s="68">
        <f t="shared" si="110"/>
        <v>0</v>
      </c>
      <c r="B2738" s="86" t="s">
        <v>588</v>
      </c>
      <c r="C2738" s="86"/>
      <c r="D2738" s="87"/>
      <c r="E2738" s="88" t="str">
        <f>VLOOKUP($B2738,[1]DG!A:D,[1]DG!$B$2,)</f>
        <v>06.3241</v>
      </c>
      <c r="F2738" s="92" t="s">
        <v>589</v>
      </c>
      <c r="G2738" s="339" t="str">
        <f>VLOOKUP($B2738,[1]DG!A:D,[1]DG!$D$2,)</f>
        <v>bộ</v>
      </c>
      <c r="H2738" s="145"/>
      <c r="I2738" s="91">
        <f t="shared" si="109"/>
        <v>0</v>
      </c>
      <c r="J2738" s="146"/>
      <c r="K2738" s="146"/>
      <c r="L2738" s="117"/>
      <c r="M2738" s="56">
        <v>2000</v>
      </c>
    </row>
    <row r="2739" spans="1:13" s="51" customFormat="1" ht="25.2" hidden="1" customHeight="1">
      <c r="A2739" s="68">
        <f t="shared" si="110"/>
        <v>0</v>
      </c>
      <c r="B2739" s="86" t="s">
        <v>590</v>
      </c>
      <c r="C2739" s="86"/>
      <c r="D2739" s="87"/>
      <c r="E2739" s="88" t="str">
        <f>VLOOKUP($B2739,[1]DG!A:D,[1]DG!$B$2,)</f>
        <v>05.6011</v>
      </c>
      <c r="F2739" s="92" t="s">
        <v>455</v>
      </c>
      <c r="G2739" s="339" t="str">
        <f>VLOOKUP($B2739,[1]DG!A:D,[1]DG!$D$2,)</f>
        <v>bộ</v>
      </c>
      <c r="H2739" s="145"/>
      <c r="I2739" s="91">
        <f t="shared" si="109"/>
        <v>0</v>
      </c>
      <c r="J2739" s="146"/>
      <c r="K2739" s="146"/>
      <c r="L2739" s="117"/>
      <c r="M2739" s="56">
        <v>2000</v>
      </c>
    </row>
    <row r="2740" spans="1:13" s="51" customFormat="1" ht="25.2" hidden="1" customHeight="1">
      <c r="A2740" s="68">
        <f t="shared" si="110"/>
        <v>0</v>
      </c>
      <c r="B2740" s="86" t="s">
        <v>157</v>
      </c>
      <c r="C2740" s="86"/>
      <c r="D2740" s="249"/>
      <c r="E2740" s="227">
        <f>VLOOKUP($B2740,[1]DG!A:D,[1]DG!$B$2,)</f>
        <v>0</v>
      </c>
      <c r="F2740" s="374" t="str">
        <f>VLOOKUP($B2740,[1]DG!A:D,[1]DG!$C$2,)&amp;" baét thuøng ÑKÑT"</f>
        <v>Boulon 12x60+ 2 long đền vuông D14-50x50x3/Zn baét thuøng ÑKÑT</v>
      </c>
      <c r="G2740" s="375" t="str">
        <f>VLOOKUP($B2740,[1]DG!A:D,[1]DG!$D$2,)</f>
        <v>bộ</v>
      </c>
      <c r="H2740" s="250">
        <f>4*H2718</f>
        <v>0</v>
      </c>
      <c r="I2740" s="91">
        <f t="shared" si="109"/>
        <v>0</v>
      </c>
      <c r="J2740" s="376"/>
      <c r="K2740" s="376"/>
      <c r="L2740" s="141"/>
      <c r="M2740" s="56">
        <v>2000</v>
      </c>
    </row>
    <row r="2741" spans="1:13" s="51" customFormat="1" ht="20.100000000000001" customHeight="1">
      <c r="A2741" s="68">
        <v>1</v>
      </c>
      <c r="B2741" s="86"/>
      <c r="C2741" s="86"/>
      <c r="D2741" s="295"/>
      <c r="E2741" s="296"/>
      <c r="F2741" s="267"/>
      <c r="G2741" s="297"/>
      <c r="H2741" s="298"/>
      <c r="I2741" s="298"/>
      <c r="J2741" s="342"/>
      <c r="K2741" s="342"/>
      <c r="L2741" s="156"/>
      <c r="M2741" s="56" t="str">
        <f>M23</f>
        <v>3x50</v>
      </c>
    </row>
  </sheetData>
  <autoFilter ref="A24:N2741">
    <filterColumn colId="0">
      <customFilters>
        <customFilter operator="notEqual" val=" "/>
      </customFilters>
    </filterColumn>
    <filterColumn colId="12">
      <filters>
        <filter val="3x50"/>
      </filters>
    </filterColumn>
  </autoFilter>
  <dataConsolidate/>
  <mergeCells count="7">
    <mergeCell ref="N6:N7"/>
    <mergeCell ref="N9:N17"/>
    <mergeCell ref="D22:D23"/>
    <mergeCell ref="E22:E23"/>
    <mergeCell ref="F22:F23"/>
    <mergeCell ref="G22:G23"/>
    <mergeCell ref="L22:L23"/>
  </mergeCells>
  <conditionalFormatting sqref="B1325:C1325">
    <cfRule type="duplicateValues" dxfId="55" priority="14"/>
  </conditionalFormatting>
  <conditionalFormatting sqref="B1325:C1325">
    <cfRule type="duplicateValues" dxfId="54" priority="13"/>
  </conditionalFormatting>
  <conditionalFormatting sqref="B1326:C1326">
    <cfRule type="duplicateValues" dxfId="53" priority="12"/>
  </conditionalFormatting>
  <conditionalFormatting sqref="B1326:C1326">
    <cfRule type="duplicateValues" dxfId="52" priority="11"/>
  </conditionalFormatting>
  <conditionalFormatting sqref="B1372:C1372">
    <cfRule type="duplicateValues" dxfId="51" priority="10"/>
  </conditionalFormatting>
  <conditionalFormatting sqref="B1372:C1372">
    <cfRule type="duplicateValues" dxfId="50" priority="9"/>
  </conditionalFormatting>
  <conditionalFormatting sqref="B1406:C1406">
    <cfRule type="duplicateValues" dxfId="49" priority="8"/>
  </conditionalFormatting>
  <conditionalFormatting sqref="B1406:C1406">
    <cfRule type="duplicateValues" dxfId="48" priority="7"/>
  </conditionalFormatting>
  <conditionalFormatting sqref="B1369:C1369">
    <cfRule type="duplicateValues" dxfId="47" priority="6"/>
  </conditionalFormatting>
  <conditionalFormatting sqref="B1369:C1369">
    <cfRule type="duplicateValues" dxfId="46" priority="5"/>
  </conditionalFormatting>
  <conditionalFormatting sqref="B1370:C1370">
    <cfRule type="duplicateValues" dxfId="45" priority="4"/>
  </conditionalFormatting>
  <conditionalFormatting sqref="B1370:C1370">
    <cfRule type="duplicateValues" dxfId="44" priority="3"/>
  </conditionalFormatting>
  <conditionalFormatting sqref="B1368:C1368">
    <cfRule type="duplicateValues" dxfId="43" priority="2"/>
  </conditionalFormatting>
  <conditionalFormatting sqref="B1368:C1368">
    <cfRule type="duplicateValues" dxfId="42" priority="1"/>
  </conditionalFormatting>
  <printOptions horizontalCentered="1"/>
  <pageMargins left="0.23622047244094499" right="0.23622047244094499" top="0.53" bottom="0.24" header="0.23622047244094499" footer="0.17"/>
  <pageSetup paperSize="9" orientation="landscape" blackAndWhite="1" useFirstPageNumber="1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T2808"/>
  <sheetViews>
    <sheetView showZeros="0" topLeftCell="B1" zoomScale="90" zoomScaleNormal="90" workbookViewId="0">
      <pane ySplit="10" topLeftCell="A2263" activePane="bottomLeft" state="frozen"/>
      <selection activeCell="F829" sqref="F829"/>
      <selection pane="bottomLeft" activeCell="F829" sqref="F829"/>
    </sheetView>
  </sheetViews>
  <sheetFormatPr defaultColWidth="8.90625" defaultRowHeight="13.2" outlineLevelRow="1" outlineLevelCol="1"/>
  <cols>
    <col min="1" max="1" width="8.1796875" style="393" customWidth="1"/>
    <col min="2" max="2" width="9.453125" style="380" customWidth="1"/>
    <col min="3" max="3" width="4.54296875" style="379" customWidth="1"/>
    <col min="4" max="4" width="8.36328125" style="381" customWidth="1"/>
    <col min="5" max="5" width="9.81640625" style="382" customWidth="1"/>
    <col min="6" max="6" width="48.36328125" style="563" customWidth="1"/>
    <col min="7" max="7" width="11.1796875" style="382" customWidth="1"/>
    <col min="8" max="8" width="10" style="382" customWidth="1"/>
    <col min="9" max="15" width="10" style="382" hidden="1" customWidth="1" outlineLevel="1"/>
    <col min="16" max="16" width="10" style="379" customWidth="1" collapsed="1"/>
    <col min="17" max="18" width="10" style="379" customWidth="1" outlineLevel="1"/>
    <col min="19" max="19" width="9.90625" style="379" customWidth="1"/>
    <col min="20" max="20" width="11.453125" style="392" customWidth="1"/>
    <col min="21" max="16384" width="8.90625" style="379"/>
  </cols>
  <sheetData>
    <row r="1" spans="1:20" hidden="1" outlineLevel="1">
      <c r="A1" s="379"/>
      <c r="B1" s="380">
        <v>1</v>
      </c>
      <c r="F1" s="383" t="s">
        <v>596</v>
      </c>
      <c r="G1" s="384">
        <v>1.5</v>
      </c>
      <c r="T1" s="379"/>
    </row>
    <row r="2" spans="1:20" hidden="1" outlineLevel="1">
      <c r="A2" s="379"/>
      <c r="B2" s="380">
        <v>0</v>
      </c>
      <c r="F2" s="383" t="s">
        <v>597</v>
      </c>
      <c r="G2" s="384">
        <v>1.7</v>
      </c>
      <c r="T2" s="379"/>
    </row>
    <row r="3" spans="1:20" ht="16.5" hidden="1" customHeight="1" outlineLevel="1">
      <c r="A3" s="379"/>
      <c r="F3" s="383" t="s">
        <v>598</v>
      </c>
      <c r="G3" s="384">
        <v>0.7</v>
      </c>
      <c r="T3" s="379"/>
    </row>
    <row r="4" spans="1:20" hidden="1" outlineLevel="1">
      <c r="A4" s="379"/>
      <c r="F4" s="383" t="s">
        <v>599</v>
      </c>
      <c r="G4" s="384">
        <v>0.7</v>
      </c>
      <c r="T4" s="379"/>
    </row>
    <row r="5" spans="1:20" hidden="1" outlineLevel="1">
      <c r="A5" s="379"/>
      <c r="F5" s="383" t="s">
        <v>600</v>
      </c>
      <c r="G5" s="385">
        <v>3</v>
      </c>
      <c r="T5" s="379"/>
    </row>
    <row r="6" spans="1:20" ht="37.5" customHeight="1" collapsed="1">
      <c r="A6" s="386"/>
      <c r="D6" s="387"/>
      <c r="E6" s="388" t="s">
        <v>601</v>
      </c>
      <c r="F6" s="389"/>
      <c r="G6" s="389"/>
      <c r="H6" s="389"/>
      <c r="I6" s="390"/>
      <c r="J6" s="390"/>
      <c r="K6" s="390"/>
      <c r="L6" s="390"/>
      <c r="M6" s="390"/>
      <c r="N6" s="390"/>
      <c r="O6" s="390"/>
      <c r="P6" s="391"/>
      <c r="Q6" s="391"/>
      <c r="R6" s="391"/>
      <c r="S6" s="391"/>
    </row>
    <row r="7" spans="1:20" ht="21.75" customHeight="1">
      <c r="D7" s="394"/>
      <c r="E7" s="395" t="str">
        <f>CT_tram!D20</f>
        <v>Công trình:  Đường dây trung, hạ thế và TBA Xuân Hiệp 17, ấp Việt Kiều, xã Xuân Hiệp</v>
      </c>
      <c r="F7" s="389"/>
      <c r="G7" s="396"/>
      <c r="H7" s="396"/>
      <c r="I7" s="397"/>
      <c r="J7" s="397"/>
      <c r="K7" s="397"/>
      <c r="L7" s="397"/>
      <c r="M7" s="397"/>
      <c r="N7" s="397"/>
      <c r="O7" s="397"/>
      <c r="P7" s="396"/>
      <c r="Q7" s="396"/>
      <c r="R7" s="396"/>
      <c r="S7" s="396"/>
    </row>
    <row r="8" spans="1:20" ht="18.75" customHeight="1">
      <c r="D8" s="387"/>
      <c r="E8" s="398" t="str">
        <f>CT_tram!D21</f>
        <v>Địa điểm: Xã Xuân Hiệp - Huyện Xuân Lộc - TỉnhĐồngNai</v>
      </c>
      <c r="F8" s="389"/>
      <c r="G8" s="389"/>
      <c r="H8" s="389"/>
      <c r="I8" s="390"/>
      <c r="J8" s="390"/>
      <c r="K8" s="390"/>
      <c r="L8" s="390"/>
      <c r="M8" s="390"/>
      <c r="N8" s="390"/>
      <c r="O8" s="390"/>
      <c r="P8" s="391"/>
      <c r="Q8" s="391"/>
      <c r="R8" s="391"/>
      <c r="S8" s="391"/>
    </row>
    <row r="9" spans="1:20" ht="21" customHeight="1">
      <c r="B9" s="399" t="s">
        <v>40</v>
      </c>
      <c r="C9" s="400" t="s">
        <v>52</v>
      </c>
      <c r="D9" s="401" t="s">
        <v>602</v>
      </c>
      <c r="E9" s="70" t="s">
        <v>41</v>
      </c>
      <c r="F9" s="70" t="s">
        <v>603</v>
      </c>
      <c r="G9" s="70" t="s">
        <v>44</v>
      </c>
      <c r="H9" s="402" t="s">
        <v>45</v>
      </c>
      <c r="I9" s="403"/>
      <c r="J9" s="403"/>
      <c r="K9" s="403"/>
      <c r="L9" s="403"/>
      <c r="M9" s="403"/>
      <c r="N9" s="403"/>
      <c r="O9" s="403"/>
      <c r="P9" s="404"/>
      <c r="Q9" s="404"/>
      <c r="R9" s="405"/>
      <c r="S9" s="70" t="s">
        <v>46</v>
      </c>
    </row>
    <row r="10" spans="1:20" ht="23.25" customHeight="1">
      <c r="B10" s="406"/>
      <c r="C10" s="400" t="s">
        <v>52</v>
      </c>
      <c r="D10" s="407" t="s">
        <v>604</v>
      </c>
      <c r="E10" s="76"/>
      <c r="F10" s="76"/>
      <c r="G10" s="76"/>
      <c r="H10" s="77" t="s">
        <v>47</v>
      </c>
      <c r="I10" s="408" t="s">
        <v>605</v>
      </c>
      <c r="J10" s="408" t="s">
        <v>606</v>
      </c>
      <c r="K10" s="408" t="s">
        <v>607</v>
      </c>
      <c r="L10" s="408" t="s">
        <v>608</v>
      </c>
      <c r="M10" s="408" t="s">
        <v>609</v>
      </c>
      <c r="N10" s="408" t="s">
        <v>610</v>
      </c>
      <c r="O10" s="408" t="s">
        <v>611</v>
      </c>
      <c r="P10" s="77" t="s">
        <v>48</v>
      </c>
      <c r="Q10" s="77" t="s">
        <v>612</v>
      </c>
      <c r="R10" s="77" t="s">
        <v>613</v>
      </c>
      <c r="S10" s="76"/>
      <c r="T10" s="409" t="s">
        <v>614</v>
      </c>
    </row>
    <row r="11" spans="1:20" ht="22.2" hidden="1" customHeight="1">
      <c r="A11" s="379"/>
      <c r="B11" s="410"/>
      <c r="C11" s="411"/>
      <c r="D11" s="412">
        <v>4</v>
      </c>
      <c r="E11" s="413">
        <v>1</v>
      </c>
      <c r="F11" s="414">
        <v>2</v>
      </c>
      <c r="G11" s="413">
        <v>3</v>
      </c>
      <c r="H11" s="415"/>
      <c r="I11" s="415"/>
      <c r="J11" s="415"/>
      <c r="K11" s="415"/>
      <c r="L11" s="415"/>
      <c r="M11" s="415"/>
      <c r="N11" s="415"/>
      <c r="O11" s="415"/>
      <c r="P11" s="246"/>
      <c r="Q11" s="246"/>
      <c r="R11" s="246"/>
      <c r="S11" s="246"/>
      <c r="T11" s="246"/>
    </row>
    <row r="12" spans="1:20" ht="22.2" hidden="1" customHeight="1">
      <c r="A12" s="379">
        <v>1</v>
      </c>
      <c r="B12" s="410">
        <v>2</v>
      </c>
      <c r="C12" s="411"/>
      <c r="D12" s="416">
        <v>7</v>
      </c>
      <c r="E12" s="417">
        <v>4</v>
      </c>
      <c r="F12" s="418">
        <v>5</v>
      </c>
      <c r="G12" s="417">
        <v>6</v>
      </c>
      <c r="H12" s="417">
        <v>8</v>
      </c>
      <c r="I12" s="417">
        <v>9</v>
      </c>
      <c r="J12" s="417">
        <v>10</v>
      </c>
      <c r="K12" s="417">
        <v>11</v>
      </c>
      <c r="L12" s="417">
        <v>12</v>
      </c>
      <c r="M12" s="417">
        <v>13</v>
      </c>
      <c r="N12" s="417">
        <v>14</v>
      </c>
      <c r="O12" s="417">
        <v>15</v>
      </c>
      <c r="P12" s="246"/>
      <c r="Q12" s="246"/>
      <c r="R12" s="246"/>
      <c r="S12" s="246"/>
      <c r="T12" s="246"/>
    </row>
    <row r="13" spans="1:20" ht="22.2" customHeight="1">
      <c r="B13" s="406"/>
      <c r="C13" s="400" t="s">
        <v>615</v>
      </c>
      <c r="D13" s="419"/>
      <c r="E13" s="420" t="s">
        <v>616</v>
      </c>
      <c r="F13" s="421" t="s">
        <v>617</v>
      </c>
      <c r="G13" s="422"/>
      <c r="H13" s="422"/>
      <c r="I13" s="422"/>
      <c r="J13" s="422"/>
      <c r="K13" s="422"/>
      <c r="L13" s="422"/>
      <c r="M13" s="422"/>
      <c r="N13" s="422"/>
      <c r="O13" s="422"/>
      <c r="P13" s="422"/>
      <c r="Q13" s="422"/>
      <c r="R13" s="422"/>
      <c r="S13" s="422"/>
      <c r="T13" s="245"/>
    </row>
    <row r="14" spans="1:20" ht="22.2" hidden="1" customHeight="1">
      <c r="A14" s="423" t="s">
        <v>618</v>
      </c>
      <c r="B14" s="424" t="s">
        <v>618</v>
      </c>
      <c r="C14" s="425" t="str">
        <f>IF(OR(P14&lt;&gt;0,H14&lt;&gt;0),"x"," ")</f>
        <v xml:space="preserve"> </v>
      </c>
      <c r="D14" s="426"/>
      <c r="E14" s="427"/>
      <c r="F14" s="428" t="s">
        <v>619</v>
      </c>
      <c r="G14" s="349" t="s">
        <v>344</v>
      </c>
      <c r="H14" s="429">
        <f>SUM(I14:O14)</f>
        <v>0</v>
      </c>
      <c r="I14" s="430"/>
      <c r="J14" s="430"/>
      <c r="K14" s="430">
        <f>IFERROR(HLOOKUP(B14,[1]pp3p1m!$1:$3,3,0),0)</f>
        <v>0</v>
      </c>
      <c r="L14" s="430">
        <f>IFERROR(HLOOKUP(chitiet!B14,[1]pp1p!$1:$3,3,0),0)</f>
        <v>0</v>
      </c>
      <c r="M14" s="430"/>
      <c r="N14" s="430"/>
      <c r="O14" s="430"/>
      <c r="P14" s="429">
        <f>H14+Q14-R14</f>
        <v>0</v>
      </c>
      <c r="Q14" s="431"/>
      <c r="R14" s="431"/>
      <c r="S14" s="431"/>
      <c r="T14" s="432">
        <f>IFERROR(HLOOKUP(B14,[1]pp1p!$1:$3,3,0),0)+IFERROR(HLOOKUP(B14,[1]pp3p1m!$1:$3,3,0),0)</f>
        <v>0</v>
      </c>
    </row>
    <row r="15" spans="1:20" ht="22.2" hidden="1" customHeight="1">
      <c r="A15" s="379"/>
      <c r="B15" s="410" t="s">
        <v>75</v>
      </c>
      <c r="C15" s="411" t="str">
        <f t="shared" ref="C15:C78" si="0">IF(OR(P15&lt;&gt;0,H15&lt;&gt;0),"x"," ")</f>
        <v xml:space="preserve"> </v>
      </c>
      <c r="D15" s="433">
        <v>0.16300000000000001</v>
      </c>
      <c r="E15" s="422" t="str">
        <f>VLOOKUP($B15,[1]DG!A:D,[1]DG!$B$2,)</f>
        <v>03.1013</v>
      </c>
      <c r="F15" s="434" t="str">
        <f>VLOOKUP($B15,[1]DG!A:D,[1]DG!$C$2,)</f>
        <v>Đào hố móng đất cấp 3 sâu &gt;1m</v>
      </c>
      <c r="G15" s="422" t="str">
        <f>VLOOKUP($B15,[1]DG!A:D,[1]DG!$D$2,)</f>
        <v>m3</v>
      </c>
      <c r="H15" s="435">
        <f>$H$14*D15</f>
        <v>0</v>
      </c>
      <c r="I15" s="435"/>
      <c r="J15" s="435"/>
      <c r="K15" s="435"/>
      <c r="L15" s="435"/>
      <c r="M15" s="435"/>
      <c r="N15" s="435"/>
      <c r="O15" s="435"/>
      <c r="P15" s="436">
        <f>H15+Q15-R15</f>
        <v>0</v>
      </c>
      <c r="Q15" s="437"/>
      <c r="R15" s="437"/>
      <c r="S15" s="437"/>
      <c r="T15" s="432">
        <f t="shared" ref="T15:T77" si="1">IFERROR(HLOOKUP(B15,BangKeTru,3,0),0)</f>
        <v>0</v>
      </c>
    </row>
    <row r="16" spans="1:20" ht="22.2" hidden="1" customHeight="1">
      <c r="A16" s="379"/>
      <c r="B16" s="410" t="s">
        <v>76</v>
      </c>
      <c r="C16" s="411" t="str">
        <f t="shared" si="0"/>
        <v xml:space="preserve"> </v>
      </c>
      <c r="D16" s="433">
        <v>0.13100000000000001</v>
      </c>
      <c r="E16" s="422" t="str">
        <f>VLOOKUP($B16,[1]DG!A:D,[1]DG!$B$2,)</f>
        <v>03.4113</v>
      </c>
      <c r="F16" s="434" t="str">
        <f>VLOOKUP($B16,[1]DG!A:D,[1]DG!$C$2,)</f>
        <v>Đắp đất hố móng, độ chặt k=0,95</v>
      </c>
      <c r="G16" s="422" t="str">
        <f>VLOOKUP($B16,[1]DG!A:D,[1]DG!$D$2,)</f>
        <v>m3</v>
      </c>
      <c r="H16" s="435">
        <f>$H$14*D16</f>
        <v>0</v>
      </c>
      <c r="I16" s="435"/>
      <c r="J16" s="435"/>
      <c r="K16" s="435"/>
      <c r="L16" s="435"/>
      <c r="M16" s="435"/>
      <c r="N16" s="435"/>
      <c r="O16" s="435"/>
      <c r="P16" s="436">
        <f>H16+Q16-R16</f>
        <v>0</v>
      </c>
      <c r="Q16" s="437"/>
      <c r="R16" s="437"/>
      <c r="S16" s="437"/>
      <c r="T16" s="432">
        <f t="shared" si="1"/>
        <v>0</v>
      </c>
    </row>
    <row r="17" spans="1:20" ht="22.2" hidden="1" customHeight="1">
      <c r="A17" s="379"/>
      <c r="B17" s="438" t="s">
        <v>620</v>
      </c>
      <c r="C17" s="411" t="str">
        <f t="shared" si="0"/>
        <v xml:space="preserve"> </v>
      </c>
      <c r="D17" s="439"/>
      <c r="E17" s="422" t="str">
        <f>VLOOKUP($B17,[1]DG!A:C,2,)</f>
        <v>02.1482</v>
      </c>
      <c r="F17" s="434" t="str">
        <f>VLOOKUP(B17,[1]DG!A:C,3,0)</f>
        <v>V/c dụng cụ thi công vào vị trí (cự ly &lt;=100m)</v>
      </c>
      <c r="G17" s="422" t="str">
        <f>VLOOKUP($B17,[1]DG!A:D,4,0)</f>
        <v>tấn</v>
      </c>
      <c r="H17" s="435"/>
      <c r="I17" s="435"/>
      <c r="J17" s="435"/>
      <c r="K17" s="435"/>
      <c r="L17" s="435"/>
      <c r="M17" s="435"/>
      <c r="N17" s="435"/>
      <c r="O17" s="435"/>
      <c r="P17" s="435"/>
      <c r="Q17" s="437"/>
      <c r="R17" s="437"/>
      <c r="S17" s="437"/>
      <c r="T17" s="432">
        <f t="shared" si="1"/>
        <v>0</v>
      </c>
    </row>
    <row r="18" spans="1:20" ht="22.2" hidden="1" customHeight="1">
      <c r="A18" s="423" t="s">
        <v>621</v>
      </c>
      <c r="B18" s="424" t="s">
        <v>621</v>
      </c>
      <c r="C18" s="425" t="str">
        <f t="shared" si="0"/>
        <v xml:space="preserve"> </v>
      </c>
      <c r="D18" s="426"/>
      <c r="E18" s="427"/>
      <c r="F18" s="428" t="s">
        <v>622</v>
      </c>
      <c r="G18" s="349" t="s">
        <v>344</v>
      </c>
      <c r="H18" s="429">
        <f>SUM(I18:O18)</f>
        <v>0</v>
      </c>
      <c r="I18" s="430"/>
      <c r="J18" s="430"/>
      <c r="K18" s="430">
        <f>IFERROR(HLOOKUP(B18,[1]pp3p1m!$1:$3,3,0),0)</f>
        <v>0</v>
      </c>
      <c r="L18" s="430">
        <f>IFERROR(HLOOKUP(chitiet!B18,[1]pp1p!$1:$3,3,0),0)</f>
        <v>0</v>
      </c>
      <c r="M18" s="430"/>
      <c r="N18" s="430"/>
      <c r="O18" s="430"/>
      <c r="P18" s="430"/>
      <c r="Q18" s="431"/>
      <c r="R18" s="431"/>
      <c r="S18" s="431"/>
      <c r="T18" s="432">
        <f>IFERROR(HLOOKUP(B18,[1]pp1p!$1:$3,3,0),0)+IFERROR(HLOOKUP(B18,[1]pp3p1m!$1:$3,3,0),0)</f>
        <v>0</v>
      </c>
    </row>
    <row r="19" spans="1:20" ht="22.2" hidden="1" customHeight="1">
      <c r="A19" s="379"/>
      <c r="B19" s="410" t="s">
        <v>73</v>
      </c>
      <c r="C19" s="411" t="str">
        <f t="shared" si="0"/>
        <v xml:space="preserve"> </v>
      </c>
      <c r="D19" s="440">
        <v>1</v>
      </c>
      <c r="E19" s="422" t="str">
        <f>VLOOKUP($B19,[1]DG!A:D,[1]DG!$B$2,)</f>
        <v>04.4001</v>
      </c>
      <c r="F19" s="441" t="str">
        <f>VLOOKUP($B19,[1]DG!A:D,[1]DG!$C$2,)</f>
        <v>Đà cản BTCT 1,2m</v>
      </c>
      <c r="G19" s="422" t="str">
        <f>VLOOKUP($B19,[1]DG!A:D,[1]DG!$D$2,)</f>
        <v>cái</v>
      </c>
      <c r="H19" s="435">
        <f t="shared" ref="H19:O20" si="2">H$18*$D19</f>
        <v>0</v>
      </c>
      <c r="I19" s="435">
        <f t="shared" si="2"/>
        <v>0</v>
      </c>
      <c r="J19" s="435">
        <f t="shared" si="2"/>
        <v>0</v>
      </c>
      <c r="K19" s="435">
        <f t="shared" si="2"/>
        <v>0</v>
      </c>
      <c r="L19" s="435">
        <f t="shared" si="2"/>
        <v>0</v>
      </c>
      <c r="M19" s="435">
        <f t="shared" si="2"/>
        <v>0</v>
      </c>
      <c r="N19" s="435">
        <f t="shared" si="2"/>
        <v>0</v>
      </c>
      <c r="O19" s="435">
        <f t="shared" si="2"/>
        <v>0</v>
      </c>
      <c r="P19" s="435"/>
      <c r="Q19" s="442"/>
      <c r="R19" s="442"/>
      <c r="S19" s="442"/>
      <c r="T19" s="432">
        <f t="shared" si="1"/>
        <v>0</v>
      </c>
    </row>
    <row r="20" spans="1:20" ht="22.2" hidden="1" customHeight="1">
      <c r="A20" s="379"/>
      <c r="B20" s="410" t="s">
        <v>623</v>
      </c>
      <c r="C20" s="411" t="str">
        <f t="shared" si="0"/>
        <v xml:space="preserve"> </v>
      </c>
      <c r="D20" s="440">
        <v>1</v>
      </c>
      <c r="E20" s="422"/>
      <c r="F20" s="441" t="str">
        <f>VLOOKUP($B20,[1]DG!A:D,[1]DG!$C$2,)</f>
        <v>Boulon 22x550/100+ 2 long đền vuông D24-50x50x3/Zn</v>
      </c>
      <c r="G20" s="422" t="str">
        <f>VLOOKUP($B20,[1]DG!A:D,[1]DG!$D$2,)</f>
        <v>bộ</v>
      </c>
      <c r="H20" s="435">
        <f t="shared" si="2"/>
        <v>0</v>
      </c>
      <c r="I20" s="435">
        <f t="shared" si="2"/>
        <v>0</v>
      </c>
      <c r="J20" s="435">
        <f t="shared" si="2"/>
        <v>0</v>
      </c>
      <c r="K20" s="435">
        <f t="shared" si="2"/>
        <v>0</v>
      </c>
      <c r="L20" s="435">
        <f t="shared" si="2"/>
        <v>0</v>
      </c>
      <c r="M20" s="435">
        <f t="shared" si="2"/>
        <v>0</v>
      </c>
      <c r="N20" s="435">
        <f t="shared" si="2"/>
        <v>0</v>
      </c>
      <c r="O20" s="435">
        <f t="shared" si="2"/>
        <v>0</v>
      </c>
      <c r="P20" s="435"/>
      <c r="Q20" s="442"/>
      <c r="R20" s="442"/>
      <c r="S20" s="442"/>
      <c r="T20" s="432">
        <f t="shared" si="1"/>
        <v>0</v>
      </c>
    </row>
    <row r="21" spans="1:20" ht="22.2" hidden="1" customHeight="1">
      <c r="A21" s="379"/>
      <c r="B21" s="410" t="s">
        <v>75</v>
      </c>
      <c r="C21" s="411" t="str">
        <f t="shared" si="0"/>
        <v xml:space="preserve"> </v>
      </c>
      <c r="D21" s="439">
        <v>0.72</v>
      </c>
      <c r="E21" s="422" t="str">
        <f>VLOOKUP($B21,[1]DG!A:D,[1]DG!$B$2,)</f>
        <v>03.1013</v>
      </c>
      <c r="F21" s="434" t="str">
        <f>VLOOKUP($B21,[1]DG!A:D,[1]DG!$C$2,)</f>
        <v>Đào hố móng đất cấp 3 sâu &gt;1m</v>
      </c>
      <c r="G21" s="422" t="str">
        <f>VLOOKUP($B21,[1]DG!A:D,[1]DG!$D$2,)</f>
        <v>m3</v>
      </c>
      <c r="H21" s="435"/>
      <c r="I21" s="435"/>
      <c r="J21" s="435"/>
      <c r="K21" s="435"/>
      <c r="L21" s="435"/>
      <c r="M21" s="435"/>
      <c r="N21" s="435"/>
      <c r="O21" s="435"/>
      <c r="P21" s="435"/>
      <c r="Q21" s="437"/>
      <c r="R21" s="437"/>
      <c r="S21" s="437"/>
      <c r="T21" s="432">
        <f t="shared" si="1"/>
        <v>0</v>
      </c>
    </row>
    <row r="22" spans="1:20" ht="22.2" hidden="1" customHeight="1">
      <c r="A22" s="379"/>
      <c r="B22" s="410" t="s">
        <v>76</v>
      </c>
      <c r="C22" s="411" t="str">
        <f t="shared" si="0"/>
        <v xml:space="preserve"> </v>
      </c>
      <c r="D22" s="439">
        <f>+D21</f>
        <v>0.72</v>
      </c>
      <c r="E22" s="422" t="str">
        <f>VLOOKUP($B22,[1]DG!A:D,[1]DG!$B$2,)</f>
        <v>03.4113</v>
      </c>
      <c r="F22" s="434" t="str">
        <f>VLOOKUP($B22,[1]DG!A:D,[1]DG!$C$2,)</f>
        <v>Đắp đất hố móng, độ chặt k=0,95</v>
      </c>
      <c r="G22" s="422" t="str">
        <f>VLOOKUP($B22,[1]DG!A:D,[1]DG!$D$2,)</f>
        <v>m3</v>
      </c>
      <c r="H22" s="435"/>
      <c r="I22" s="435"/>
      <c r="J22" s="435"/>
      <c r="K22" s="435"/>
      <c r="L22" s="435"/>
      <c r="M22" s="435"/>
      <c r="N22" s="435"/>
      <c r="O22" s="435"/>
      <c r="P22" s="435"/>
      <c r="Q22" s="437"/>
      <c r="R22" s="437"/>
      <c r="S22" s="437"/>
      <c r="T22" s="432">
        <f t="shared" si="1"/>
        <v>0</v>
      </c>
    </row>
    <row r="23" spans="1:20" ht="22.2" hidden="1" customHeight="1">
      <c r="A23" s="379"/>
      <c r="B23" s="410" t="s">
        <v>624</v>
      </c>
      <c r="C23" s="411" t="str">
        <f t="shared" si="0"/>
        <v xml:space="preserve"> </v>
      </c>
      <c r="D23" s="439"/>
      <c r="E23" s="422" t="str">
        <f>VLOOKUP($B23,[1]DG!A:D,[1]DG!$B$2,)</f>
        <v>02.1123</v>
      </c>
      <c r="F23" s="434" t="str">
        <f>VLOOKUP($B23,[1]DG!A:D,[1]DG!$C$2,)</f>
        <v>Bốc dỡ đà cản, đế néo</v>
      </c>
      <c r="G23" s="422" t="str">
        <f>VLOOKUP($B23,[1]DG!A:D,[1]DG!$D$2,)</f>
        <v>tấn</v>
      </c>
      <c r="H23" s="435"/>
      <c r="I23" s="435"/>
      <c r="J23" s="435"/>
      <c r="K23" s="435"/>
      <c r="L23" s="435"/>
      <c r="M23" s="435"/>
      <c r="N23" s="435"/>
      <c r="O23" s="435"/>
      <c r="P23" s="435"/>
      <c r="Q23" s="442"/>
      <c r="R23" s="442"/>
      <c r="S23" s="442"/>
      <c r="T23" s="432">
        <f t="shared" si="1"/>
        <v>0</v>
      </c>
    </row>
    <row r="24" spans="1:20" ht="22.2" hidden="1" customHeight="1">
      <c r="A24" s="379"/>
      <c r="B24" s="438" t="s">
        <v>625</v>
      </c>
      <c r="C24" s="411" t="str">
        <f t="shared" si="0"/>
        <v xml:space="preserve"> </v>
      </c>
      <c r="D24" s="439"/>
      <c r="E24" s="422" t="str">
        <f>VLOOKUP($B24,[1]DG!A:C,2,)</f>
        <v>02.1451</v>
      </c>
      <c r="F24" s="434" t="str">
        <f>VLOOKUP($B24,[1]DG!A:C,3,)</f>
        <v>V/c đà cản vào vị trí (cự ly &lt;=100m)</v>
      </c>
      <c r="G24" s="422" t="str">
        <f>VLOOKUP($B24,[1]DG!A:D,4,0)</f>
        <v>tấn</v>
      </c>
      <c r="H24" s="435"/>
      <c r="I24" s="435"/>
      <c r="J24" s="435"/>
      <c r="K24" s="435"/>
      <c r="L24" s="435"/>
      <c r="M24" s="435"/>
      <c r="N24" s="435"/>
      <c r="O24" s="435"/>
      <c r="P24" s="435"/>
      <c r="Q24" s="437"/>
      <c r="R24" s="437"/>
      <c r="S24" s="437"/>
      <c r="T24" s="432">
        <f t="shared" si="1"/>
        <v>0</v>
      </c>
    </row>
    <row r="25" spans="1:20" ht="22.2" hidden="1" customHeight="1">
      <c r="A25" s="379"/>
      <c r="B25" s="438" t="s">
        <v>626</v>
      </c>
      <c r="C25" s="411" t="str">
        <f t="shared" si="0"/>
        <v xml:space="preserve"> </v>
      </c>
      <c r="D25" s="433"/>
      <c r="E25" s="422" t="str">
        <f>VLOOKUP($B25,[1]DG!A:C,2,)</f>
        <v>02.1241</v>
      </c>
      <c r="F25" s="434" t="str">
        <f>VLOOKUP($B25,[1]DG!A:C,3,)</f>
        <v>V/c đá dăm ( cự ly &lt;=100m)</v>
      </c>
      <c r="G25" s="422" t="str">
        <f>VLOOKUP($B25,[1]DG!A:D,4,0)</f>
        <v>m3</v>
      </c>
      <c r="H25" s="435"/>
      <c r="I25" s="435"/>
      <c r="J25" s="435"/>
      <c r="K25" s="435"/>
      <c r="L25" s="435"/>
      <c r="M25" s="435"/>
      <c r="N25" s="435"/>
      <c r="O25" s="435"/>
      <c r="P25" s="435"/>
      <c r="Q25" s="437"/>
      <c r="R25" s="437"/>
      <c r="S25" s="437"/>
      <c r="T25" s="432">
        <f t="shared" si="1"/>
        <v>0</v>
      </c>
    </row>
    <row r="26" spans="1:20" ht="22.2" hidden="1" customHeight="1">
      <c r="A26" s="379"/>
      <c r="B26" s="438" t="s">
        <v>620</v>
      </c>
      <c r="C26" s="411" t="str">
        <f t="shared" si="0"/>
        <v xml:space="preserve"> </v>
      </c>
      <c r="D26" s="439"/>
      <c r="E26" s="422" t="str">
        <f>VLOOKUP($B26,[1]DG!A:C,2,)</f>
        <v>02.1482</v>
      </c>
      <c r="F26" s="434" t="str">
        <f>VLOOKUP($B26,[1]DG!A:C,3,)</f>
        <v>V/c dụng cụ thi công vào vị trí (cự ly &lt;=100m)</v>
      </c>
      <c r="G26" s="422" t="str">
        <f>VLOOKUP($B26,[1]DG!A:D,4,0)</f>
        <v>tấn</v>
      </c>
      <c r="H26" s="435"/>
      <c r="I26" s="435"/>
      <c r="J26" s="435"/>
      <c r="K26" s="435"/>
      <c r="L26" s="435"/>
      <c r="M26" s="435"/>
      <c r="N26" s="435"/>
      <c r="O26" s="435"/>
      <c r="P26" s="435"/>
      <c r="Q26" s="437"/>
      <c r="R26" s="437"/>
      <c r="S26" s="437"/>
      <c r="T26" s="432">
        <f t="shared" si="1"/>
        <v>0</v>
      </c>
    </row>
    <row r="27" spans="1:20" ht="22.2" hidden="1" customHeight="1">
      <c r="A27" s="423" t="s">
        <v>627</v>
      </c>
      <c r="B27" s="424" t="s">
        <v>627</v>
      </c>
      <c r="C27" s="425" t="str">
        <f t="shared" si="0"/>
        <v xml:space="preserve"> </v>
      </c>
      <c r="D27" s="426"/>
      <c r="E27" s="427"/>
      <c r="F27" s="428" t="s">
        <v>628</v>
      </c>
      <c r="G27" s="349" t="s">
        <v>344</v>
      </c>
      <c r="H27" s="429">
        <f>SUM(I27:O27)</f>
        <v>0</v>
      </c>
      <c r="I27" s="430"/>
      <c r="J27" s="430"/>
      <c r="K27" s="430">
        <f>IFERROR(HLOOKUP(B27,[1]pp3p1m!$1:$3,3,0),0)</f>
        <v>0</v>
      </c>
      <c r="L27" s="430">
        <f>IFERROR(HLOOKUP(chitiet!B27,[1]pp1p!$1:$3,3,0),0)</f>
        <v>0</v>
      </c>
      <c r="M27" s="430"/>
      <c r="N27" s="430"/>
      <c r="O27" s="430"/>
      <c r="P27" s="430"/>
      <c r="Q27" s="431"/>
      <c r="R27" s="431"/>
      <c r="S27" s="431"/>
      <c r="T27" s="432">
        <f>IFERROR(HLOOKUP(B27,[1]pp1p!$1:$3,3,0),0)+IFERROR(HLOOKUP(B27,[1]pp3p1m!$1:$3,3,0),0)</f>
        <v>0</v>
      </c>
    </row>
    <row r="28" spans="1:20" ht="22.2" hidden="1" customHeight="1">
      <c r="A28" s="379"/>
      <c r="B28" s="410" t="s">
        <v>629</v>
      </c>
      <c r="C28" s="411" t="str">
        <f t="shared" si="0"/>
        <v xml:space="preserve"> </v>
      </c>
      <c r="D28" s="440">
        <v>1</v>
      </c>
      <c r="E28" s="422" t="str">
        <f>VLOOKUP($B28,[1]DG!A:D,[1]DG!$B$2,)</f>
        <v>04.3801</v>
      </c>
      <c r="F28" s="441" t="str">
        <f>VLOOKUP($B28,[1]DG!A:D,[1]DG!$C$2,)</f>
        <v>Đà cản BTCT 1,5m</v>
      </c>
      <c r="G28" s="422" t="str">
        <f>VLOOKUP($B28,[1]DG!A:D,[1]DG!$D$2,)</f>
        <v>cái</v>
      </c>
      <c r="H28" s="435">
        <f t="shared" ref="H28:O29" si="3">H$27*$D28</f>
        <v>0</v>
      </c>
      <c r="I28" s="435">
        <f t="shared" si="3"/>
        <v>0</v>
      </c>
      <c r="J28" s="435">
        <f t="shared" si="3"/>
        <v>0</v>
      </c>
      <c r="K28" s="435">
        <f t="shared" si="3"/>
        <v>0</v>
      </c>
      <c r="L28" s="435">
        <f t="shared" si="3"/>
        <v>0</v>
      </c>
      <c r="M28" s="435">
        <f t="shared" si="3"/>
        <v>0</v>
      </c>
      <c r="N28" s="435">
        <f t="shared" si="3"/>
        <v>0</v>
      </c>
      <c r="O28" s="435">
        <f t="shared" si="3"/>
        <v>0</v>
      </c>
      <c r="P28" s="435"/>
      <c r="Q28" s="442"/>
      <c r="R28" s="442"/>
      <c r="S28" s="442"/>
      <c r="T28" s="432">
        <f t="shared" si="1"/>
        <v>0</v>
      </c>
    </row>
    <row r="29" spans="1:20" ht="22.2" hidden="1" customHeight="1">
      <c r="A29" s="379"/>
      <c r="B29" s="410" t="s">
        <v>623</v>
      </c>
      <c r="C29" s="411" t="str">
        <f t="shared" si="0"/>
        <v xml:space="preserve"> </v>
      </c>
      <c r="D29" s="440">
        <v>1</v>
      </c>
      <c r="E29" s="422"/>
      <c r="F29" s="441" t="str">
        <f>VLOOKUP($B29,[1]DG!A:D,[1]DG!$C$2,)</f>
        <v>Boulon 22x550/100+ 2 long đền vuông D24-50x50x3/Zn</v>
      </c>
      <c r="G29" s="422" t="str">
        <f>VLOOKUP($B29,[1]DG!A:D,[1]DG!$D$2,)</f>
        <v>bộ</v>
      </c>
      <c r="H29" s="435">
        <f t="shared" si="3"/>
        <v>0</v>
      </c>
      <c r="I29" s="435">
        <f t="shared" si="3"/>
        <v>0</v>
      </c>
      <c r="J29" s="435">
        <f t="shared" si="3"/>
        <v>0</v>
      </c>
      <c r="K29" s="435">
        <f t="shared" si="3"/>
        <v>0</v>
      </c>
      <c r="L29" s="435">
        <f t="shared" si="3"/>
        <v>0</v>
      </c>
      <c r="M29" s="435">
        <f t="shared" si="3"/>
        <v>0</v>
      </c>
      <c r="N29" s="435">
        <f t="shared" si="3"/>
        <v>0</v>
      </c>
      <c r="O29" s="435">
        <f t="shared" si="3"/>
        <v>0</v>
      </c>
      <c r="P29" s="435"/>
      <c r="Q29" s="442"/>
      <c r="R29" s="442"/>
      <c r="S29" s="442"/>
      <c r="T29" s="432">
        <f t="shared" si="1"/>
        <v>0</v>
      </c>
    </row>
    <row r="30" spans="1:20" ht="22.2" hidden="1" customHeight="1">
      <c r="A30" s="379"/>
      <c r="B30" s="410" t="s">
        <v>630</v>
      </c>
      <c r="C30" s="411" t="str">
        <f t="shared" si="0"/>
        <v xml:space="preserve"> </v>
      </c>
      <c r="D30" s="433">
        <v>0.155</v>
      </c>
      <c r="E30" s="422">
        <f>VLOOKUP($B30,[1]DG!A:D,[1]DG!$B$2,)</f>
        <v>0</v>
      </c>
      <c r="F30" s="434" t="str">
        <f>VLOOKUP($B30,[1]DG!A:D,[1]DG!$C$2,)</f>
        <v>Đá 2x4</v>
      </c>
      <c r="G30" s="422" t="str">
        <f>VLOOKUP($B30,[1]DG!A:D,[1]DG!$D$2,)</f>
        <v>m3</v>
      </c>
      <c r="H30" s="435">
        <f t="shared" ref="H30:O30" si="4">H$18*$D30</f>
        <v>0</v>
      </c>
      <c r="I30" s="435">
        <f t="shared" si="4"/>
        <v>0</v>
      </c>
      <c r="J30" s="435">
        <f t="shared" si="4"/>
        <v>0</v>
      </c>
      <c r="K30" s="435">
        <f t="shared" si="4"/>
        <v>0</v>
      </c>
      <c r="L30" s="435">
        <f t="shared" si="4"/>
        <v>0</v>
      </c>
      <c r="M30" s="435">
        <f t="shared" si="4"/>
        <v>0</v>
      </c>
      <c r="N30" s="435">
        <f t="shared" si="4"/>
        <v>0</v>
      </c>
      <c r="O30" s="435">
        <f t="shared" si="4"/>
        <v>0</v>
      </c>
      <c r="P30" s="435"/>
      <c r="Q30" s="442"/>
      <c r="R30" s="442"/>
      <c r="S30" s="442"/>
      <c r="T30" s="432">
        <f t="shared" si="1"/>
        <v>0</v>
      </c>
    </row>
    <row r="31" spans="1:20" ht="22.2" hidden="1" customHeight="1">
      <c r="A31" s="379"/>
      <c r="B31" s="410" t="s">
        <v>75</v>
      </c>
      <c r="C31" s="411" t="str">
        <f t="shared" si="0"/>
        <v xml:space="preserve"> </v>
      </c>
      <c r="D31" s="439">
        <v>1.77</v>
      </c>
      <c r="E31" s="422" t="str">
        <f>VLOOKUP($B31,[1]DG!A:D,[1]DG!$B$2,)</f>
        <v>03.1013</v>
      </c>
      <c r="F31" s="434" t="str">
        <f>VLOOKUP($B31,[1]DG!A:D,[1]DG!$C$2,)</f>
        <v>Đào hố móng đất cấp 3 sâu &gt;1m</v>
      </c>
      <c r="G31" s="422" t="str">
        <f>VLOOKUP($B31,[1]DG!A:D,[1]DG!$D$2,)</f>
        <v>m3</v>
      </c>
      <c r="H31" s="435"/>
      <c r="I31" s="435"/>
      <c r="J31" s="435"/>
      <c r="K31" s="435"/>
      <c r="L31" s="435"/>
      <c r="M31" s="435"/>
      <c r="N31" s="435"/>
      <c r="O31" s="435"/>
      <c r="P31" s="435"/>
      <c r="Q31" s="437"/>
      <c r="R31" s="437"/>
      <c r="S31" s="437"/>
      <c r="T31" s="432">
        <f t="shared" si="1"/>
        <v>0</v>
      </c>
    </row>
    <row r="32" spans="1:20" ht="22.2" hidden="1" customHeight="1">
      <c r="A32" s="379"/>
      <c r="B32" s="410" t="s">
        <v>76</v>
      </c>
      <c r="C32" s="411" t="str">
        <f t="shared" si="0"/>
        <v xml:space="preserve"> </v>
      </c>
      <c r="D32" s="439">
        <v>2.0099999999999998</v>
      </c>
      <c r="E32" s="422" t="str">
        <f>VLOOKUP($B32,[1]DG!A:D,[1]DG!$B$2,)</f>
        <v>03.4113</v>
      </c>
      <c r="F32" s="434" t="str">
        <f>VLOOKUP($B32,[1]DG!A:D,[1]DG!$C$2,)</f>
        <v>Đắp đất hố móng, độ chặt k=0,95</v>
      </c>
      <c r="G32" s="422" t="str">
        <f>VLOOKUP($B32,[1]DG!A:D,[1]DG!$D$2,)</f>
        <v>m3</v>
      </c>
      <c r="H32" s="435"/>
      <c r="I32" s="435"/>
      <c r="J32" s="435"/>
      <c r="K32" s="435"/>
      <c r="L32" s="435"/>
      <c r="M32" s="435"/>
      <c r="N32" s="435"/>
      <c r="O32" s="435"/>
      <c r="P32" s="435"/>
      <c r="Q32" s="437"/>
      <c r="R32" s="437"/>
      <c r="S32" s="437"/>
      <c r="T32" s="432">
        <f t="shared" si="1"/>
        <v>0</v>
      </c>
    </row>
    <row r="33" spans="1:20" ht="22.2" hidden="1" customHeight="1">
      <c r="A33" s="379"/>
      <c r="B33" s="410" t="s">
        <v>624</v>
      </c>
      <c r="C33" s="411" t="str">
        <f t="shared" si="0"/>
        <v xml:space="preserve"> </v>
      </c>
      <c r="D33" s="439">
        <v>0.1</v>
      </c>
      <c r="E33" s="422" t="str">
        <f>VLOOKUP($B33,[1]DG!A:D,[1]DG!$B$2,)</f>
        <v>02.1123</v>
      </c>
      <c r="F33" s="434" t="str">
        <f>VLOOKUP($B33,[1]DG!A:D,[1]DG!$C$2,)</f>
        <v>Bốc dỡ đà cản, đế néo</v>
      </c>
      <c r="G33" s="422" t="str">
        <f>VLOOKUP($B33,[1]DG!A:D,[1]DG!$D$2,)</f>
        <v>tấn</v>
      </c>
      <c r="H33" s="435"/>
      <c r="I33" s="435"/>
      <c r="J33" s="435"/>
      <c r="K33" s="435"/>
      <c r="L33" s="435"/>
      <c r="M33" s="435"/>
      <c r="N33" s="435"/>
      <c r="O33" s="435"/>
      <c r="P33" s="435"/>
      <c r="Q33" s="442"/>
      <c r="R33" s="442"/>
      <c r="S33" s="442"/>
      <c r="T33" s="432">
        <f t="shared" si="1"/>
        <v>0</v>
      </c>
    </row>
    <row r="34" spans="1:20" ht="22.2" hidden="1" customHeight="1">
      <c r="A34" s="379"/>
      <c r="B34" s="438" t="s">
        <v>625</v>
      </c>
      <c r="C34" s="411" t="str">
        <f t="shared" si="0"/>
        <v xml:space="preserve"> </v>
      </c>
      <c r="D34" s="439">
        <f>D33</f>
        <v>0.1</v>
      </c>
      <c r="E34" s="422" t="str">
        <f>VLOOKUP($B34,[1]DG!A:C,2,)</f>
        <v>02.1451</v>
      </c>
      <c r="F34" s="434" t="str">
        <f>VLOOKUP($B34,[1]DG!A:C,3,)</f>
        <v>V/c đà cản vào vị trí (cự ly &lt;=100m)</v>
      </c>
      <c r="G34" s="422" t="str">
        <f>VLOOKUP($B34,[1]DG!A:D,4,0)</f>
        <v>tấn</v>
      </c>
      <c r="H34" s="435"/>
      <c r="I34" s="435"/>
      <c r="J34" s="435"/>
      <c r="K34" s="435"/>
      <c r="L34" s="435"/>
      <c r="M34" s="435"/>
      <c r="N34" s="435"/>
      <c r="O34" s="435"/>
      <c r="P34" s="435"/>
      <c r="Q34" s="437"/>
      <c r="R34" s="437"/>
      <c r="S34" s="437"/>
      <c r="T34" s="432">
        <f t="shared" si="1"/>
        <v>0</v>
      </c>
    </row>
    <row r="35" spans="1:20" ht="22.2" hidden="1" customHeight="1">
      <c r="A35" s="379"/>
      <c r="B35" s="438" t="s">
        <v>626</v>
      </c>
      <c r="C35" s="411" t="str">
        <f t="shared" si="0"/>
        <v xml:space="preserve"> </v>
      </c>
      <c r="D35" s="433">
        <f>D30</f>
        <v>0.155</v>
      </c>
      <c r="E35" s="422" t="str">
        <f>VLOOKUP($B35,[1]DG!A:C,2,)</f>
        <v>02.1241</v>
      </c>
      <c r="F35" s="434" t="str">
        <f>VLOOKUP($B35,[1]DG!A:C,3,)</f>
        <v>V/c đá dăm ( cự ly &lt;=100m)</v>
      </c>
      <c r="G35" s="422" t="str">
        <f>VLOOKUP($B35,[1]DG!A:D,4,0)</f>
        <v>m3</v>
      </c>
      <c r="H35" s="435"/>
      <c r="I35" s="435"/>
      <c r="J35" s="435"/>
      <c r="K35" s="435"/>
      <c r="L35" s="435"/>
      <c r="M35" s="435"/>
      <c r="N35" s="435"/>
      <c r="O35" s="435"/>
      <c r="P35" s="435"/>
      <c r="Q35" s="437"/>
      <c r="R35" s="437"/>
      <c r="S35" s="437"/>
      <c r="T35" s="432">
        <f t="shared" si="1"/>
        <v>0</v>
      </c>
    </row>
    <row r="36" spans="1:20" ht="22.2" hidden="1" customHeight="1">
      <c r="A36" s="379"/>
      <c r="B36" s="438" t="s">
        <v>620</v>
      </c>
      <c r="C36" s="411" t="str">
        <f t="shared" si="0"/>
        <v xml:space="preserve"> </v>
      </c>
      <c r="D36" s="439">
        <v>0.2</v>
      </c>
      <c r="E36" s="422" t="str">
        <f>VLOOKUP($B36,[1]DG!A:C,2,)</f>
        <v>02.1482</v>
      </c>
      <c r="F36" s="434" t="str">
        <f>VLOOKUP($B36,[1]DG!A:C,3,)</f>
        <v>V/c dụng cụ thi công vào vị trí (cự ly &lt;=100m)</v>
      </c>
      <c r="G36" s="422" t="str">
        <f>VLOOKUP($B36,[1]DG!A:D,4,0)</f>
        <v>tấn</v>
      </c>
      <c r="H36" s="435"/>
      <c r="I36" s="435"/>
      <c r="J36" s="435"/>
      <c r="K36" s="435"/>
      <c r="L36" s="435"/>
      <c r="M36" s="435"/>
      <c r="N36" s="435"/>
      <c r="O36" s="435"/>
      <c r="P36" s="435"/>
      <c r="Q36" s="437"/>
      <c r="R36" s="437"/>
      <c r="S36" s="437"/>
      <c r="T36" s="432">
        <f t="shared" si="1"/>
        <v>0</v>
      </c>
    </row>
    <row r="37" spans="1:20" ht="22.2" hidden="1" customHeight="1">
      <c r="A37" s="423" t="s">
        <v>631</v>
      </c>
      <c r="B37" s="424" t="s">
        <v>631</v>
      </c>
      <c r="C37" s="425" t="str">
        <f t="shared" si="0"/>
        <v xml:space="preserve"> </v>
      </c>
      <c r="D37" s="426"/>
      <c r="E37" s="427"/>
      <c r="F37" s="428" t="s">
        <v>632</v>
      </c>
      <c r="G37" s="349" t="s">
        <v>344</v>
      </c>
      <c r="H37" s="429">
        <f>SUM(I37:O37)</f>
        <v>0</v>
      </c>
      <c r="I37" s="430"/>
      <c r="J37" s="430"/>
      <c r="K37" s="430">
        <f>IFERROR(HLOOKUP(B37,[1]pp3p1m!$1:$3,3,0),0)</f>
        <v>0</v>
      </c>
      <c r="L37" s="430">
        <f>IFERROR(HLOOKUP(chitiet!B37,[1]pp1p!$1:$3,3,0),0)</f>
        <v>0</v>
      </c>
      <c r="M37" s="430"/>
      <c r="N37" s="430"/>
      <c r="O37" s="430"/>
      <c r="P37" s="430"/>
      <c r="Q37" s="431"/>
      <c r="R37" s="431"/>
      <c r="S37" s="431"/>
      <c r="T37" s="432">
        <f>IFERROR(HLOOKUP(B37,[1]pp1p!$1:$3,3,0),0)+IFERROR(HLOOKUP(B37,[1]pp3p1m!$1:$3,3,0),0)</f>
        <v>0</v>
      </c>
    </row>
    <row r="38" spans="1:20" ht="22.2" hidden="1" customHeight="1">
      <c r="A38" s="379"/>
      <c r="B38" s="410" t="s">
        <v>73</v>
      </c>
      <c r="C38" s="411" t="str">
        <f t="shared" si="0"/>
        <v xml:space="preserve"> </v>
      </c>
      <c r="D38" s="440">
        <v>2</v>
      </c>
      <c r="E38" s="422" t="str">
        <f>VLOOKUP($B38,[1]DG!A:D,[1]DG!$B$2,)</f>
        <v>04.4001</v>
      </c>
      <c r="F38" s="441" t="str">
        <f>VLOOKUP($B38,[1]DG!A:D,[1]DG!$C$2,)</f>
        <v>Đà cản BTCT 1,2m</v>
      </c>
      <c r="G38" s="422" t="str">
        <f>VLOOKUP($B38,[1]DG!A:D,[1]DG!$D$2,)</f>
        <v>cái</v>
      </c>
      <c r="H38" s="435">
        <f t="shared" ref="H38:N39" si="5">H$37*$D38</f>
        <v>0</v>
      </c>
      <c r="I38" s="435">
        <f t="shared" si="5"/>
        <v>0</v>
      </c>
      <c r="J38" s="435">
        <f t="shared" si="5"/>
        <v>0</v>
      </c>
      <c r="K38" s="435">
        <f t="shared" si="5"/>
        <v>0</v>
      </c>
      <c r="L38" s="435">
        <f t="shared" si="5"/>
        <v>0</v>
      </c>
      <c r="M38" s="435">
        <f t="shared" si="5"/>
        <v>0</v>
      </c>
      <c r="N38" s="435">
        <f t="shared" si="5"/>
        <v>0</v>
      </c>
      <c r="O38" s="435"/>
      <c r="P38" s="435"/>
      <c r="Q38" s="442"/>
      <c r="R38" s="442"/>
      <c r="S38" s="442"/>
      <c r="T38" s="432">
        <f t="shared" si="1"/>
        <v>0</v>
      </c>
    </row>
    <row r="39" spans="1:20" ht="22.2" hidden="1" customHeight="1">
      <c r="A39" s="379"/>
      <c r="B39" s="410" t="s">
        <v>623</v>
      </c>
      <c r="C39" s="411" t="str">
        <f t="shared" si="0"/>
        <v xml:space="preserve"> </v>
      </c>
      <c r="D39" s="440">
        <v>2</v>
      </c>
      <c r="E39" s="422"/>
      <c r="F39" s="441" t="str">
        <f>VLOOKUP($B39,[1]DG!A:D,[1]DG!$C$2,)</f>
        <v>Boulon 22x550/100+ 2 long đền vuông D24-50x50x3/Zn</v>
      </c>
      <c r="G39" s="422" t="str">
        <f>VLOOKUP($B39,[1]DG!A:D,[1]DG!$D$2,)</f>
        <v>bộ</v>
      </c>
      <c r="H39" s="435">
        <f t="shared" si="5"/>
        <v>0</v>
      </c>
      <c r="I39" s="435">
        <f t="shared" si="5"/>
        <v>0</v>
      </c>
      <c r="J39" s="435">
        <f t="shared" si="5"/>
        <v>0</v>
      </c>
      <c r="K39" s="435">
        <f t="shared" si="5"/>
        <v>0</v>
      </c>
      <c r="L39" s="435">
        <f t="shared" si="5"/>
        <v>0</v>
      </c>
      <c r="M39" s="435">
        <f t="shared" si="5"/>
        <v>0</v>
      </c>
      <c r="N39" s="435">
        <f t="shared" si="5"/>
        <v>0</v>
      </c>
      <c r="O39" s="435"/>
      <c r="P39" s="435"/>
      <c r="Q39" s="442"/>
      <c r="R39" s="442"/>
      <c r="S39" s="442"/>
      <c r="T39" s="432">
        <f t="shared" si="1"/>
        <v>0</v>
      </c>
    </row>
    <row r="40" spans="1:20" ht="22.2" hidden="1" customHeight="1">
      <c r="A40" s="379"/>
      <c r="B40" s="410" t="s">
        <v>75</v>
      </c>
      <c r="C40" s="411" t="str">
        <f t="shared" si="0"/>
        <v xml:space="preserve"> </v>
      </c>
      <c r="D40" s="439">
        <v>3.65</v>
      </c>
      <c r="E40" s="422" t="str">
        <f>VLOOKUP($B40,[1]DG!A:D,[1]DG!$B$2,)</f>
        <v>03.1013</v>
      </c>
      <c r="F40" s="434" t="str">
        <f>VLOOKUP($B40,[1]DG!A:D,[1]DG!$C$2,)</f>
        <v>Đào hố móng đất cấp 3 sâu &gt;1m</v>
      </c>
      <c r="G40" s="422" t="str">
        <f>VLOOKUP($B40,[1]DG!A:D,[1]DG!$D$2,)</f>
        <v>m3</v>
      </c>
      <c r="H40" s="435"/>
      <c r="I40" s="435"/>
      <c r="J40" s="435"/>
      <c r="K40" s="435"/>
      <c r="L40" s="435"/>
      <c r="M40" s="435"/>
      <c r="N40" s="435"/>
      <c r="O40" s="435"/>
      <c r="P40" s="435"/>
      <c r="Q40" s="437"/>
      <c r="R40" s="437"/>
      <c r="S40" s="437"/>
      <c r="T40" s="432">
        <f t="shared" si="1"/>
        <v>0</v>
      </c>
    </row>
    <row r="41" spans="1:20" ht="22.2" hidden="1" customHeight="1">
      <c r="A41" s="379"/>
      <c r="B41" s="410" t="s">
        <v>76</v>
      </c>
      <c r="C41" s="411" t="str">
        <f t="shared" si="0"/>
        <v xml:space="preserve"> </v>
      </c>
      <c r="D41" s="439">
        <v>4.41</v>
      </c>
      <c r="E41" s="422" t="str">
        <f>VLOOKUP($B41,[1]DG!A:D,[1]DG!$B$2,)</f>
        <v>03.4113</v>
      </c>
      <c r="F41" s="434" t="str">
        <f>VLOOKUP($B41,[1]DG!A:D,[1]DG!$C$2,)</f>
        <v>Đắp đất hố móng, độ chặt k=0,95</v>
      </c>
      <c r="G41" s="422" t="str">
        <f>VLOOKUP($B41,[1]DG!A:D,[1]DG!$D$2,)</f>
        <v>m3</v>
      </c>
      <c r="H41" s="435"/>
      <c r="I41" s="435"/>
      <c r="J41" s="435"/>
      <c r="K41" s="435"/>
      <c r="L41" s="435"/>
      <c r="M41" s="435"/>
      <c r="N41" s="435"/>
      <c r="O41" s="435"/>
      <c r="P41" s="435"/>
      <c r="Q41" s="437"/>
      <c r="R41" s="437"/>
      <c r="S41" s="437"/>
      <c r="T41" s="432">
        <f t="shared" si="1"/>
        <v>0</v>
      </c>
    </row>
    <row r="42" spans="1:20" ht="22.2" hidden="1" customHeight="1">
      <c r="A42" s="379"/>
      <c r="B42" s="410" t="s">
        <v>624</v>
      </c>
      <c r="C42" s="411" t="str">
        <f t="shared" si="0"/>
        <v xml:space="preserve"> </v>
      </c>
      <c r="D42" s="439">
        <f>0.1*D38</f>
        <v>0.2</v>
      </c>
      <c r="E42" s="422" t="str">
        <f>VLOOKUP($B42,[1]DG!A:D,[1]DG!$B$2,)</f>
        <v>02.1123</v>
      </c>
      <c r="F42" s="434" t="str">
        <f>VLOOKUP($B42,[1]DG!A:D,[1]DG!$C$2,)</f>
        <v>Bốc dỡ đà cản, đế néo</v>
      </c>
      <c r="G42" s="422" t="str">
        <f>VLOOKUP($B42,[1]DG!A:D,[1]DG!$D$2,)</f>
        <v>tấn</v>
      </c>
      <c r="H42" s="435"/>
      <c r="I42" s="435"/>
      <c r="J42" s="435"/>
      <c r="K42" s="435"/>
      <c r="L42" s="435"/>
      <c r="M42" s="435"/>
      <c r="N42" s="435"/>
      <c r="O42" s="435"/>
      <c r="P42" s="435"/>
      <c r="Q42" s="442"/>
      <c r="R42" s="442"/>
      <c r="S42" s="442"/>
      <c r="T42" s="432">
        <f t="shared" si="1"/>
        <v>0</v>
      </c>
    </row>
    <row r="43" spans="1:20" ht="22.2" hidden="1" customHeight="1">
      <c r="A43" s="379"/>
      <c r="B43" s="438" t="s">
        <v>625</v>
      </c>
      <c r="C43" s="411" t="str">
        <f t="shared" si="0"/>
        <v xml:space="preserve"> </v>
      </c>
      <c r="D43" s="439">
        <f>D42</f>
        <v>0.2</v>
      </c>
      <c r="E43" s="422" t="str">
        <f>VLOOKUP($B43,[1]DG!A:C,2,)</f>
        <v>02.1451</v>
      </c>
      <c r="F43" s="434" t="str">
        <f>VLOOKUP($B43,[1]DG!A:C,3,)</f>
        <v>V/c đà cản vào vị trí (cự ly &lt;=100m)</v>
      </c>
      <c r="G43" s="422" t="str">
        <f>VLOOKUP($B43,[1]DG!A:D,4,0)</f>
        <v>tấn</v>
      </c>
      <c r="H43" s="435"/>
      <c r="I43" s="435"/>
      <c r="J43" s="435"/>
      <c r="K43" s="435"/>
      <c r="L43" s="435"/>
      <c r="M43" s="435"/>
      <c r="N43" s="435"/>
      <c r="O43" s="435"/>
      <c r="P43" s="435"/>
      <c r="Q43" s="437"/>
      <c r="R43" s="437"/>
      <c r="S43" s="437"/>
      <c r="T43" s="432">
        <f t="shared" si="1"/>
        <v>0</v>
      </c>
    </row>
    <row r="44" spans="1:20" ht="22.2" hidden="1" customHeight="1">
      <c r="A44" s="379"/>
      <c r="B44" s="438" t="s">
        <v>620</v>
      </c>
      <c r="C44" s="411" t="str">
        <f t="shared" si="0"/>
        <v xml:space="preserve"> </v>
      </c>
      <c r="D44" s="439">
        <v>0.2</v>
      </c>
      <c r="E44" s="422" t="str">
        <f>VLOOKUP($B44,[1]DG!A:C,2,)</f>
        <v>02.1482</v>
      </c>
      <c r="F44" s="434" t="str">
        <f>VLOOKUP($B44,[1]DG!A:C,3,)</f>
        <v>V/c dụng cụ thi công vào vị trí (cự ly &lt;=100m)</v>
      </c>
      <c r="G44" s="422" t="str">
        <f>VLOOKUP($B44,[1]DG!A:D,4,0)</f>
        <v>tấn</v>
      </c>
      <c r="H44" s="435"/>
      <c r="I44" s="435"/>
      <c r="J44" s="435"/>
      <c r="K44" s="435"/>
      <c r="L44" s="435"/>
      <c r="M44" s="435"/>
      <c r="N44" s="435"/>
      <c r="O44" s="435"/>
      <c r="P44" s="435"/>
      <c r="Q44" s="437"/>
      <c r="R44" s="437"/>
      <c r="S44" s="437"/>
      <c r="T44" s="432">
        <f t="shared" si="1"/>
        <v>0</v>
      </c>
    </row>
    <row r="45" spans="1:20" ht="22.2" hidden="1" customHeight="1">
      <c r="A45" s="423" t="s">
        <v>633</v>
      </c>
      <c r="B45" s="424" t="s">
        <v>633</v>
      </c>
      <c r="C45" s="425" t="str">
        <f t="shared" si="0"/>
        <v xml:space="preserve"> </v>
      </c>
      <c r="D45" s="426"/>
      <c r="E45" s="427"/>
      <c r="F45" s="428" t="s">
        <v>634</v>
      </c>
      <c r="G45" s="349" t="s">
        <v>344</v>
      </c>
      <c r="H45" s="429">
        <f>SUM(I45:O45)</f>
        <v>0</v>
      </c>
      <c r="I45" s="430"/>
      <c r="J45" s="430"/>
      <c r="K45" s="430">
        <f>IFERROR(HLOOKUP(B45,[1]pp3p1m!$1:$3,3,0),0)</f>
        <v>0</v>
      </c>
      <c r="L45" s="430">
        <f>IFERROR(HLOOKUP(chitiet!B45,[1]pp1p!$1:$3,3,0),0)</f>
        <v>0</v>
      </c>
      <c r="M45" s="430"/>
      <c r="N45" s="430"/>
      <c r="O45" s="430"/>
      <c r="P45" s="430"/>
      <c r="Q45" s="431"/>
      <c r="R45" s="431"/>
      <c r="S45" s="431"/>
      <c r="T45" s="432">
        <f>IFERROR(HLOOKUP(B45,[1]pp1p!$1:$3,3,0),0)+IFERROR(HLOOKUP(B45,[1]pp3p1m!$1:$3,3,0),0)</f>
        <v>0</v>
      </c>
    </row>
    <row r="46" spans="1:20" ht="22.2" hidden="1" customHeight="1">
      <c r="A46" s="379"/>
      <c r="B46" s="410" t="s">
        <v>73</v>
      </c>
      <c r="C46" s="411" t="str">
        <f t="shared" si="0"/>
        <v xml:space="preserve"> </v>
      </c>
      <c r="D46" s="440">
        <v>2</v>
      </c>
      <c r="E46" s="422" t="str">
        <f>VLOOKUP($B46,[1]DG!A:D,[1]DG!$B$2,)</f>
        <v>04.4001</v>
      </c>
      <c r="F46" s="441" t="str">
        <f>VLOOKUP($B46,[1]DG!A:D,[1]DG!$C$2,)</f>
        <v>Đà cản BTCT 1,2m</v>
      </c>
      <c r="G46" s="422" t="str">
        <f>VLOOKUP($B46,[1]DG!A:D,[1]DG!$D$2,)</f>
        <v>cái</v>
      </c>
      <c r="H46" s="435">
        <f t="shared" ref="H46:N47" si="6">H$45*$D46</f>
        <v>0</v>
      </c>
      <c r="I46" s="435">
        <f t="shared" si="6"/>
        <v>0</v>
      </c>
      <c r="J46" s="435">
        <f t="shared" si="6"/>
        <v>0</v>
      </c>
      <c r="K46" s="435">
        <f t="shared" si="6"/>
        <v>0</v>
      </c>
      <c r="L46" s="435">
        <f t="shared" si="6"/>
        <v>0</v>
      </c>
      <c r="M46" s="435">
        <f t="shared" si="6"/>
        <v>0</v>
      </c>
      <c r="N46" s="435">
        <f t="shared" si="6"/>
        <v>0</v>
      </c>
      <c r="O46" s="435"/>
      <c r="P46" s="435"/>
      <c r="Q46" s="442"/>
      <c r="R46" s="442"/>
      <c r="S46" s="442"/>
      <c r="T46" s="432">
        <f t="shared" si="1"/>
        <v>0</v>
      </c>
    </row>
    <row r="47" spans="1:20" ht="22.2" hidden="1" customHeight="1">
      <c r="A47" s="379"/>
      <c r="B47" s="410" t="s">
        <v>623</v>
      </c>
      <c r="C47" s="411" t="str">
        <f t="shared" si="0"/>
        <v xml:space="preserve"> </v>
      </c>
      <c r="D47" s="440">
        <v>2</v>
      </c>
      <c r="E47" s="422"/>
      <c r="F47" s="441" t="str">
        <f>VLOOKUP($B47,[1]DG!A:D,[1]DG!$C$2,)</f>
        <v>Boulon 22x550/100+ 2 long đền vuông D24-50x50x3/Zn</v>
      </c>
      <c r="G47" s="422" t="str">
        <f>VLOOKUP($B47,[1]DG!A:D,[1]DG!$D$2,)</f>
        <v>bộ</v>
      </c>
      <c r="H47" s="435">
        <f t="shared" si="6"/>
        <v>0</v>
      </c>
      <c r="I47" s="435">
        <f t="shared" si="6"/>
        <v>0</v>
      </c>
      <c r="J47" s="435">
        <f t="shared" si="6"/>
        <v>0</v>
      </c>
      <c r="K47" s="435">
        <f t="shared" si="6"/>
        <v>0</v>
      </c>
      <c r="L47" s="435">
        <f t="shared" si="6"/>
        <v>0</v>
      </c>
      <c r="M47" s="435">
        <f t="shared" si="6"/>
        <v>0</v>
      </c>
      <c r="N47" s="435">
        <f t="shared" si="6"/>
        <v>0</v>
      </c>
      <c r="O47" s="435"/>
      <c r="P47" s="435"/>
      <c r="Q47" s="442"/>
      <c r="R47" s="442"/>
      <c r="S47" s="442"/>
      <c r="T47" s="432">
        <f t="shared" si="1"/>
        <v>0</v>
      </c>
    </row>
    <row r="48" spans="1:20" ht="22.2" hidden="1" customHeight="1">
      <c r="A48" s="379"/>
      <c r="B48" s="410" t="s">
        <v>75</v>
      </c>
      <c r="C48" s="411" t="str">
        <f t="shared" si="0"/>
        <v xml:space="preserve"> </v>
      </c>
      <c r="D48" s="439">
        <v>3.81</v>
      </c>
      <c r="E48" s="422" t="str">
        <f>VLOOKUP($B48,[1]DG!A:D,[1]DG!$B$2,)</f>
        <v>03.1013</v>
      </c>
      <c r="F48" s="434" t="str">
        <f>VLOOKUP($B48,[1]DG!A:D,[1]DG!$C$2,)</f>
        <v>Đào hố móng đất cấp 3 sâu &gt;1m</v>
      </c>
      <c r="G48" s="422" t="str">
        <f>VLOOKUP($B48,[1]DG!A:D,[1]DG!$D$2,)</f>
        <v>m3</v>
      </c>
      <c r="H48" s="435"/>
      <c r="I48" s="435"/>
      <c r="J48" s="435"/>
      <c r="K48" s="435"/>
      <c r="L48" s="435"/>
      <c r="M48" s="435"/>
      <c r="N48" s="435"/>
      <c r="O48" s="435"/>
      <c r="P48" s="435"/>
      <c r="Q48" s="437"/>
      <c r="R48" s="437"/>
      <c r="S48" s="437"/>
      <c r="T48" s="432">
        <f t="shared" si="1"/>
        <v>0</v>
      </c>
    </row>
    <row r="49" spans="1:20" ht="22.2" hidden="1" customHeight="1">
      <c r="A49" s="379"/>
      <c r="B49" s="410" t="s">
        <v>76</v>
      </c>
      <c r="C49" s="411" t="str">
        <f t="shared" si="0"/>
        <v xml:space="preserve"> </v>
      </c>
      <c r="D49" s="439">
        <v>4.63</v>
      </c>
      <c r="E49" s="422" t="str">
        <f>VLOOKUP($B49,[1]DG!A:D,[1]DG!$B$2,)</f>
        <v>03.4113</v>
      </c>
      <c r="F49" s="434" t="str">
        <f>VLOOKUP($B49,[1]DG!A:D,[1]DG!$C$2,)</f>
        <v>Đắp đất hố móng, độ chặt k=0,95</v>
      </c>
      <c r="G49" s="422" t="str">
        <f>VLOOKUP($B49,[1]DG!A:D,[1]DG!$D$2,)</f>
        <v>m3</v>
      </c>
      <c r="H49" s="435"/>
      <c r="I49" s="435"/>
      <c r="J49" s="435"/>
      <c r="K49" s="435"/>
      <c r="L49" s="435"/>
      <c r="M49" s="435"/>
      <c r="N49" s="435"/>
      <c r="O49" s="435"/>
      <c r="P49" s="435"/>
      <c r="Q49" s="437"/>
      <c r="R49" s="437"/>
      <c r="S49" s="437"/>
      <c r="T49" s="432">
        <f t="shared" si="1"/>
        <v>0</v>
      </c>
    </row>
    <row r="50" spans="1:20" ht="22.2" hidden="1" customHeight="1">
      <c r="A50" s="379"/>
      <c r="B50" s="410" t="s">
        <v>624</v>
      </c>
      <c r="C50" s="411" t="str">
        <f t="shared" si="0"/>
        <v xml:space="preserve"> </v>
      </c>
      <c r="D50" s="439">
        <f>0.1*D46</f>
        <v>0.2</v>
      </c>
      <c r="E50" s="422" t="str">
        <f>VLOOKUP($B50,[1]DG!A:D,[1]DG!$B$2,)</f>
        <v>02.1123</v>
      </c>
      <c r="F50" s="434" t="str">
        <f>VLOOKUP($B50,[1]DG!A:D,[1]DG!$C$2,)</f>
        <v>Bốc dỡ đà cản, đế néo</v>
      </c>
      <c r="G50" s="422" t="str">
        <f>VLOOKUP($B50,[1]DG!A:D,[1]DG!$D$2,)</f>
        <v>tấn</v>
      </c>
      <c r="H50" s="435"/>
      <c r="I50" s="435"/>
      <c r="J50" s="435"/>
      <c r="K50" s="435"/>
      <c r="L50" s="435"/>
      <c r="M50" s="435"/>
      <c r="N50" s="435"/>
      <c r="O50" s="435"/>
      <c r="P50" s="435"/>
      <c r="Q50" s="442"/>
      <c r="R50" s="442"/>
      <c r="S50" s="442"/>
      <c r="T50" s="432">
        <f t="shared" si="1"/>
        <v>0</v>
      </c>
    </row>
    <row r="51" spans="1:20" ht="22.2" hidden="1" customHeight="1">
      <c r="A51" s="379"/>
      <c r="B51" s="438" t="s">
        <v>625</v>
      </c>
      <c r="C51" s="411" t="str">
        <f t="shared" si="0"/>
        <v xml:space="preserve"> </v>
      </c>
      <c r="D51" s="439">
        <f>D50</f>
        <v>0.2</v>
      </c>
      <c r="E51" s="422" t="str">
        <f>VLOOKUP($B51,[1]DG!A:C,2,)</f>
        <v>02.1451</v>
      </c>
      <c r="F51" s="434" t="str">
        <f>VLOOKUP($B51,[1]DG!A:C,3,)</f>
        <v>V/c đà cản vào vị trí (cự ly &lt;=100m)</v>
      </c>
      <c r="G51" s="422" t="str">
        <f>VLOOKUP($B51,[1]DG!A:D,4,0)</f>
        <v>tấn</v>
      </c>
      <c r="H51" s="435"/>
      <c r="I51" s="435"/>
      <c r="J51" s="435"/>
      <c r="K51" s="435"/>
      <c r="L51" s="435"/>
      <c r="M51" s="435"/>
      <c r="N51" s="435"/>
      <c r="O51" s="435"/>
      <c r="P51" s="435"/>
      <c r="Q51" s="437"/>
      <c r="R51" s="437"/>
      <c r="S51" s="437"/>
      <c r="T51" s="432">
        <f t="shared" si="1"/>
        <v>0</v>
      </c>
    </row>
    <row r="52" spans="1:20" ht="22.2" hidden="1" customHeight="1">
      <c r="A52" s="379"/>
      <c r="B52" s="438" t="s">
        <v>620</v>
      </c>
      <c r="C52" s="411" t="str">
        <f t="shared" si="0"/>
        <v xml:space="preserve"> </v>
      </c>
      <c r="D52" s="439">
        <v>0.2</v>
      </c>
      <c r="E52" s="422" t="str">
        <f>VLOOKUP($B52,[1]DG!A:C,2,)</f>
        <v>02.1482</v>
      </c>
      <c r="F52" s="434" t="str">
        <f>VLOOKUP($B52,[1]DG!A:C,3,)</f>
        <v>V/c dụng cụ thi công vào vị trí (cự ly &lt;=100m)</v>
      </c>
      <c r="G52" s="422" t="str">
        <f>VLOOKUP($B52,[1]DG!A:D,4,0)</f>
        <v>tấn</v>
      </c>
      <c r="H52" s="435"/>
      <c r="I52" s="435"/>
      <c r="J52" s="435"/>
      <c r="K52" s="435"/>
      <c r="L52" s="435"/>
      <c r="M52" s="435"/>
      <c r="N52" s="435"/>
      <c r="O52" s="435"/>
      <c r="P52" s="435"/>
      <c r="Q52" s="437"/>
      <c r="R52" s="437"/>
      <c r="S52" s="437"/>
      <c r="T52" s="432">
        <f t="shared" si="1"/>
        <v>0</v>
      </c>
    </row>
    <row r="53" spans="1:20" ht="22.2" hidden="1" customHeight="1">
      <c r="A53" s="423" t="s">
        <v>635</v>
      </c>
      <c r="B53" s="424" t="s">
        <v>635</v>
      </c>
      <c r="C53" s="425" t="str">
        <f t="shared" si="0"/>
        <v xml:space="preserve"> </v>
      </c>
      <c r="D53" s="426"/>
      <c r="E53" s="427"/>
      <c r="F53" s="428" t="s">
        <v>636</v>
      </c>
      <c r="G53" s="349" t="s">
        <v>344</v>
      </c>
      <c r="H53" s="429">
        <f>SUM(I53:O53)</f>
        <v>0</v>
      </c>
      <c r="I53" s="430"/>
      <c r="J53" s="430"/>
      <c r="K53" s="430">
        <f>IFERROR(HLOOKUP(B53,[1]pp3p1m!$1:$3,3,0),0)</f>
        <v>0</v>
      </c>
      <c r="L53" s="430">
        <f>IFERROR(HLOOKUP(chitiet!B53,[1]pp1p!$1:$3,3,0),0)</f>
        <v>0</v>
      </c>
      <c r="M53" s="430"/>
      <c r="N53" s="430"/>
      <c r="O53" s="430"/>
      <c r="P53" s="430"/>
      <c r="Q53" s="431"/>
      <c r="R53" s="431"/>
      <c r="S53" s="431"/>
      <c r="T53" s="432">
        <f>IFERROR(HLOOKUP(B53,[1]pp1p!$1:$3,3,0),0)+IFERROR(HLOOKUP(B53,[1]pp3p1m!$1:$3,3,0),0)</f>
        <v>0</v>
      </c>
    </row>
    <row r="54" spans="1:20" ht="22.2" hidden="1" customHeight="1">
      <c r="A54" s="379"/>
      <c r="B54" s="410" t="s">
        <v>73</v>
      </c>
      <c r="C54" s="411" t="str">
        <f t="shared" si="0"/>
        <v xml:space="preserve"> </v>
      </c>
      <c r="D54" s="440">
        <v>2</v>
      </c>
      <c r="E54" s="422" t="str">
        <f>VLOOKUP($B54,[1]DG!A:D,[1]DG!$B$2,)</f>
        <v>04.4001</v>
      </c>
      <c r="F54" s="441" t="str">
        <f>VLOOKUP($B54,[1]DG!A:D,[1]DG!$C$2,)</f>
        <v>Đà cản BTCT 1,2m</v>
      </c>
      <c r="G54" s="422" t="str">
        <f>VLOOKUP($B54,[1]DG!A:D,[1]DG!$D$2,)</f>
        <v>cái</v>
      </c>
      <c r="H54" s="435">
        <f t="shared" ref="H54:N55" si="7">H$53*$D54</f>
        <v>0</v>
      </c>
      <c r="I54" s="435">
        <f t="shared" si="7"/>
        <v>0</v>
      </c>
      <c r="J54" s="435">
        <f t="shared" si="7"/>
        <v>0</v>
      </c>
      <c r="K54" s="435">
        <f t="shared" si="7"/>
        <v>0</v>
      </c>
      <c r="L54" s="435">
        <f t="shared" si="7"/>
        <v>0</v>
      </c>
      <c r="M54" s="435">
        <f t="shared" si="7"/>
        <v>0</v>
      </c>
      <c r="N54" s="435">
        <f t="shared" si="7"/>
        <v>0</v>
      </c>
      <c r="O54" s="435"/>
      <c r="P54" s="435"/>
      <c r="Q54" s="442"/>
      <c r="R54" s="442"/>
      <c r="S54" s="442"/>
      <c r="T54" s="432">
        <f t="shared" si="1"/>
        <v>0</v>
      </c>
    </row>
    <row r="55" spans="1:20" ht="22.2" hidden="1" customHeight="1">
      <c r="A55" s="379"/>
      <c r="B55" s="410" t="s">
        <v>637</v>
      </c>
      <c r="C55" s="411" t="str">
        <f t="shared" si="0"/>
        <v xml:space="preserve"> </v>
      </c>
      <c r="D55" s="440">
        <v>2</v>
      </c>
      <c r="E55" s="422"/>
      <c r="F55" s="441" t="str">
        <f>VLOOKUP($B55,[1]DG!A:D,[1]DG!$C$2,)</f>
        <v>Boulon 22x750+ 2 long đền vuông D24-50x50x3/Zn</v>
      </c>
      <c r="G55" s="422" t="str">
        <f>VLOOKUP($B55,[1]DG!A:D,[1]DG!$D$2,)</f>
        <v>bộ</v>
      </c>
      <c r="H55" s="435">
        <f t="shared" si="7"/>
        <v>0</v>
      </c>
      <c r="I55" s="435">
        <f t="shared" si="7"/>
        <v>0</v>
      </c>
      <c r="J55" s="435">
        <f t="shared" si="7"/>
        <v>0</v>
      </c>
      <c r="K55" s="435">
        <f t="shared" si="7"/>
        <v>0</v>
      </c>
      <c r="L55" s="435">
        <f t="shared" si="7"/>
        <v>0</v>
      </c>
      <c r="M55" s="435">
        <f t="shared" si="7"/>
        <v>0</v>
      </c>
      <c r="N55" s="435">
        <f t="shared" si="7"/>
        <v>0</v>
      </c>
      <c r="O55" s="435"/>
      <c r="P55" s="435"/>
      <c r="Q55" s="442"/>
      <c r="R55" s="442"/>
      <c r="S55" s="442"/>
      <c r="T55" s="432">
        <f t="shared" si="1"/>
        <v>0</v>
      </c>
    </row>
    <row r="56" spans="1:20" ht="22.2" hidden="1" customHeight="1">
      <c r="A56" s="379"/>
      <c r="B56" s="410" t="s">
        <v>630</v>
      </c>
      <c r="C56" s="411" t="str">
        <f t="shared" si="0"/>
        <v xml:space="preserve"> </v>
      </c>
      <c r="D56" s="433">
        <v>0.155</v>
      </c>
      <c r="E56" s="422">
        <f>VLOOKUP($B56,[1]DG!A:D,[1]DG!$B$2,)</f>
        <v>0</v>
      </c>
      <c r="F56" s="434" t="str">
        <f>VLOOKUP($B56,[1]DG!A:D,[1]DG!$C$2,)</f>
        <v>Đá 2x4</v>
      </c>
      <c r="G56" s="422" t="str">
        <f>VLOOKUP($B56,[1]DG!A:D,[1]DG!$D$2,)</f>
        <v>m3</v>
      </c>
      <c r="H56" s="435">
        <f t="shared" ref="H56:N56" si="8">H$18*$D56</f>
        <v>0</v>
      </c>
      <c r="I56" s="435">
        <f t="shared" si="8"/>
        <v>0</v>
      </c>
      <c r="J56" s="435">
        <f t="shared" si="8"/>
        <v>0</v>
      </c>
      <c r="K56" s="435">
        <f t="shared" si="8"/>
        <v>0</v>
      </c>
      <c r="L56" s="435">
        <f t="shared" si="8"/>
        <v>0</v>
      </c>
      <c r="M56" s="435">
        <f t="shared" si="8"/>
        <v>0</v>
      </c>
      <c r="N56" s="435">
        <f t="shared" si="8"/>
        <v>0</v>
      </c>
      <c r="O56" s="435"/>
      <c r="P56" s="435"/>
      <c r="Q56" s="442"/>
      <c r="R56" s="442"/>
      <c r="S56" s="442"/>
      <c r="T56" s="432">
        <f t="shared" si="1"/>
        <v>0</v>
      </c>
    </row>
    <row r="57" spans="1:20" ht="22.2" hidden="1" customHeight="1">
      <c r="A57" s="379"/>
      <c r="B57" s="410" t="s">
        <v>75</v>
      </c>
      <c r="C57" s="411" t="str">
        <f t="shared" si="0"/>
        <v xml:space="preserve"> </v>
      </c>
      <c r="D57" s="439">
        <v>1.9</v>
      </c>
      <c r="E57" s="422" t="str">
        <f>VLOOKUP($B57,[1]DG!A:D,[1]DG!$B$2,)</f>
        <v>03.1013</v>
      </c>
      <c r="F57" s="434" t="str">
        <f>VLOOKUP($B57,[1]DG!A:D,[1]DG!$C$2,)</f>
        <v>Đào hố móng đất cấp 3 sâu &gt;1m</v>
      </c>
      <c r="G57" s="422" t="str">
        <f>VLOOKUP($B57,[1]DG!A:D,[1]DG!$D$2,)</f>
        <v>m3</v>
      </c>
      <c r="H57" s="435"/>
      <c r="I57" s="435"/>
      <c r="J57" s="435"/>
      <c r="K57" s="435"/>
      <c r="L57" s="435"/>
      <c r="M57" s="435"/>
      <c r="N57" s="435"/>
      <c r="O57" s="435"/>
      <c r="P57" s="435"/>
      <c r="Q57" s="437"/>
      <c r="R57" s="437"/>
      <c r="S57" s="437"/>
      <c r="T57" s="432">
        <f t="shared" si="1"/>
        <v>0</v>
      </c>
    </row>
    <row r="58" spans="1:20" ht="22.2" hidden="1" customHeight="1">
      <c r="A58" s="379"/>
      <c r="B58" s="410" t="s">
        <v>76</v>
      </c>
      <c r="C58" s="411" t="str">
        <f t="shared" si="0"/>
        <v xml:space="preserve"> </v>
      </c>
      <c r="D58" s="439">
        <v>2.4</v>
      </c>
      <c r="E58" s="422" t="str">
        <f>VLOOKUP($B58,[1]DG!A:D,[1]DG!$B$2,)</f>
        <v>03.4113</v>
      </c>
      <c r="F58" s="434" t="str">
        <f>VLOOKUP($B58,[1]DG!A:D,[1]DG!$C$2,)</f>
        <v>Đắp đất hố móng, độ chặt k=0,95</v>
      </c>
      <c r="G58" s="422" t="str">
        <f>VLOOKUP($B58,[1]DG!A:D,[1]DG!$D$2,)</f>
        <v>m3</v>
      </c>
      <c r="H58" s="435"/>
      <c r="I58" s="435"/>
      <c r="J58" s="435"/>
      <c r="K58" s="435"/>
      <c r="L58" s="435"/>
      <c r="M58" s="435"/>
      <c r="N58" s="435"/>
      <c r="O58" s="435"/>
      <c r="P58" s="435"/>
      <c r="Q58" s="437"/>
      <c r="R58" s="437"/>
      <c r="S58" s="437"/>
      <c r="T58" s="432">
        <f t="shared" si="1"/>
        <v>0</v>
      </c>
    </row>
    <row r="59" spans="1:20" ht="22.2" hidden="1" customHeight="1">
      <c r="A59" s="379"/>
      <c r="B59" s="410" t="s">
        <v>624</v>
      </c>
      <c r="C59" s="411" t="str">
        <f t="shared" si="0"/>
        <v xml:space="preserve"> </v>
      </c>
      <c r="D59" s="439">
        <f>0.1*D54</f>
        <v>0.2</v>
      </c>
      <c r="E59" s="422" t="str">
        <f>VLOOKUP($B59,[1]DG!A:D,[1]DG!$B$2,)</f>
        <v>02.1123</v>
      </c>
      <c r="F59" s="434" t="str">
        <f>VLOOKUP($B59,[1]DG!A:D,[1]DG!$C$2,)</f>
        <v>Bốc dỡ đà cản, đế néo</v>
      </c>
      <c r="G59" s="422" t="str">
        <f>VLOOKUP($B59,[1]DG!A:D,[1]DG!$D$2,)</f>
        <v>tấn</v>
      </c>
      <c r="H59" s="435"/>
      <c r="I59" s="435"/>
      <c r="J59" s="435"/>
      <c r="K59" s="435"/>
      <c r="L59" s="435"/>
      <c r="M59" s="435"/>
      <c r="N59" s="435"/>
      <c r="O59" s="435"/>
      <c r="P59" s="435"/>
      <c r="Q59" s="442"/>
      <c r="R59" s="442"/>
      <c r="S59" s="442"/>
      <c r="T59" s="432">
        <f t="shared" si="1"/>
        <v>0</v>
      </c>
    </row>
    <row r="60" spans="1:20" ht="22.2" hidden="1" customHeight="1">
      <c r="A60" s="379"/>
      <c r="B60" s="438" t="s">
        <v>625</v>
      </c>
      <c r="C60" s="411" t="str">
        <f t="shared" si="0"/>
        <v xml:space="preserve"> </v>
      </c>
      <c r="D60" s="439">
        <f>D59</f>
        <v>0.2</v>
      </c>
      <c r="E60" s="422" t="str">
        <f>VLOOKUP($B60,[1]DG!A:C,2,)</f>
        <v>02.1451</v>
      </c>
      <c r="F60" s="434" t="str">
        <f>VLOOKUP($B60,[1]DG!A:C,3,)</f>
        <v>V/c đà cản vào vị trí (cự ly &lt;=100m)</v>
      </c>
      <c r="G60" s="422" t="str">
        <f>VLOOKUP($B60,[1]DG!A:D,4,0)</f>
        <v>tấn</v>
      </c>
      <c r="H60" s="435"/>
      <c r="I60" s="435"/>
      <c r="J60" s="435"/>
      <c r="K60" s="435"/>
      <c r="L60" s="435"/>
      <c r="M60" s="435"/>
      <c r="N60" s="435"/>
      <c r="O60" s="435"/>
      <c r="P60" s="435"/>
      <c r="Q60" s="437"/>
      <c r="R60" s="437"/>
      <c r="S60" s="437"/>
      <c r="T60" s="432">
        <f t="shared" si="1"/>
        <v>0</v>
      </c>
    </row>
    <row r="61" spans="1:20" ht="22.2" hidden="1" customHeight="1">
      <c r="A61" s="379"/>
      <c r="B61" s="438" t="s">
        <v>626</v>
      </c>
      <c r="C61" s="411" t="str">
        <f t="shared" si="0"/>
        <v xml:space="preserve"> </v>
      </c>
      <c r="D61" s="433">
        <f>D56</f>
        <v>0.155</v>
      </c>
      <c r="E61" s="422" t="str">
        <f>VLOOKUP($B61,[1]DG!A:C,2,)</f>
        <v>02.1241</v>
      </c>
      <c r="F61" s="434" t="str">
        <f>VLOOKUP($B61,[1]DG!A:C,3,)</f>
        <v>V/c đá dăm ( cự ly &lt;=100m)</v>
      </c>
      <c r="G61" s="422" t="str">
        <f>VLOOKUP($B61,[1]DG!A:D,4,0)</f>
        <v>m3</v>
      </c>
      <c r="H61" s="435"/>
      <c r="I61" s="435"/>
      <c r="J61" s="435"/>
      <c r="K61" s="435"/>
      <c r="L61" s="435"/>
      <c r="M61" s="435"/>
      <c r="N61" s="435"/>
      <c r="O61" s="435"/>
      <c r="P61" s="435"/>
      <c r="Q61" s="437"/>
      <c r="R61" s="437"/>
      <c r="S61" s="437"/>
      <c r="T61" s="432">
        <f t="shared" si="1"/>
        <v>0</v>
      </c>
    </row>
    <row r="62" spans="1:20" ht="22.2" hidden="1" customHeight="1">
      <c r="A62" s="379"/>
      <c r="B62" s="438" t="s">
        <v>620</v>
      </c>
      <c r="C62" s="411" t="str">
        <f t="shared" si="0"/>
        <v xml:space="preserve"> </v>
      </c>
      <c r="D62" s="439">
        <v>0.2</v>
      </c>
      <c r="E62" s="422" t="str">
        <f>VLOOKUP($B62,[1]DG!A:C,2,)</f>
        <v>02.1482</v>
      </c>
      <c r="F62" s="434" t="str">
        <f>VLOOKUP($B62,[1]DG!A:C,3,)</f>
        <v>V/c dụng cụ thi công vào vị trí (cự ly &lt;=100m)</v>
      </c>
      <c r="G62" s="422" t="str">
        <f>VLOOKUP($B62,[1]DG!A:D,4,0)</f>
        <v>tấn</v>
      </c>
      <c r="H62" s="435"/>
      <c r="I62" s="435"/>
      <c r="J62" s="435"/>
      <c r="K62" s="435"/>
      <c r="L62" s="435"/>
      <c r="M62" s="435"/>
      <c r="N62" s="435"/>
      <c r="O62" s="435"/>
      <c r="P62" s="435"/>
      <c r="Q62" s="437"/>
      <c r="R62" s="437"/>
      <c r="S62" s="437"/>
      <c r="T62" s="432">
        <f t="shared" si="1"/>
        <v>0</v>
      </c>
    </row>
    <row r="63" spans="1:20" ht="22.2" hidden="1" customHeight="1">
      <c r="A63" s="423" t="s">
        <v>638</v>
      </c>
      <c r="B63" s="424" t="s">
        <v>638</v>
      </c>
      <c r="C63" s="425" t="str">
        <f t="shared" si="0"/>
        <v xml:space="preserve"> </v>
      </c>
      <c r="D63" s="426"/>
      <c r="E63" s="427"/>
      <c r="F63" s="428" t="s">
        <v>639</v>
      </c>
      <c r="G63" s="349" t="s">
        <v>344</v>
      </c>
      <c r="H63" s="429">
        <f>SUM(I63:O63)</f>
        <v>0</v>
      </c>
      <c r="I63" s="430"/>
      <c r="J63" s="430"/>
      <c r="K63" s="430">
        <f>IFERROR(HLOOKUP(B63,[1]pp3p1m!$1:$3,3,0),0)</f>
        <v>0</v>
      </c>
      <c r="L63" s="430">
        <f>IFERROR(HLOOKUP(chitiet!B63,[1]pp1p!$1:$3,3,0),0)</f>
        <v>0</v>
      </c>
      <c r="M63" s="430"/>
      <c r="N63" s="430"/>
      <c r="O63" s="430"/>
      <c r="P63" s="430">
        <f>H63+Q63-R63</f>
        <v>0</v>
      </c>
      <c r="Q63" s="431"/>
      <c r="R63" s="431"/>
      <c r="S63" s="431"/>
      <c r="T63" s="432">
        <f>IFERROR(HLOOKUP(B63,[1]pp1p!$1:$3,3,0),0)+IFERROR(HLOOKUP(B63,[1]pp3p1m!$1:$3,3,0),0)</f>
        <v>0</v>
      </c>
    </row>
    <row r="64" spans="1:20" ht="22.2" hidden="1" customHeight="1">
      <c r="A64" s="379"/>
      <c r="B64" s="410" t="s">
        <v>75</v>
      </c>
      <c r="C64" s="411" t="str">
        <f t="shared" si="0"/>
        <v xml:space="preserve"> </v>
      </c>
      <c r="D64" s="443">
        <v>0.13500000000000001</v>
      </c>
      <c r="E64" s="422" t="str">
        <f>VLOOKUP($B64,[1]DG!A:D,[1]DG!$B$2,)</f>
        <v>03.1013</v>
      </c>
      <c r="F64" s="434" t="str">
        <f>VLOOKUP($B64,[1]DG!A:D,[1]DG!$C$2,)</f>
        <v>Đào hố móng đất cấp 3 sâu &gt;1m</v>
      </c>
      <c r="G64" s="422" t="str">
        <f>VLOOKUP($B64,[1]DG!A:D,[1]DG!$D$2,)</f>
        <v>m3</v>
      </c>
      <c r="H64" s="436">
        <f>$H$63*D64</f>
        <v>0</v>
      </c>
      <c r="I64" s="436"/>
      <c r="J64" s="436"/>
      <c r="K64" s="436"/>
      <c r="L64" s="436"/>
      <c r="M64" s="436"/>
      <c r="N64" s="436"/>
      <c r="O64" s="436"/>
      <c r="P64" s="436">
        <f>$P$63*D64</f>
        <v>0</v>
      </c>
      <c r="Q64" s="444"/>
      <c r="R64" s="444"/>
      <c r="S64" s="444"/>
      <c r="T64" s="432">
        <f t="shared" si="1"/>
        <v>0</v>
      </c>
    </row>
    <row r="65" spans="1:20" ht="22.2" hidden="1" customHeight="1">
      <c r="A65" s="379"/>
      <c r="B65" s="410" t="s">
        <v>76</v>
      </c>
      <c r="C65" s="411" t="str">
        <f t="shared" si="0"/>
        <v xml:space="preserve"> </v>
      </c>
      <c r="D65" s="443">
        <f>D64</f>
        <v>0.13500000000000001</v>
      </c>
      <c r="E65" s="422" t="str">
        <f>VLOOKUP($B65,[1]DG!A:D,[1]DG!$B$2,)</f>
        <v>03.4113</v>
      </c>
      <c r="F65" s="434" t="str">
        <f>VLOOKUP($B65,[1]DG!A:D,[1]DG!$C$2,)</f>
        <v>Đắp đất hố móng, độ chặt k=0,95</v>
      </c>
      <c r="G65" s="422" t="str">
        <f>VLOOKUP($B65,[1]DG!A:D,[1]DG!$D$2,)</f>
        <v>m3</v>
      </c>
      <c r="H65" s="436">
        <f>$H$63*D65</f>
        <v>0</v>
      </c>
      <c r="I65" s="436"/>
      <c r="J65" s="436"/>
      <c r="K65" s="436"/>
      <c r="L65" s="436"/>
      <c r="M65" s="436"/>
      <c r="N65" s="436"/>
      <c r="O65" s="436"/>
      <c r="P65" s="436">
        <f>$P$63*D65</f>
        <v>0</v>
      </c>
      <c r="Q65" s="444"/>
      <c r="R65" s="444"/>
      <c r="S65" s="444"/>
      <c r="T65" s="432">
        <f t="shared" si="1"/>
        <v>0</v>
      </c>
    </row>
    <row r="66" spans="1:20" ht="22.2" hidden="1" customHeight="1">
      <c r="A66" s="379"/>
      <c r="B66" s="438" t="s">
        <v>620</v>
      </c>
      <c r="C66" s="411" t="str">
        <f t="shared" si="0"/>
        <v xml:space="preserve"> </v>
      </c>
      <c r="D66" s="445"/>
      <c r="E66" s="422" t="str">
        <f>VLOOKUP($B66,[1]DG!A:C,2,)</f>
        <v>02.1482</v>
      </c>
      <c r="F66" s="434" t="str">
        <f>VLOOKUP($B66,[1]DG!A:C,3,)</f>
        <v>V/c dụng cụ thi công vào vị trí (cự ly &lt;=100m)</v>
      </c>
      <c r="G66" s="422" t="str">
        <f>VLOOKUP($B66,[1]DG!A:D,4,0)</f>
        <v>tấn</v>
      </c>
      <c r="H66" s="436"/>
      <c r="I66" s="436"/>
      <c r="J66" s="436"/>
      <c r="K66" s="436"/>
      <c r="L66" s="436"/>
      <c r="M66" s="436"/>
      <c r="N66" s="436"/>
      <c r="O66" s="436"/>
      <c r="P66" s="436"/>
      <c r="Q66" s="444"/>
      <c r="R66" s="444"/>
      <c r="S66" s="444"/>
      <c r="T66" s="432">
        <f t="shared" si="1"/>
        <v>0</v>
      </c>
    </row>
    <row r="67" spans="1:20" ht="22.2" hidden="1" customHeight="1">
      <c r="A67" s="423" t="s">
        <v>640</v>
      </c>
      <c r="B67" s="424" t="s">
        <v>640</v>
      </c>
      <c r="C67" s="425" t="str">
        <f t="shared" si="0"/>
        <v xml:space="preserve"> </v>
      </c>
      <c r="D67" s="426"/>
      <c r="E67" s="427"/>
      <c r="F67" s="428" t="s">
        <v>565</v>
      </c>
      <c r="G67" s="349" t="s">
        <v>344</v>
      </c>
      <c r="H67" s="429">
        <f>SUM(I67:O67)</f>
        <v>0</v>
      </c>
      <c r="I67" s="430"/>
      <c r="J67" s="430"/>
      <c r="K67" s="430">
        <f>IFERROR(HLOOKUP(B67,[1]pp3p1m!$1:$3,3,0),0)</f>
        <v>0</v>
      </c>
      <c r="L67" s="430">
        <f>IFERROR(HLOOKUP(chitiet!B67,[1]pp1p!$1:$3,3,0),0)</f>
        <v>0</v>
      </c>
      <c r="M67" s="430"/>
      <c r="N67" s="430"/>
      <c r="O67" s="430"/>
      <c r="P67" s="430"/>
      <c r="Q67" s="431"/>
      <c r="R67" s="431"/>
      <c r="S67" s="431"/>
      <c r="T67" s="432">
        <f>IFERROR(HLOOKUP(B67,[1]pp1p!$1:$3,3,0),0)+IFERROR(HLOOKUP(B67,[1]pp3p1m!$1:$3,3,0),0)</f>
        <v>0</v>
      </c>
    </row>
    <row r="68" spans="1:20" ht="22.2" hidden="1" customHeight="1">
      <c r="A68" s="379"/>
      <c r="B68" s="410" t="s">
        <v>73</v>
      </c>
      <c r="C68" s="411" t="str">
        <f t="shared" si="0"/>
        <v xml:space="preserve"> </v>
      </c>
      <c r="D68" s="446">
        <v>1</v>
      </c>
      <c r="E68" s="422" t="str">
        <f>VLOOKUP($B68,[1]DG!A:D,[1]DG!$B$2,)</f>
        <v>04.4001</v>
      </c>
      <c r="F68" s="441" t="str">
        <f>VLOOKUP($B68,[1]DG!A:D,[1]DG!$C$2,)</f>
        <v>Đà cản BTCT 1,2m</v>
      </c>
      <c r="G68" s="422" t="str">
        <f>VLOOKUP($B68,[1]DG!A:D,[1]DG!$D$2,)</f>
        <v>cái</v>
      </c>
      <c r="H68" s="436"/>
      <c r="I68" s="436">
        <f t="shared" ref="I68:L69" si="9">I$63*$D68</f>
        <v>0</v>
      </c>
      <c r="J68" s="436">
        <f t="shared" si="9"/>
        <v>0</v>
      </c>
      <c r="K68" s="436">
        <f t="shared" si="9"/>
        <v>0</v>
      </c>
      <c r="L68" s="436">
        <f t="shared" si="9"/>
        <v>0</v>
      </c>
      <c r="M68" s="436">
        <f t="shared" ref="M68:O69" si="10">M$67*$D68</f>
        <v>0</v>
      </c>
      <c r="N68" s="436">
        <f t="shared" si="10"/>
        <v>0</v>
      </c>
      <c r="O68" s="436">
        <f t="shared" si="10"/>
        <v>0</v>
      </c>
      <c r="P68" s="436"/>
      <c r="Q68" s="447"/>
      <c r="R68" s="447"/>
      <c r="S68" s="447"/>
      <c r="T68" s="432">
        <f t="shared" si="1"/>
        <v>0</v>
      </c>
    </row>
    <row r="69" spans="1:20" ht="22.2" hidden="1" customHeight="1">
      <c r="A69" s="379"/>
      <c r="B69" s="410" t="s">
        <v>623</v>
      </c>
      <c r="C69" s="411" t="str">
        <f t="shared" si="0"/>
        <v xml:space="preserve"> </v>
      </c>
      <c r="D69" s="446">
        <v>1</v>
      </c>
      <c r="E69" s="422"/>
      <c r="F69" s="441" t="str">
        <f>VLOOKUP($B69,[1]DG!A:D,[1]DG!$C$2,)</f>
        <v>Boulon 22x550/100+ 2 long đền vuông D24-50x50x3/Zn</v>
      </c>
      <c r="G69" s="422" t="str">
        <f>VLOOKUP($B69,[1]DG!A:D,[1]DG!$D$2,)</f>
        <v>bộ</v>
      </c>
      <c r="H69" s="436"/>
      <c r="I69" s="436">
        <f t="shared" si="9"/>
        <v>0</v>
      </c>
      <c r="J69" s="436">
        <f t="shared" si="9"/>
        <v>0</v>
      </c>
      <c r="K69" s="436">
        <f t="shared" si="9"/>
        <v>0</v>
      </c>
      <c r="L69" s="436">
        <f t="shared" si="9"/>
        <v>0</v>
      </c>
      <c r="M69" s="436">
        <f t="shared" si="10"/>
        <v>0</v>
      </c>
      <c r="N69" s="436">
        <f t="shared" si="10"/>
        <v>0</v>
      </c>
      <c r="O69" s="436">
        <f t="shared" si="10"/>
        <v>0</v>
      </c>
      <c r="P69" s="436"/>
      <c r="Q69" s="447"/>
      <c r="R69" s="447"/>
      <c r="S69" s="447"/>
      <c r="T69" s="432">
        <f t="shared" si="1"/>
        <v>0</v>
      </c>
    </row>
    <row r="70" spans="1:20" ht="22.2" hidden="1" customHeight="1">
      <c r="A70" s="379"/>
      <c r="B70" s="410" t="s">
        <v>75</v>
      </c>
      <c r="C70" s="411" t="str">
        <f t="shared" si="0"/>
        <v xml:space="preserve"> </v>
      </c>
      <c r="D70" s="445">
        <v>0.73</v>
      </c>
      <c r="E70" s="422" t="str">
        <f>VLOOKUP($B70,[1]DG!A:D,[1]DG!$B$2,)</f>
        <v>03.1013</v>
      </c>
      <c r="F70" s="434" t="str">
        <f>VLOOKUP($B70,[1]DG!A:D,[1]DG!$C$2,)</f>
        <v>Đào hố móng đất cấp 3 sâu &gt;1m</v>
      </c>
      <c r="G70" s="422" t="str">
        <f>VLOOKUP($B70,[1]DG!A:D,[1]DG!$D$2,)</f>
        <v>m3</v>
      </c>
      <c r="H70" s="436"/>
      <c r="I70" s="436"/>
      <c r="J70" s="436"/>
      <c r="K70" s="436"/>
      <c r="L70" s="436"/>
      <c r="M70" s="436"/>
      <c r="N70" s="436"/>
      <c r="O70" s="436"/>
      <c r="P70" s="436"/>
      <c r="Q70" s="444"/>
      <c r="R70" s="444"/>
      <c r="S70" s="444"/>
      <c r="T70" s="432">
        <f t="shared" si="1"/>
        <v>0</v>
      </c>
    </row>
    <row r="71" spans="1:20" ht="22.2" hidden="1" customHeight="1">
      <c r="A71" s="379"/>
      <c r="B71" s="410" t="s">
        <v>76</v>
      </c>
      <c r="C71" s="411" t="str">
        <f t="shared" si="0"/>
        <v xml:space="preserve"> </v>
      </c>
      <c r="D71" s="445">
        <f>+D70</f>
        <v>0.73</v>
      </c>
      <c r="E71" s="422" t="str">
        <f>VLOOKUP($B71,[1]DG!A:D,[1]DG!$B$2,)</f>
        <v>03.4113</v>
      </c>
      <c r="F71" s="434" t="str">
        <f>VLOOKUP($B71,[1]DG!A:D,[1]DG!$C$2,)</f>
        <v>Đắp đất hố móng, độ chặt k=0,95</v>
      </c>
      <c r="G71" s="422" t="str">
        <f>VLOOKUP($B71,[1]DG!A:D,[1]DG!$D$2,)</f>
        <v>m3</v>
      </c>
      <c r="H71" s="436"/>
      <c r="I71" s="436"/>
      <c r="J71" s="436"/>
      <c r="K71" s="436"/>
      <c r="L71" s="436"/>
      <c r="M71" s="436"/>
      <c r="N71" s="436"/>
      <c r="O71" s="436"/>
      <c r="P71" s="436"/>
      <c r="Q71" s="444"/>
      <c r="R71" s="444"/>
      <c r="S71" s="444"/>
      <c r="T71" s="432">
        <f t="shared" si="1"/>
        <v>0</v>
      </c>
    </row>
    <row r="72" spans="1:20" ht="22.2" hidden="1" customHeight="1">
      <c r="A72" s="379"/>
      <c r="B72" s="410" t="s">
        <v>624</v>
      </c>
      <c r="C72" s="411" t="str">
        <f t="shared" si="0"/>
        <v xml:space="preserve"> </v>
      </c>
      <c r="D72" s="445"/>
      <c r="E72" s="422" t="str">
        <f>VLOOKUP($B72,[1]DG!A:D,[1]DG!$B$2,)</f>
        <v>02.1123</v>
      </c>
      <c r="F72" s="434" t="str">
        <f>VLOOKUP($B72,[1]DG!A:D,[1]DG!$C$2,)</f>
        <v>Bốc dỡ đà cản, đế néo</v>
      </c>
      <c r="G72" s="422" t="str">
        <f>VLOOKUP($B72,[1]DG!A:D,[1]DG!$D$2,)</f>
        <v>tấn</v>
      </c>
      <c r="H72" s="436"/>
      <c r="I72" s="436"/>
      <c r="J72" s="436"/>
      <c r="K72" s="436"/>
      <c r="L72" s="436"/>
      <c r="M72" s="436"/>
      <c r="N72" s="436"/>
      <c r="O72" s="436"/>
      <c r="P72" s="436"/>
      <c r="Q72" s="447"/>
      <c r="R72" s="447"/>
      <c r="S72" s="447"/>
      <c r="T72" s="432">
        <f t="shared" si="1"/>
        <v>0</v>
      </c>
    </row>
    <row r="73" spans="1:20" ht="22.2" hidden="1" customHeight="1">
      <c r="A73" s="379"/>
      <c r="B73" s="438" t="s">
        <v>625</v>
      </c>
      <c r="C73" s="411" t="str">
        <f t="shared" si="0"/>
        <v xml:space="preserve"> </v>
      </c>
      <c r="D73" s="445"/>
      <c r="E73" s="422" t="str">
        <f>VLOOKUP($B73,[1]DG!A:C,2,)</f>
        <v>02.1451</v>
      </c>
      <c r="F73" s="434" t="str">
        <f>VLOOKUP($B73,[1]DG!A:C,3,)</f>
        <v>V/c đà cản vào vị trí (cự ly &lt;=100m)</v>
      </c>
      <c r="G73" s="422" t="str">
        <f>VLOOKUP($B73,[1]DG!A:D,4,0)</f>
        <v>tấn</v>
      </c>
      <c r="H73" s="436"/>
      <c r="I73" s="436"/>
      <c r="J73" s="436"/>
      <c r="K73" s="436"/>
      <c r="L73" s="436"/>
      <c r="M73" s="436"/>
      <c r="N73" s="436"/>
      <c r="O73" s="436"/>
      <c r="P73" s="436"/>
      <c r="Q73" s="444"/>
      <c r="R73" s="444"/>
      <c r="S73" s="444"/>
      <c r="T73" s="432">
        <f t="shared" si="1"/>
        <v>0</v>
      </c>
    </row>
    <row r="74" spans="1:20" ht="22.2" hidden="1" customHeight="1">
      <c r="A74" s="379"/>
      <c r="B74" s="438" t="s">
        <v>620</v>
      </c>
      <c r="C74" s="411" t="str">
        <f t="shared" si="0"/>
        <v xml:space="preserve"> </v>
      </c>
      <c r="D74" s="445"/>
      <c r="E74" s="422" t="str">
        <f>VLOOKUP($B74,[1]DG!A:C,2,)</f>
        <v>02.1482</v>
      </c>
      <c r="F74" s="434" t="str">
        <f>VLOOKUP($B74,[1]DG!A:C,3,)</f>
        <v>V/c dụng cụ thi công vào vị trí (cự ly &lt;=100m)</v>
      </c>
      <c r="G74" s="422" t="str">
        <f>VLOOKUP($B74,[1]DG!A:D,4,0)</f>
        <v>tấn</v>
      </c>
      <c r="H74" s="436"/>
      <c r="I74" s="436"/>
      <c r="J74" s="436"/>
      <c r="K74" s="436"/>
      <c r="L74" s="436"/>
      <c r="M74" s="436"/>
      <c r="N74" s="436"/>
      <c r="O74" s="436"/>
      <c r="P74" s="436"/>
      <c r="Q74" s="444"/>
      <c r="R74" s="444"/>
      <c r="S74" s="444"/>
      <c r="T74" s="432">
        <f t="shared" si="1"/>
        <v>0</v>
      </c>
    </row>
    <row r="75" spans="1:20" ht="22.2" hidden="1" customHeight="1">
      <c r="A75" s="423" t="s">
        <v>641</v>
      </c>
      <c r="B75" s="424" t="s">
        <v>641</v>
      </c>
      <c r="C75" s="425" t="str">
        <f t="shared" si="0"/>
        <v xml:space="preserve"> </v>
      </c>
      <c r="D75" s="426"/>
      <c r="E75" s="427"/>
      <c r="F75" s="428" t="s">
        <v>642</v>
      </c>
      <c r="G75" s="349" t="s">
        <v>344</v>
      </c>
      <c r="H75" s="429">
        <f>SUM(I75:O75)</f>
        <v>0</v>
      </c>
      <c r="I75" s="430"/>
      <c r="J75" s="430"/>
      <c r="K75" s="430">
        <f>IFERROR(HLOOKUP(B75,[1]pp3p1m!$1:$3,3,0),0)</f>
        <v>0</v>
      </c>
      <c r="L75" s="430">
        <f>IFERROR(HLOOKUP(chitiet!B75,[1]pp1p!$1:$3,3,0),0)</f>
        <v>0</v>
      </c>
      <c r="M75" s="430"/>
      <c r="N75" s="430"/>
      <c r="O75" s="430"/>
      <c r="P75" s="430"/>
      <c r="Q75" s="431"/>
      <c r="R75" s="431"/>
      <c r="S75" s="431"/>
      <c r="T75" s="432">
        <f>IFERROR(HLOOKUP(B75,[1]pp1p!$1:$3,3,0),0)+IFERROR(HLOOKUP(B75,[1]pp3p1m!$1:$3,3,0),0)</f>
        <v>0</v>
      </c>
    </row>
    <row r="76" spans="1:20" ht="22.2" hidden="1" customHeight="1">
      <c r="A76" s="379"/>
      <c r="B76" s="438" t="s">
        <v>643</v>
      </c>
      <c r="C76" s="411" t="str">
        <f t="shared" si="0"/>
        <v xml:space="preserve"> </v>
      </c>
      <c r="D76" s="448">
        <v>116</v>
      </c>
      <c r="E76" s="422">
        <f>VLOOKUP($B76,[1]DG!A:D,[1]DG!$B$2,)</f>
        <v>0</v>
      </c>
      <c r="F76" s="434" t="str">
        <f>VLOOKUP($B76,[1]DG!A:D,[1]DG!$C$2,)</f>
        <v>Ximăng (PC40)</v>
      </c>
      <c r="G76" s="422" t="str">
        <f>VLOOKUP($B76,[1]DG!A:D,[1]DG!$D$2,)</f>
        <v>kg</v>
      </c>
      <c r="H76" s="436">
        <f t="shared" ref="H76:O80" si="11">H$75*$D76</f>
        <v>0</v>
      </c>
      <c r="I76" s="436">
        <f t="shared" si="11"/>
        <v>0</v>
      </c>
      <c r="J76" s="436">
        <f t="shared" si="11"/>
        <v>0</v>
      </c>
      <c r="K76" s="436">
        <f t="shared" si="11"/>
        <v>0</v>
      </c>
      <c r="L76" s="436">
        <f t="shared" si="11"/>
        <v>0</v>
      </c>
      <c r="M76" s="436">
        <f t="shared" si="11"/>
        <v>0</v>
      </c>
      <c r="N76" s="436">
        <f t="shared" si="11"/>
        <v>0</v>
      </c>
      <c r="O76" s="436">
        <f t="shared" si="11"/>
        <v>0</v>
      </c>
      <c r="P76" s="436"/>
      <c r="Q76" s="447"/>
      <c r="R76" s="447"/>
      <c r="S76" s="447"/>
      <c r="T76" s="432">
        <f t="shared" si="1"/>
        <v>0</v>
      </c>
    </row>
    <row r="77" spans="1:20" ht="22.2" hidden="1" customHeight="1">
      <c r="A77" s="379"/>
      <c r="B77" s="449" t="s">
        <v>389</v>
      </c>
      <c r="C77" s="411" t="str">
        <f t="shared" si="0"/>
        <v xml:space="preserve"> </v>
      </c>
      <c r="D77" s="443">
        <v>0.186</v>
      </c>
      <c r="E77" s="422">
        <f>VLOOKUP($B77,[1]DG!A:D,[1]DG!$B$2,)</f>
        <v>0</v>
      </c>
      <c r="F77" s="434" t="str">
        <f>VLOOKUP($B77,[1]DG!A:D,[1]DG!$C$2,)</f>
        <v>Cát vàng</v>
      </c>
      <c r="G77" s="422" t="str">
        <f>VLOOKUP($B77,[1]DG!A:D,[1]DG!$D$2,)</f>
        <v>m3</v>
      </c>
      <c r="H77" s="436">
        <f t="shared" si="11"/>
        <v>0</v>
      </c>
      <c r="I77" s="436">
        <f t="shared" si="11"/>
        <v>0</v>
      </c>
      <c r="J77" s="436">
        <f t="shared" si="11"/>
        <v>0</v>
      </c>
      <c r="K77" s="436">
        <f t="shared" si="11"/>
        <v>0</v>
      </c>
      <c r="L77" s="436">
        <f t="shared" si="11"/>
        <v>0</v>
      </c>
      <c r="M77" s="436">
        <f t="shared" si="11"/>
        <v>0</v>
      </c>
      <c r="N77" s="436">
        <f t="shared" si="11"/>
        <v>0</v>
      </c>
      <c r="O77" s="436">
        <f t="shared" si="11"/>
        <v>0</v>
      </c>
      <c r="P77" s="436"/>
      <c r="Q77" s="447"/>
      <c r="R77" s="447"/>
      <c r="S77" s="447"/>
      <c r="T77" s="432">
        <f t="shared" si="1"/>
        <v>0</v>
      </c>
    </row>
    <row r="78" spans="1:20" ht="22.2" hidden="1" customHeight="1">
      <c r="A78" s="379" t="s">
        <v>38</v>
      </c>
      <c r="B78" s="438" t="s">
        <v>580</v>
      </c>
      <c r="C78" s="411" t="str">
        <f t="shared" si="0"/>
        <v xml:space="preserve"> </v>
      </c>
      <c r="D78" s="445">
        <v>0.34399999999999997</v>
      </c>
      <c r="E78" s="422">
        <f>VLOOKUP($B78,[1]DG!A:D,[1]DG!$B$2,)</f>
        <v>0</v>
      </c>
      <c r="F78" s="434" t="str">
        <f>VLOOKUP($B78,[1]DG!A:D,[1]DG!$C$2,)</f>
        <v>Đá 1x2</v>
      </c>
      <c r="G78" s="422" t="str">
        <f>VLOOKUP($B78,[1]DG!A:D,[1]DG!$D$2,)</f>
        <v>m3</v>
      </c>
      <c r="H78" s="436">
        <f t="shared" si="11"/>
        <v>0</v>
      </c>
      <c r="I78" s="436">
        <f t="shared" si="11"/>
        <v>0</v>
      </c>
      <c r="J78" s="436">
        <f t="shared" si="11"/>
        <v>0</v>
      </c>
      <c r="K78" s="436">
        <f t="shared" si="11"/>
        <v>0</v>
      </c>
      <c r="L78" s="436">
        <f t="shared" si="11"/>
        <v>0</v>
      </c>
      <c r="M78" s="436">
        <f t="shared" si="11"/>
        <v>0</v>
      </c>
      <c r="N78" s="436">
        <f t="shared" si="11"/>
        <v>0</v>
      </c>
      <c r="O78" s="436">
        <f t="shared" si="11"/>
        <v>0</v>
      </c>
      <c r="P78" s="436"/>
      <c r="Q78" s="447"/>
      <c r="R78" s="447"/>
      <c r="S78" s="447"/>
      <c r="T78" s="432">
        <f t="shared" ref="T78:T141" si="12">IFERROR(HLOOKUP(B78,BangKeTru,3,0),0)</f>
        <v>0</v>
      </c>
    </row>
    <row r="79" spans="1:20" ht="22.2" hidden="1" customHeight="1">
      <c r="A79" s="379" t="s">
        <v>38</v>
      </c>
      <c r="B79" s="438" t="s">
        <v>644</v>
      </c>
      <c r="C79" s="411" t="str">
        <f t="shared" ref="C79:C142" si="13">IF(OR(P79&lt;&gt;0,H79&lt;&gt;0),"x"," ")</f>
        <v xml:space="preserve"> </v>
      </c>
      <c r="D79" s="445"/>
      <c r="E79" s="422">
        <f>VLOOKUP($B79,[1]DG!A:D,[1]DG!$B$2,)</f>
        <v>0</v>
      </c>
      <c r="F79" s="441" t="str">
        <f>VLOOKUP($B79,[1]DG!A:D,[1]DG!$C$2,)</f>
        <v>Sắt Ø8</v>
      </c>
      <c r="G79" s="422" t="str">
        <f>VLOOKUP($B79,[1]DG!A:D,[1]DG!$D$2,)</f>
        <v>kg</v>
      </c>
      <c r="H79" s="436">
        <f t="shared" si="11"/>
        <v>0</v>
      </c>
      <c r="I79" s="436">
        <f t="shared" si="11"/>
        <v>0</v>
      </c>
      <c r="J79" s="436">
        <f t="shared" si="11"/>
        <v>0</v>
      </c>
      <c r="K79" s="436">
        <f t="shared" si="11"/>
        <v>0</v>
      </c>
      <c r="L79" s="436">
        <f t="shared" si="11"/>
        <v>0</v>
      </c>
      <c r="M79" s="436">
        <f t="shared" si="11"/>
        <v>0</v>
      </c>
      <c r="N79" s="436">
        <f t="shared" si="11"/>
        <v>0</v>
      </c>
      <c r="O79" s="436">
        <f t="shared" si="11"/>
        <v>0</v>
      </c>
      <c r="P79" s="436"/>
      <c r="Q79" s="447"/>
      <c r="R79" s="447"/>
      <c r="S79" s="447"/>
      <c r="T79" s="432">
        <f t="shared" si="12"/>
        <v>0</v>
      </c>
    </row>
    <row r="80" spans="1:20" ht="22.2" hidden="1" customHeight="1">
      <c r="A80" s="379" t="s">
        <v>38</v>
      </c>
      <c r="B80" s="438" t="s">
        <v>645</v>
      </c>
      <c r="C80" s="411" t="str">
        <f t="shared" si="13"/>
        <v xml:space="preserve"> </v>
      </c>
      <c r="D80" s="443"/>
      <c r="E80" s="422">
        <f>VLOOKUP($B80,[1]DG!A:D,[1]DG!$B$2,)</f>
        <v>0</v>
      </c>
      <c r="F80" s="441" t="str">
        <f>VLOOKUP($B80,[1]DG!A:D,[1]DG!$C$2,)</f>
        <v>Kẽm</v>
      </c>
      <c r="G80" s="422" t="str">
        <f>VLOOKUP($B80,[1]DG!A:D,[1]DG!$D$2,)</f>
        <v>kg</v>
      </c>
      <c r="H80" s="436">
        <f t="shared" si="11"/>
        <v>0</v>
      </c>
      <c r="I80" s="436">
        <f t="shared" si="11"/>
        <v>0</v>
      </c>
      <c r="J80" s="436">
        <f t="shared" si="11"/>
        <v>0</v>
      </c>
      <c r="K80" s="436">
        <f t="shared" si="11"/>
        <v>0</v>
      </c>
      <c r="L80" s="436">
        <f t="shared" si="11"/>
        <v>0</v>
      </c>
      <c r="M80" s="436">
        <f t="shared" si="11"/>
        <v>0</v>
      </c>
      <c r="N80" s="436">
        <f t="shared" si="11"/>
        <v>0</v>
      </c>
      <c r="O80" s="436">
        <f t="shared" si="11"/>
        <v>0</v>
      </c>
      <c r="P80" s="436"/>
      <c r="Q80" s="447"/>
      <c r="R80" s="447"/>
      <c r="S80" s="447"/>
      <c r="T80" s="432">
        <f t="shared" si="12"/>
        <v>0</v>
      </c>
    </row>
    <row r="81" spans="1:20" ht="22.2" hidden="1" customHeight="1">
      <c r="A81" s="379"/>
      <c r="B81" s="438" t="s">
        <v>75</v>
      </c>
      <c r="C81" s="411" t="str">
        <f t="shared" si="13"/>
        <v xml:space="preserve"> </v>
      </c>
      <c r="D81" s="443">
        <v>0.46200000000000002</v>
      </c>
      <c r="E81" s="422" t="str">
        <f>VLOOKUP($B81,[1]DG!A:D,[1]DG!$B$2,)</f>
        <v>03.1013</v>
      </c>
      <c r="F81" s="434" t="str">
        <f>VLOOKUP($B81,[1]DG!A:D,[1]DG!$C$2,)</f>
        <v>Đào hố móng đất cấp 3 sâu &gt;1m</v>
      </c>
      <c r="G81" s="422" t="str">
        <f>VLOOKUP($B81,[1]DG!A:D,[1]DG!$D$2,)</f>
        <v>m3</v>
      </c>
      <c r="H81" s="436"/>
      <c r="I81" s="436"/>
      <c r="J81" s="436"/>
      <c r="K81" s="436"/>
      <c r="L81" s="436"/>
      <c r="M81" s="436"/>
      <c r="N81" s="436"/>
      <c r="O81" s="436"/>
      <c r="P81" s="436"/>
      <c r="Q81" s="444"/>
      <c r="R81" s="444"/>
      <c r="S81" s="444"/>
      <c r="T81" s="432">
        <f t="shared" si="12"/>
        <v>0</v>
      </c>
    </row>
    <row r="82" spans="1:20" ht="22.2" hidden="1" customHeight="1">
      <c r="A82" s="379"/>
      <c r="B82" s="438" t="s">
        <v>76</v>
      </c>
      <c r="C82" s="411" t="str">
        <f t="shared" si="13"/>
        <v xml:space="preserve"> </v>
      </c>
      <c r="D82" s="443"/>
      <c r="E82" s="422" t="str">
        <f>VLOOKUP($B82,[1]DG!A:D,[1]DG!$B$2,)</f>
        <v>03.4113</v>
      </c>
      <c r="F82" s="434" t="str">
        <f>VLOOKUP($B82,[1]DG!A:D,[1]DG!$C$2,)</f>
        <v>Đắp đất hố móng, độ chặt k=0,95</v>
      </c>
      <c r="G82" s="422" t="str">
        <f>VLOOKUP($B82,[1]DG!A:D,[1]DG!$D$2,)</f>
        <v>m3</v>
      </c>
      <c r="H82" s="436"/>
      <c r="I82" s="436"/>
      <c r="J82" s="436"/>
      <c r="K82" s="436"/>
      <c r="L82" s="436"/>
      <c r="M82" s="436"/>
      <c r="N82" s="436"/>
      <c r="O82" s="436"/>
      <c r="P82" s="436"/>
      <c r="Q82" s="444"/>
      <c r="R82" s="444"/>
      <c r="S82" s="444"/>
      <c r="T82" s="432">
        <f t="shared" si="12"/>
        <v>0</v>
      </c>
    </row>
    <row r="83" spans="1:20" ht="22.2" hidden="1" customHeight="1">
      <c r="A83" s="379"/>
      <c r="B83" s="438" t="s">
        <v>646</v>
      </c>
      <c r="C83" s="411" t="str">
        <f t="shared" si="13"/>
        <v xml:space="preserve"> </v>
      </c>
      <c r="D83" s="443"/>
      <c r="E83" s="422" t="str">
        <f>VLOOKUP($B83,[1]DG!A:D,[1]DG!$B$2,)</f>
        <v>02.1101</v>
      </c>
      <c r="F83" s="434" t="str">
        <f>VLOOKUP($B83,[1]DG!A:D,[1]DG!$C$2,)</f>
        <v>Bốc dỡ xi măng</v>
      </c>
      <c r="G83" s="422" t="str">
        <f>VLOOKUP($B83,[1]DG!A:D,[1]DG!$D$2,)</f>
        <v>tấn</v>
      </c>
      <c r="H83" s="436"/>
      <c r="I83" s="436"/>
      <c r="J83" s="436"/>
      <c r="K83" s="436"/>
      <c r="L83" s="436"/>
      <c r="M83" s="436"/>
      <c r="N83" s="436"/>
      <c r="O83" s="436"/>
      <c r="P83" s="436"/>
      <c r="Q83" s="444"/>
      <c r="R83" s="444"/>
      <c r="S83" s="444"/>
      <c r="T83" s="432">
        <f t="shared" si="12"/>
        <v>0</v>
      </c>
    </row>
    <row r="84" spans="1:20" ht="22.2" hidden="1" customHeight="1">
      <c r="A84" s="379"/>
      <c r="B84" s="438" t="s">
        <v>647</v>
      </c>
      <c r="C84" s="411" t="str">
        <f t="shared" si="13"/>
        <v xml:space="preserve"> </v>
      </c>
      <c r="D84" s="443"/>
      <c r="E84" s="422" t="str">
        <f>VLOOKUP($B84,[1]DG!A:D,[1]DG!$B$2,)</f>
        <v>02.1103</v>
      </c>
      <c r="F84" s="434" t="str">
        <f>VLOOKUP($B84,[1]DG!A:D,[1]DG!$C$2,)</f>
        <v>Bốc dỡ cát</v>
      </c>
      <c r="G84" s="422" t="str">
        <f>VLOOKUP($B84,[1]DG!A:D,[1]DG!$D$2,)</f>
        <v>m3</v>
      </c>
      <c r="H84" s="436"/>
      <c r="I84" s="436"/>
      <c r="J84" s="436"/>
      <c r="K84" s="436"/>
      <c r="L84" s="436"/>
      <c r="M84" s="436"/>
      <c r="N84" s="436"/>
      <c r="O84" s="436"/>
      <c r="P84" s="436"/>
      <c r="Q84" s="444"/>
      <c r="R84" s="444"/>
      <c r="S84" s="444"/>
      <c r="T84" s="432">
        <f t="shared" si="12"/>
        <v>0</v>
      </c>
    </row>
    <row r="85" spans="1:20" ht="22.2" hidden="1" customHeight="1">
      <c r="A85" s="379"/>
      <c r="B85" s="438" t="s">
        <v>648</v>
      </c>
      <c r="C85" s="411" t="str">
        <f t="shared" si="13"/>
        <v xml:space="preserve"> </v>
      </c>
      <c r="D85" s="443"/>
      <c r="E85" s="422" t="str">
        <f>VLOOKUP($B85,[1]DG!A:D,[1]DG!$B$2,)</f>
        <v>02.1104</v>
      </c>
      <c r="F85" s="434" t="str">
        <f>VLOOKUP($B85,[1]DG!A:D,[1]DG!$C$2,)</f>
        <v>Bốc dỡ đá dăm</v>
      </c>
      <c r="G85" s="422" t="str">
        <f>VLOOKUP($B85,[1]DG!A:D,[1]DG!$D$2,)</f>
        <v>m3</v>
      </c>
      <c r="H85" s="436"/>
      <c r="I85" s="436"/>
      <c r="J85" s="436"/>
      <c r="K85" s="436"/>
      <c r="L85" s="436"/>
      <c r="M85" s="436"/>
      <c r="N85" s="436"/>
      <c r="O85" s="436"/>
      <c r="P85" s="436"/>
      <c r="Q85" s="444"/>
      <c r="R85" s="444"/>
      <c r="S85" s="444"/>
      <c r="T85" s="432">
        <f t="shared" si="12"/>
        <v>0</v>
      </c>
    </row>
    <row r="86" spans="1:20" ht="22.2" hidden="1" customHeight="1">
      <c r="A86" s="379"/>
      <c r="B86" s="438" t="s">
        <v>649</v>
      </c>
      <c r="C86" s="411" t="str">
        <f t="shared" si="13"/>
        <v xml:space="preserve"> </v>
      </c>
      <c r="D86" s="443"/>
      <c r="E86" s="422" t="str">
        <f>VLOOKUP($B86,[1]DG!A:D,[1]DG!$B$2,)</f>
        <v>04.5101</v>
      </c>
      <c r="F86" s="434" t="str">
        <f>VLOOKUP($B86,[1]DG!A:D,[1]DG!$C$2,)</f>
        <v>Gia công và lắp dựng cốt thép D&lt;=10</v>
      </c>
      <c r="G86" s="422" t="str">
        <f>VLOOKUP($B86,[1]DG!A:D,[1]DG!$D$2,)</f>
        <v>kg</v>
      </c>
      <c r="H86" s="436"/>
      <c r="I86" s="436"/>
      <c r="J86" s="436"/>
      <c r="K86" s="436"/>
      <c r="L86" s="436"/>
      <c r="M86" s="436"/>
      <c r="N86" s="436"/>
      <c r="O86" s="436"/>
      <c r="P86" s="436"/>
      <c r="Q86" s="444"/>
      <c r="R86" s="444"/>
      <c r="S86" s="444"/>
      <c r="T86" s="432">
        <f t="shared" si="12"/>
        <v>0</v>
      </c>
    </row>
    <row r="87" spans="1:20" ht="22.2" hidden="1" customHeight="1">
      <c r="A87" s="379"/>
      <c r="B87" s="438" t="s">
        <v>650</v>
      </c>
      <c r="C87" s="411" t="str">
        <f t="shared" si="13"/>
        <v xml:space="preserve"> </v>
      </c>
      <c r="D87" s="443"/>
      <c r="E87" s="422" t="str">
        <f>VLOOKUP($B87,[1]DG!A:D,[1]DG!$B$2,)</f>
        <v>02.1211</v>
      </c>
      <c r="F87" s="434" t="str">
        <f>VLOOKUP($B87,[1]DG!A:D,[1]DG!$C$2,)</f>
        <v>V/c xi măng ( cự ly &lt;=100m)</v>
      </c>
      <c r="G87" s="422" t="str">
        <f>VLOOKUP($B87,[1]DG!A:D,[1]DG!$D$2,)</f>
        <v>tấn</v>
      </c>
      <c r="H87" s="436"/>
      <c r="I87" s="436"/>
      <c r="J87" s="436"/>
      <c r="K87" s="436"/>
      <c r="L87" s="436"/>
      <c r="M87" s="436"/>
      <c r="N87" s="436"/>
      <c r="O87" s="436"/>
      <c r="P87" s="436"/>
      <c r="Q87" s="444"/>
      <c r="R87" s="444"/>
      <c r="S87" s="444"/>
      <c r="T87" s="432">
        <f t="shared" si="12"/>
        <v>0</v>
      </c>
    </row>
    <row r="88" spans="1:20" ht="22.2" hidden="1" customHeight="1">
      <c r="A88" s="379"/>
      <c r="B88" s="438" t="s">
        <v>651</v>
      </c>
      <c r="C88" s="411" t="str">
        <f t="shared" si="13"/>
        <v xml:space="preserve"> </v>
      </c>
      <c r="D88" s="443"/>
      <c r="E88" s="422" t="str">
        <f>VLOOKUP($B88,[1]DG!A:D,[1]DG!$B$2,)</f>
        <v>02.1231</v>
      </c>
      <c r="F88" s="434" t="str">
        <f>VLOOKUP($B88,[1]DG!A:D,[1]DG!$C$2,)</f>
        <v>V/c cát vàng cự ly &lt;=100m</v>
      </c>
      <c r="G88" s="422" t="str">
        <f>VLOOKUP($B88,[1]DG!A:D,[1]DG!$D$2,)</f>
        <v>m3</v>
      </c>
      <c r="H88" s="436"/>
      <c r="I88" s="436"/>
      <c r="J88" s="436"/>
      <c r="K88" s="436"/>
      <c r="L88" s="436"/>
      <c r="M88" s="436"/>
      <c r="N88" s="436"/>
      <c r="O88" s="436"/>
      <c r="P88" s="436"/>
      <c r="Q88" s="444"/>
      <c r="R88" s="444"/>
      <c r="S88" s="444"/>
      <c r="T88" s="432">
        <f t="shared" si="12"/>
        <v>0</v>
      </c>
    </row>
    <row r="89" spans="1:20" ht="22.2" hidden="1" customHeight="1">
      <c r="A89" s="379"/>
      <c r="B89" s="438" t="s">
        <v>652</v>
      </c>
      <c r="C89" s="411" t="str">
        <f t="shared" si="13"/>
        <v xml:space="preserve"> </v>
      </c>
      <c r="D89" s="443"/>
      <c r="E89" s="422" t="str">
        <f>VLOOKUP($B89,[1]DG!A:D,[1]DG!$B$2,)</f>
        <v>02.1241</v>
      </c>
      <c r="F89" s="434" t="str">
        <f>VLOOKUP($B89,[1]DG!A:D,[1]DG!$C$2,)</f>
        <v>V/c đá dăm ( cự ly &lt;=100m)</v>
      </c>
      <c r="G89" s="422" t="str">
        <f>VLOOKUP($B89,[1]DG!A:D,[1]DG!$D$2,)</f>
        <v>m3</v>
      </c>
      <c r="H89" s="436"/>
      <c r="I89" s="436"/>
      <c r="J89" s="436"/>
      <c r="K89" s="436"/>
      <c r="L89" s="436"/>
      <c r="M89" s="436"/>
      <c r="N89" s="436"/>
      <c r="O89" s="436"/>
      <c r="P89" s="436"/>
      <c r="Q89" s="444"/>
      <c r="R89" s="444"/>
      <c r="S89" s="444"/>
      <c r="T89" s="432">
        <f t="shared" si="12"/>
        <v>0</v>
      </c>
    </row>
    <row r="90" spans="1:20" ht="22.2" hidden="1" customHeight="1">
      <c r="A90" s="379"/>
      <c r="B90" s="438" t="s">
        <v>653</v>
      </c>
      <c r="C90" s="411" t="str">
        <f t="shared" si="13"/>
        <v xml:space="preserve"> </v>
      </c>
      <c r="D90" s="443"/>
      <c r="E90" s="422" t="str">
        <f>VLOOKUP($B90,[1]DG!A:D,[1]DG!$B$2,)</f>
        <v>02.1482</v>
      </c>
      <c r="F90" s="434" t="str">
        <f>VLOOKUP($B90,[1]DG!A:D,[1]DG!$C$2,)</f>
        <v>V/c dụng cụ thi công ( cự ly &lt;=100m)</v>
      </c>
      <c r="G90" s="422" t="str">
        <f>VLOOKUP($B90,[1]DG!A:D,[1]DG!$D$2,)</f>
        <v>tấn</v>
      </c>
      <c r="H90" s="436"/>
      <c r="I90" s="436"/>
      <c r="J90" s="436"/>
      <c r="K90" s="436"/>
      <c r="L90" s="436"/>
      <c r="M90" s="436"/>
      <c r="N90" s="436"/>
      <c r="O90" s="436"/>
      <c r="P90" s="436"/>
      <c r="Q90" s="444"/>
      <c r="R90" s="444"/>
      <c r="S90" s="444"/>
      <c r="T90" s="432">
        <f t="shared" si="12"/>
        <v>0</v>
      </c>
    </row>
    <row r="91" spans="1:20" ht="22.2" hidden="1" customHeight="1">
      <c r="A91" s="379"/>
      <c r="B91" s="438" t="s">
        <v>654</v>
      </c>
      <c r="C91" s="411" t="str">
        <f t="shared" si="13"/>
        <v xml:space="preserve"> </v>
      </c>
      <c r="D91" s="443">
        <v>0.39</v>
      </c>
      <c r="E91" s="422" t="str">
        <f>VLOOKUP($B91,[1]DG!A:D,[1]DG!$B$2,)</f>
        <v>04.1203c</v>
      </c>
      <c r="F91" s="434" t="str">
        <f>VLOOKUP($B91,[1]DG!A:D,[1]DG!$C$2,)</f>
        <v>Đổ bê tông móng trụ &lt;=250cm-M200 đá 1x2</v>
      </c>
      <c r="G91" s="422" t="str">
        <f>VLOOKUP($B91,[1]DG!A:D,[1]DG!$D$2,)</f>
        <v>m3</v>
      </c>
      <c r="H91" s="436"/>
      <c r="I91" s="436"/>
      <c r="J91" s="436"/>
      <c r="K91" s="436"/>
      <c r="L91" s="436"/>
      <c r="M91" s="436"/>
      <c r="N91" s="436"/>
      <c r="O91" s="436"/>
      <c r="P91" s="436"/>
      <c r="Q91" s="444"/>
      <c r="R91" s="444"/>
      <c r="S91" s="444"/>
      <c r="T91" s="432">
        <f t="shared" si="12"/>
        <v>0</v>
      </c>
    </row>
    <row r="92" spans="1:20" ht="22.2" hidden="1" customHeight="1">
      <c r="A92" s="423" t="s">
        <v>655</v>
      </c>
      <c r="B92" s="424" t="s">
        <v>655</v>
      </c>
      <c r="C92" s="425" t="str">
        <f t="shared" si="13"/>
        <v xml:space="preserve"> </v>
      </c>
      <c r="D92" s="426"/>
      <c r="E92" s="427"/>
      <c r="F92" s="428" t="s">
        <v>656</v>
      </c>
      <c r="G92" s="349" t="s">
        <v>344</v>
      </c>
      <c r="H92" s="429">
        <f>SUM(I92:O92)</f>
        <v>0</v>
      </c>
      <c r="I92" s="430"/>
      <c r="J92" s="430"/>
      <c r="K92" s="430">
        <f>IFERROR(HLOOKUP(B92,[1]pp3p1m!$1:$3,3,0),0)</f>
        <v>0</v>
      </c>
      <c r="L92" s="430">
        <f>IFERROR(HLOOKUP(chitiet!B92,[1]pp1p!$1:$3,3,0),0)</f>
        <v>0</v>
      </c>
      <c r="M92" s="430"/>
      <c r="N92" s="430"/>
      <c r="O92" s="430"/>
      <c r="P92" s="430">
        <f>H92+Q92-R92</f>
        <v>0</v>
      </c>
      <c r="Q92" s="431"/>
      <c r="R92" s="431"/>
      <c r="S92" s="431"/>
      <c r="T92" s="432">
        <f>IFERROR(HLOOKUP(B92,[1]pp1p!$1:$3,3,0),0)+IFERROR(HLOOKUP(B92,[1]pp3p1m!$1:$3,3,0),0)</f>
        <v>0</v>
      </c>
    </row>
    <row r="93" spans="1:20" ht="22.2" hidden="1" customHeight="1">
      <c r="A93" s="379"/>
      <c r="B93" s="438" t="s">
        <v>643</v>
      </c>
      <c r="C93" s="411" t="str">
        <f t="shared" si="13"/>
        <v xml:space="preserve"> </v>
      </c>
      <c r="D93" s="448">
        <v>162</v>
      </c>
      <c r="E93" s="422">
        <f>VLOOKUP($B93,[1]DG!A:D,[1]DG!$B$2,)</f>
        <v>0</v>
      </c>
      <c r="F93" s="434" t="str">
        <f>VLOOKUP($B93,[1]DG!A:D,[1]DG!$C$2,)</f>
        <v>Ximăng (PC40)</v>
      </c>
      <c r="G93" s="422" t="str">
        <f>VLOOKUP($B93,[1]DG!A:D,[1]DG!$D$2,)</f>
        <v>kg</v>
      </c>
      <c r="H93" s="436">
        <f t="shared" ref="H93:H107" si="14">$H$92*D93</f>
        <v>0</v>
      </c>
      <c r="I93" s="436">
        <f t="shared" ref="I93:O97" si="15">I$75*$D93</f>
        <v>0</v>
      </c>
      <c r="J93" s="436">
        <f t="shared" si="15"/>
        <v>0</v>
      </c>
      <c r="K93" s="436">
        <f t="shared" si="15"/>
        <v>0</v>
      </c>
      <c r="L93" s="436">
        <f t="shared" si="15"/>
        <v>0</v>
      </c>
      <c r="M93" s="436">
        <f t="shared" si="15"/>
        <v>0</v>
      </c>
      <c r="N93" s="436">
        <f t="shared" si="15"/>
        <v>0</v>
      </c>
      <c r="O93" s="436">
        <f t="shared" si="15"/>
        <v>0</v>
      </c>
      <c r="P93" s="430">
        <f>H93+Q93-R93</f>
        <v>0</v>
      </c>
      <c r="Q93" s="447"/>
      <c r="R93" s="447"/>
      <c r="S93" s="447"/>
      <c r="T93" s="432">
        <f t="shared" si="12"/>
        <v>0</v>
      </c>
    </row>
    <row r="94" spans="1:20" ht="22.2" hidden="1" customHeight="1">
      <c r="A94" s="379"/>
      <c r="B94" s="449" t="s">
        <v>389</v>
      </c>
      <c r="C94" s="411" t="str">
        <f t="shared" si="13"/>
        <v xml:space="preserve"> </v>
      </c>
      <c r="D94" s="443">
        <v>0.43</v>
      </c>
      <c r="E94" s="422">
        <f>VLOOKUP($B94,[1]DG!A:D,[1]DG!$B$2,)</f>
        <v>0</v>
      </c>
      <c r="F94" s="434" t="str">
        <f>VLOOKUP($B94,[1]DG!A:D,[1]DG!$C$2,)</f>
        <v>Cát vàng</v>
      </c>
      <c r="G94" s="422" t="str">
        <f>VLOOKUP($B94,[1]DG!A:D,[1]DG!$D$2,)</f>
        <v>m3</v>
      </c>
      <c r="H94" s="436">
        <f t="shared" si="14"/>
        <v>0</v>
      </c>
      <c r="I94" s="436">
        <f t="shared" si="15"/>
        <v>0</v>
      </c>
      <c r="J94" s="436">
        <f t="shared" si="15"/>
        <v>0</v>
      </c>
      <c r="K94" s="436">
        <f t="shared" si="15"/>
        <v>0</v>
      </c>
      <c r="L94" s="436">
        <f t="shared" si="15"/>
        <v>0</v>
      </c>
      <c r="M94" s="436">
        <f t="shared" si="15"/>
        <v>0</v>
      </c>
      <c r="N94" s="436">
        <f t="shared" si="15"/>
        <v>0</v>
      </c>
      <c r="O94" s="436">
        <f t="shared" si="15"/>
        <v>0</v>
      </c>
      <c r="P94" s="430">
        <f>H94+Q94-R94</f>
        <v>0</v>
      </c>
      <c r="Q94" s="447"/>
      <c r="R94" s="447"/>
      <c r="S94" s="447"/>
      <c r="T94" s="432">
        <f t="shared" si="12"/>
        <v>0</v>
      </c>
    </row>
    <row r="95" spans="1:20" ht="22.2" hidden="1" customHeight="1">
      <c r="A95" s="379" t="s">
        <v>38</v>
      </c>
      <c r="B95" s="438" t="s">
        <v>580</v>
      </c>
      <c r="C95" s="411" t="str">
        <f t="shared" si="13"/>
        <v xml:space="preserve"> </v>
      </c>
      <c r="D95" s="443">
        <v>0.79</v>
      </c>
      <c r="E95" s="422">
        <f>VLOOKUP($B95,[1]DG!A:D,[1]DG!$B$2,)</f>
        <v>0</v>
      </c>
      <c r="F95" s="434" t="str">
        <f>VLOOKUP($B95,[1]DG!A:D,[1]DG!$C$2,)</f>
        <v>Đá 1x2</v>
      </c>
      <c r="G95" s="422" t="str">
        <f>VLOOKUP($B95,[1]DG!A:D,[1]DG!$D$2,)</f>
        <v>m3</v>
      </c>
      <c r="H95" s="436">
        <f t="shared" si="14"/>
        <v>0</v>
      </c>
      <c r="I95" s="436">
        <f t="shared" si="15"/>
        <v>0</v>
      </c>
      <c r="J95" s="436">
        <f t="shared" si="15"/>
        <v>0</v>
      </c>
      <c r="K95" s="436">
        <f t="shared" si="15"/>
        <v>0</v>
      </c>
      <c r="L95" s="436">
        <f t="shared" si="15"/>
        <v>0</v>
      </c>
      <c r="M95" s="436">
        <f t="shared" si="15"/>
        <v>0</v>
      </c>
      <c r="N95" s="436">
        <f t="shared" si="15"/>
        <v>0</v>
      </c>
      <c r="O95" s="436">
        <f t="shared" si="15"/>
        <v>0</v>
      </c>
      <c r="P95" s="430">
        <f>H95+Q95-R95</f>
        <v>0</v>
      </c>
      <c r="Q95" s="450"/>
      <c r="R95" s="450"/>
      <c r="S95" s="450"/>
      <c r="T95" s="432">
        <f t="shared" si="12"/>
        <v>0</v>
      </c>
    </row>
    <row r="96" spans="1:20" ht="22.2" hidden="1" customHeight="1">
      <c r="A96" s="379" t="s">
        <v>38</v>
      </c>
      <c r="B96" s="438" t="s">
        <v>153</v>
      </c>
      <c r="C96" s="411" t="str">
        <f t="shared" si="13"/>
        <v xml:space="preserve"> </v>
      </c>
      <c r="D96" s="443"/>
      <c r="E96" s="422">
        <f>VLOOKUP($B96,[1]DG!A:D,[1]DG!$B$2,)</f>
        <v>0</v>
      </c>
      <c r="F96" s="441" t="str">
        <f>VLOOKUP($B96,[1]DG!A:D,[1]DG!$C$2,)</f>
        <v>Sắt Ø10</v>
      </c>
      <c r="G96" s="422" t="str">
        <f>VLOOKUP($B96,[1]DG!A:D,[1]DG!$D$2,)</f>
        <v>kg</v>
      </c>
      <c r="H96" s="436">
        <f t="shared" si="14"/>
        <v>0</v>
      </c>
      <c r="I96" s="436">
        <f t="shared" si="15"/>
        <v>0</v>
      </c>
      <c r="J96" s="436">
        <f t="shared" si="15"/>
        <v>0</v>
      </c>
      <c r="K96" s="436">
        <f t="shared" si="15"/>
        <v>0</v>
      </c>
      <c r="L96" s="436">
        <f t="shared" si="15"/>
        <v>0</v>
      </c>
      <c r="M96" s="436">
        <f t="shared" si="15"/>
        <v>0</v>
      </c>
      <c r="N96" s="436">
        <f t="shared" si="15"/>
        <v>0</v>
      </c>
      <c r="O96" s="436">
        <f t="shared" si="15"/>
        <v>0</v>
      </c>
      <c r="P96" s="436"/>
      <c r="Q96" s="447"/>
      <c r="R96" s="447"/>
      <c r="S96" s="447"/>
      <c r="T96" s="432">
        <f t="shared" si="12"/>
        <v>0</v>
      </c>
    </row>
    <row r="97" spans="1:20" ht="22.2" hidden="1" customHeight="1">
      <c r="A97" s="379" t="s">
        <v>38</v>
      </c>
      <c r="B97" s="438" t="s">
        <v>645</v>
      </c>
      <c r="C97" s="411" t="str">
        <f t="shared" si="13"/>
        <v xml:space="preserve"> </v>
      </c>
      <c r="D97" s="443"/>
      <c r="E97" s="422">
        <f>VLOOKUP($B97,[1]DG!A:D,[1]DG!$B$2,)</f>
        <v>0</v>
      </c>
      <c r="F97" s="441" t="str">
        <f>VLOOKUP($B97,[1]DG!A:D,[1]DG!$C$2,)</f>
        <v>Kẽm</v>
      </c>
      <c r="G97" s="422" t="str">
        <f>VLOOKUP($B97,[1]DG!A:D,[1]DG!$D$2,)</f>
        <v>kg</v>
      </c>
      <c r="H97" s="436">
        <f t="shared" si="14"/>
        <v>0</v>
      </c>
      <c r="I97" s="436">
        <f t="shared" si="15"/>
        <v>0</v>
      </c>
      <c r="J97" s="436">
        <f t="shared" si="15"/>
        <v>0</v>
      </c>
      <c r="K97" s="436">
        <f t="shared" si="15"/>
        <v>0</v>
      </c>
      <c r="L97" s="436">
        <f t="shared" si="15"/>
        <v>0</v>
      </c>
      <c r="M97" s="436">
        <f t="shared" si="15"/>
        <v>0</v>
      </c>
      <c r="N97" s="436">
        <f t="shared" si="15"/>
        <v>0</v>
      </c>
      <c r="O97" s="436">
        <f t="shared" si="15"/>
        <v>0</v>
      </c>
      <c r="P97" s="436"/>
      <c r="Q97" s="447"/>
      <c r="R97" s="447"/>
      <c r="S97" s="447"/>
      <c r="T97" s="432">
        <f t="shared" si="12"/>
        <v>0</v>
      </c>
    </row>
    <row r="98" spans="1:20" ht="22.2" hidden="1" customHeight="1">
      <c r="A98" s="379"/>
      <c r="B98" s="438" t="s">
        <v>75</v>
      </c>
      <c r="C98" s="411" t="str">
        <f t="shared" si="13"/>
        <v xml:space="preserve"> </v>
      </c>
      <c r="D98" s="443">
        <v>1.02</v>
      </c>
      <c r="E98" s="422" t="str">
        <f>VLOOKUP($B98,[1]DG!A:D,[1]DG!$B$2,)</f>
        <v>03.1013</v>
      </c>
      <c r="F98" s="434" t="str">
        <f>VLOOKUP($B98,[1]DG!A:D,[1]DG!$C$2,)</f>
        <v>Đào hố móng đất cấp 3 sâu &gt;1m</v>
      </c>
      <c r="G98" s="422" t="str">
        <f>VLOOKUP($B98,[1]DG!A:D,[1]DG!$D$2,)</f>
        <v>m3</v>
      </c>
      <c r="H98" s="436">
        <f t="shared" si="14"/>
        <v>0</v>
      </c>
      <c r="I98" s="436"/>
      <c r="J98" s="436"/>
      <c r="K98" s="436"/>
      <c r="L98" s="436"/>
      <c r="M98" s="436"/>
      <c r="N98" s="436"/>
      <c r="O98" s="436"/>
      <c r="P98" s="430">
        <f>H98+Q98-R98</f>
        <v>0</v>
      </c>
      <c r="Q98" s="450"/>
      <c r="R98" s="450"/>
      <c r="S98" s="450"/>
      <c r="T98" s="432">
        <f t="shared" si="12"/>
        <v>0</v>
      </c>
    </row>
    <row r="99" spans="1:20" ht="22.2" hidden="1" customHeight="1">
      <c r="A99" s="379"/>
      <c r="B99" s="438" t="s">
        <v>76</v>
      </c>
      <c r="C99" s="411" t="str">
        <f t="shared" si="13"/>
        <v xml:space="preserve"> </v>
      </c>
      <c r="D99" s="443">
        <v>0.47</v>
      </c>
      <c r="E99" s="422" t="str">
        <f>VLOOKUP($B99,[1]DG!A:D,[1]DG!$B$2,)</f>
        <v>03.4113</v>
      </c>
      <c r="F99" s="434" t="str">
        <f>VLOOKUP($B99,[1]DG!A:D,[1]DG!$C$2,)</f>
        <v>Đắp đất hố móng, độ chặt k=0,95</v>
      </c>
      <c r="G99" s="422" t="str">
        <f>VLOOKUP($B99,[1]DG!A:D,[1]DG!$D$2,)</f>
        <v>m3</v>
      </c>
      <c r="H99" s="436">
        <f t="shared" si="14"/>
        <v>0</v>
      </c>
      <c r="I99" s="436"/>
      <c r="J99" s="436"/>
      <c r="K99" s="436"/>
      <c r="L99" s="436"/>
      <c r="M99" s="436"/>
      <c r="N99" s="436"/>
      <c r="O99" s="436"/>
      <c r="P99" s="430">
        <f>H99+Q99-R99</f>
        <v>0</v>
      </c>
      <c r="Q99" s="447"/>
      <c r="R99" s="447"/>
      <c r="S99" s="447"/>
      <c r="T99" s="432">
        <f t="shared" si="12"/>
        <v>0</v>
      </c>
    </row>
    <row r="100" spans="1:20" ht="22.2" hidden="1" customHeight="1">
      <c r="A100" s="379"/>
      <c r="B100" s="438" t="s">
        <v>646</v>
      </c>
      <c r="C100" s="411" t="str">
        <f t="shared" si="13"/>
        <v xml:space="preserve"> </v>
      </c>
      <c r="D100" s="443"/>
      <c r="E100" s="422" t="str">
        <f>VLOOKUP($B100,[1]DG!A:D,[1]DG!$B$2,)</f>
        <v>02.1101</v>
      </c>
      <c r="F100" s="434" t="str">
        <f>VLOOKUP($B100,[1]DG!A:D,[1]DG!$C$2,)</f>
        <v>Bốc dỡ xi măng</v>
      </c>
      <c r="G100" s="422" t="str">
        <f>VLOOKUP($B100,[1]DG!A:D,[1]DG!$D$2,)</f>
        <v>tấn</v>
      </c>
      <c r="H100" s="436">
        <f t="shared" si="14"/>
        <v>0</v>
      </c>
      <c r="I100" s="436"/>
      <c r="J100" s="436"/>
      <c r="K100" s="436"/>
      <c r="L100" s="436"/>
      <c r="M100" s="436"/>
      <c r="N100" s="436"/>
      <c r="O100" s="436"/>
      <c r="P100" s="436"/>
      <c r="Q100" s="447"/>
      <c r="R100" s="447"/>
      <c r="S100" s="447"/>
      <c r="T100" s="432">
        <f t="shared" si="12"/>
        <v>0</v>
      </c>
    </row>
    <row r="101" spans="1:20" ht="22.2" hidden="1" customHeight="1">
      <c r="A101" s="379"/>
      <c r="B101" s="438" t="s">
        <v>647</v>
      </c>
      <c r="C101" s="411" t="str">
        <f t="shared" si="13"/>
        <v xml:space="preserve"> </v>
      </c>
      <c r="D101" s="443"/>
      <c r="E101" s="422" t="str">
        <f>VLOOKUP($B101,[1]DG!A:D,[1]DG!$B$2,)</f>
        <v>02.1103</v>
      </c>
      <c r="F101" s="434" t="str">
        <f>VLOOKUP($B101,[1]DG!A:D,[1]DG!$C$2,)</f>
        <v>Bốc dỡ cát</v>
      </c>
      <c r="G101" s="422" t="str">
        <f>VLOOKUP($B101,[1]DG!A:D,[1]DG!$D$2,)</f>
        <v>m3</v>
      </c>
      <c r="H101" s="436">
        <f t="shared" si="14"/>
        <v>0</v>
      </c>
      <c r="I101" s="436"/>
      <c r="J101" s="436"/>
      <c r="K101" s="436"/>
      <c r="L101" s="436"/>
      <c r="M101" s="436"/>
      <c r="N101" s="436"/>
      <c r="O101" s="436"/>
      <c r="P101" s="436"/>
      <c r="Q101" s="447"/>
      <c r="R101" s="447"/>
      <c r="S101" s="447"/>
      <c r="T101" s="432">
        <f t="shared" si="12"/>
        <v>0</v>
      </c>
    </row>
    <row r="102" spans="1:20" ht="22.2" hidden="1" customHeight="1">
      <c r="A102" s="379"/>
      <c r="B102" s="438" t="s">
        <v>648</v>
      </c>
      <c r="C102" s="411" t="str">
        <f t="shared" si="13"/>
        <v xml:space="preserve"> </v>
      </c>
      <c r="D102" s="443"/>
      <c r="E102" s="422" t="str">
        <f>VLOOKUP($B102,[1]DG!A:D,[1]DG!$B$2,)</f>
        <v>02.1104</v>
      </c>
      <c r="F102" s="434" t="str">
        <f>VLOOKUP($B102,[1]DG!A:D,[1]DG!$C$2,)</f>
        <v>Bốc dỡ đá dăm</v>
      </c>
      <c r="G102" s="422" t="str">
        <f>VLOOKUP($B102,[1]DG!A:D,[1]DG!$D$2,)</f>
        <v>m3</v>
      </c>
      <c r="H102" s="436">
        <f t="shared" si="14"/>
        <v>0</v>
      </c>
      <c r="I102" s="436"/>
      <c r="J102" s="436"/>
      <c r="K102" s="436"/>
      <c r="L102" s="436"/>
      <c r="M102" s="436"/>
      <c r="N102" s="436"/>
      <c r="O102" s="436"/>
      <c r="P102" s="436"/>
      <c r="Q102" s="447"/>
      <c r="R102" s="447"/>
      <c r="S102" s="447"/>
      <c r="T102" s="432">
        <f t="shared" si="12"/>
        <v>0</v>
      </c>
    </row>
    <row r="103" spans="1:20" ht="22.2" hidden="1" customHeight="1">
      <c r="A103" s="379"/>
      <c r="B103" s="438" t="s">
        <v>649</v>
      </c>
      <c r="C103" s="411" t="str">
        <f t="shared" si="13"/>
        <v xml:space="preserve"> </v>
      </c>
      <c r="D103" s="443">
        <f>D96</f>
        <v>0</v>
      </c>
      <c r="E103" s="422" t="str">
        <f>VLOOKUP($B103,[1]DG!A:D,[1]DG!$B$2,)</f>
        <v>04.5101</v>
      </c>
      <c r="F103" s="434" t="str">
        <f>VLOOKUP($B103,[1]DG!A:D,[1]DG!$C$2,)</f>
        <v>Gia công và lắp dựng cốt thép D&lt;=10</v>
      </c>
      <c r="G103" s="422" t="str">
        <f>VLOOKUP($B103,[1]DG!A:D,[1]DG!$D$2,)</f>
        <v>kg</v>
      </c>
      <c r="H103" s="436">
        <f t="shared" si="14"/>
        <v>0</v>
      </c>
      <c r="I103" s="436"/>
      <c r="J103" s="436"/>
      <c r="K103" s="436"/>
      <c r="L103" s="436"/>
      <c r="M103" s="436"/>
      <c r="N103" s="436"/>
      <c r="O103" s="436"/>
      <c r="P103" s="436"/>
      <c r="Q103" s="447"/>
      <c r="R103" s="447"/>
      <c r="S103" s="447"/>
      <c r="T103" s="432">
        <f t="shared" si="12"/>
        <v>0</v>
      </c>
    </row>
    <row r="104" spans="1:20" ht="22.2" hidden="1" customHeight="1">
      <c r="A104" s="379"/>
      <c r="B104" s="438" t="s">
        <v>650</v>
      </c>
      <c r="C104" s="411" t="str">
        <f t="shared" si="13"/>
        <v xml:space="preserve"> </v>
      </c>
      <c r="D104" s="443"/>
      <c r="E104" s="422" t="str">
        <f>VLOOKUP($B104,[1]DG!A:D,[1]DG!$B$2,)</f>
        <v>02.1211</v>
      </c>
      <c r="F104" s="434" t="str">
        <f>VLOOKUP($B104,[1]DG!A:D,[1]DG!$C$2,)</f>
        <v>V/c xi măng ( cự ly &lt;=100m)</v>
      </c>
      <c r="G104" s="422" t="str">
        <f>VLOOKUP($B104,[1]DG!A:D,[1]DG!$D$2,)</f>
        <v>tấn</v>
      </c>
      <c r="H104" s="436">
        <f t="shared" si="14"/>
        <v>0</v>
      </c>
      <c r="I104" s="436"/>
      <c r="J104" s="436"/>
      <c r="K104" s="436"/>
      <c r="L104" s="436"/>
      <c r="M104" s="436"/>
      <c r="N104" s="436"/>
      <c r="O104" s="436"/>
      <c r="P104" s="436"/>
      <c r="Q104" s="447"/>
      <c r="R104" s="447"/>
      <c r="S104" s="447"/>
      <c r="T104" s="432">
        <f t="shared" si="12"/>
        <v>0</v>
      </c>
    </row>
    <row r="105" spans="1:20" ht="22.2" hidden="1" customHeight="1">
      <c r="A105" s="379"/>
      <c r="B105" s="438" t="s">
        <v>651</v>
      </c>
      <c r="C105" s="411" t="str">
        <f t="shared" si="13"/>
        <v xml:space="preserve"> </v>
      </c>
      <c r="D105" s="443"/>
      <c r="E105" s="422" t="str">
        <f>VLOOKUP($B105,[1]DG!A:D,[1]DG!$B$2,)</f>
        <v>02.1231</v>
      </c>
      <c r="F105" s="434" t="str">
        <f>VLOOKUP($B105,[1]DG!A:D,[1]DG!$C$2,)</f>
        <v>V/c cát vàng cự ly &lt;=100m</v>
      </c>
      <c r="G105" s="422" t="str">
        <f>VLOOKUP($B105,[1]DG!A:D,[1]DG!$D$2,)</f>
        <v>m3</v>
      </c>
      <c r="H105" s="436">
        <f t="shared" si="14"/>
        <v>0</v>
      </c>
      <c r="I105" s="436"/>
      <c r="J105" s="436"/>
      <c r="K105" s="436"/>
      <c r="L105" s="436"/>
      <c r="M105" s="436"/>
      <c r="N105" s="436"/>
      <c r="O105" s="436"/>
      <c r="P105" s="436"/>
      <c r="Q105" s="447"/>
      <c r="R105" s="447"/>
      <c r="S105" s="447"/>
      <c r="T105" s="432">
        <f t="shared" si="12"/>
        <v>0</v>
      </c>
    </row>
    <row r="106" spans="1:20" ht="22.2" hidden="1" customHeight="1">
      <c r="A106" s="379"/>
      <c r="B106" s="438" t="s">
        <v>652</v>
      </c>
      <c r="C106" s="411" t="str">
        <f t="shared" si="13"/>
        <v xml:space="preserve"> </v>
      </c>
      <c r="D106" s="443"/>
      <c r="E106" s="422" t="str">
        <f>VLOOKUP($B106,[1]DG!A:D,[1]DG!$B$2,)</f>
        <v>02.1241</v>
      </c>
      <c r="F106" s="434" t="str">
        <f>VLOOKUP($B106,[1]DG!A:D,[1]DG!$C$2,)</f>
        <v>V/c đá dăm ( cự ly &lt;=100m)</v>
      </c>
      <c r="G106" s="422" t="str">
        <f>VLOOKUP($B106,[1]DG!A:D,[1]DG!$D$2,)</f>
        <v>m3</v>
      </c>
      <c r="H106" s="436">
        <f t="shared" si="14"/>
        <v>0</v>
      </c>
      <c r="I106" s="436"/>
      <c r="J106" s="436"/>
      <c r="K106" s="436"/>
      <c r="L106" s="436"/>
      <c r="M106" s="436"/>
      <c r="N106" s="436"/>
      <c r="O106" s="436"/>
      <c r="P106" s="436"/>
      <c r="Q106" s="447"/>
      <c r="R106" s="447"/>
      <c r="S106" s="447"/>
      <c r="T106" s="432">
        <f t="shared" si="12"/>
        <v>0</v>
      </c>
    </row>
    <row r="107" spans="1:20" ht="22.2" hidden="1" customHeight="1">
      <c r="A107" s="379"/>
      <c r="B107" s="438" t="s">
        <v>653</v>
      </c>
      <c r="C107" s="411" t="str">
        <f t="shared" si="13"/>
        <v xml:space="preserve"> </v>
      </c>
      <c r="D107" s="443"/>
      <c r="E107" s="422" t="str">
        <f>VLOOKUP($B107,[1]DG!A:D,[1]DG!$B$2,)</f>
        <v>02.1482</v>
      </c>
      <c r="F107" s="434" t="str">
        <f>VLOOKUP($B107,[1]DG!A:D,[1]DG!$C$2,)</f>
        <v>V/c dụng cụ thi công ( cự ly &lt;=100m)</v>
      </c>
      <c r="G107" s="422" t="str">
        <f>VLOOKUP($B107,[1]DG!A:D,[1]DG!$D$2,)</f>
        <v>tấn</v>
      </c>
      <c r="H107" s="436">
        <f t="shared" si="14"/>
        <v>0</v>
      </c>
      <c r="I107" s="436"/>
      <c r="J107" s="436"/>
      <c r="K107" s="436"/>
      <c r="L107" s="436"/>
      <c r="M107" s="436"/>
      <c r="N107" s="436"/>
      <c r="O107" s="436"/>
      <c r="P107" s="436"/>
      <c r="Q107" s="447"/>
      <c r="R107" s="447"/>
      <c r="S107" s="447"/>
      <c r="T107" s="432">
        <f t="shared" si="12"/>
        <v>0</v>
      </c>
    </row>
    <row r="108" spans="1:20" ht="22.2" hidden="1" customHeight="1">
      <c r="A108" s="379"/>
      <c r="B108" s="438" t="s">
        <v>654</v>
      </c>
      <c r="C108" s="411" t="str">
        <f t="shared" si="13"/>
        <v xml:space="preserve"> </v>
      </c>
      <c r="D108" s="443">
        <v>0.55000000000000004</v>
      </c>
      <c r="E108" s="422" t="str">
        <f>VLOOKUP($B108,[1]DG!A:D,[1]DG!$B$2,)</f>
        <v>04.1203c</v>
      </c>
      <c r="F108" s="434" t="str">
        <f>VLOOKUP($B108,[1]DG!A:D,[1]DG!$C$2,)</f>
        <v>Đổ bê tông móng trụ &lt;=250cm-M200 đá 1x2</v>
      </c>
      <c r="G108" s="422" t="str">
        <f>VLOOKUP($B108,[1]DG!A:D,[1]DG!$D$2,)</f>
        <v>m3</v>
      </c>
      <c r="H108" s="436">
        <f>$H$92*D108*0</f>
        <v>0</v>
      </c>
      <c r="I108" s="436"/>
      <c r="J108" s="436"/>
      <c r="K108" s="436"/>
      <c r="L108" s="436"/>
      <c r="M108" s="436"/>
      <c r="N108" s="436"/>
      <c r="O108" s="436"/>
      <c r="P108" s="430">
        <f>H108+Q108-R108</f>
        <v>0</v>
      </c>
      <c r="Q108" s="450"/>
      <c r="R108" s="450"/>
      <c r="S108" s="450"/>
      <c r="T108" s="432">
        <f t="shared" si="12"/>
        <v>0</v>
      </c>
    </row>
    <row r="109" spans="1:20" ht="22.2" hidden="1" customHeight="1">
      <c r="A109" s="423" t="s">
        <v>657</v>
      </c>
      <c r="B109" s="424" t="s">
        <v>657</v>
      </c>
      <c r="C109" s="425" t="str">
        <f t="shared" si="13"/>
        <v xml:space="preserve"> </v>
      </c>
      <c r="D109" s="426"/>
      <c r="E109" s="427"/>
      <c r="F109" s="428" t="s">
        <v>658</v>
      </c>
      <c r="G109" s="349" t="s">
        <v>344</v>
      </c>
      <c r="H109" s="429">
        <f>SUM(I109:O109)</f>
        <v>0</v>
      </c>
      <c r="I109" s="430"/>
      <c r="J109" s="430"/>
      <c r="K109" s="430">
        <f>IFERROR(HLOOKUP(B109,[1]pp3p1m!$1:$3,3,0),0)</f>
        <v>0</v>
      </c>
      <c r="L109" s="430">
        <f>IFERROR(HLOOKUP(chitiet!B109,[1]pp1p!$1:$3,3,0),0)</f>
        <v>0</v>
      </c>
      <c r="M109" s="430"/>
      <c r="N109" s="430"/>
      <c r="O109" s="430"/>
      <c r="P109" s="430"/>
      <c r="Q109" s="431"/>
      <c r="R109" s="431"/>
      <c r="S109" s="431"/>
      <c r="T109" s="432">
        <f>IFERROR(HLOOKUP(B109,[1]pp1p!$1:$3,3,0),0)+IFERROR(HLOOKUP(B109,[1]pp3p1m!$1:$3,3,0),0)</f>
        <v>0</v>
      </c>
    </row>
    <row r="110" spans="1:20" ht="22.2" hidden="1" customHeight="1">
      <c r="A110" s="379"/>
      <c r="B110" s="410" t="s">
        <v>629</v>
      </c>
      <c r="C110" s="411" t="str">
        <f t="shared" si="13"/>
        <v xml:space="preserve"> </v>
      </c>
      <c r="D110" s="446">
        <v>1</v>
      </c>
      <c r="E110" s="422" t="str">
        <f>VLOOKUP($B110,[1]DG!A:D,[1]DG!$B$2,)</f>
        <v>04.3801</v>
      </c>
      <c r="F110" s="441" t="str">
        <f>VLOOKUP($B110,[1]DG!A:D,[1]DG!$C$2,)</f>
        <v>Đà cản BTCT 1,5m</v>
      </c>
      <c r="G110" s="422" t="str">
        <f>VLOOKUP($B110,[1]DG!A:D,[1]DG!$D$2,)</f>
        <v>cái</v>
      </c>
      <c r="H110" s="436">
        <f t="shared" ref="H110:O111" si="16">H$109*$D110</f>
        <v>0</v>
      </c>
      <c r="I110" s="436">
        <f t="shared" si="16"/>
        <v>0</v>
      </c>
      <c r="J110" s="436">
        <f t="shared" si="16"/>
        <v>0</v>
      </c>
      <c r="K110" s="436">
        <f t="shared" si="16"/>
        <v>0</v>
      </c>
      <c r="L110" s="436">
        <f t="shared" si="16"/>
        <v>0</v>
      </c>
      <c r="M110" s="436">
        <f t="shared" si="16"/>
        <v>0</v>
      </c>
      <c r="N110" s="436">
        <f t="shared" si="16"/>
        <v>0</v>
      </c>
      <c r="O110" s="436">
        <f t="shared" si="16"/>
        <v>0</v>
      </c>
      <c r="P110" s="436"/>
      <c r="Q110" s="447"/>
      <c r="R110" s="447"/>
      <c r="S110" s="447"/>
      <c r="T110" s="432">
        <f t="shared" si="12"/>
        <v>0</v>
      </c>
    </row>
    <row r="111" spans="1:20" ht="22.2" hidden="1" customHeight="1">
      <c r="A111" s="379"/>
      <c r="B111" s="410" t="s">
        <v>623</v>
      </c>
      <c r="C111" s="411" t="str">
        <f t="shared" si="13"/>
        <v xml:space="preserve"> </v>
      </c>
      <c r="D111" s="446">
        <v>1</v>
      </c>
      <c r="E111" s="422"/>
      <c r="F111" s="441" t="str">
        <f>VLOOKUP($B111,[1]DG!A:D,[1]DG!$C$2,)</f>
        <v>Boulon 22x550/100+ 2 long đền vuông D24-50x50x3/Zn</v>
      </c>
      <c r="G111" s="422" t="str">
        <f>VLOOKUP($B111,[1]DG!A:D,[1]DG!$D$2,)</f>
        <v>bộ</v>
      </c>
      <c r="H111" s="436">
        <f t="shared" si="16"/>
        <v>0</v>
      </c>
      <c r="I111" s="436">
        <f t="shared" si="16"/>
        <v>0</v>
      </c>
      <c r="J111" s="436">
        <f t="shared" si="16"/>
        <v>0</v>
      </c>
      <c r="K111" s="436">
        <f t="shared" si="16"/>
        <v>0</v>
      </c>
      <c r="L111" s="436">
        <f t="shared" si="16"/>
        <v>0</v>
      </c>
      <c r="M111" s="436">
        <f t="shared" si="16"/>
        <v>0</v>
      </c>
      <c r="N111" s="436">
        <f t="shared" si="16"/>
        <v>0</v>
      </c>
      <c r="O111" s="436">
        <f t="shared" si="16"/>
        <v>0</v>
      </c>
      <c r="P111" s="436"/>
      <c r="Q111" s="447"/>
      <c r="R111" s="447"/>
      <c r="S111" s="447"/>
      <c r="T111" s="432">
        <f t="shared" si="12"/>
        <v>0</v>
      </c>
    </row>
    <row r="112" spans="1:20" ht="22.2" hidden="1" customHeight="1">
      <c r="A112" s="379"/>
      <c r="B112" s="410" t="s">
        <v>75</v>
      </c>
      <c r="C112" s="411" t="str">
        <f t="shared" si="13"/>
        <v xml:space="preserve"> </v>
      </c>
      <c r="D112" s="445">
        <v>1.17</v>
      </c>
      <c r="E112" s="422" t="str">
        <f>VLOOKUP($B112,[1]DG!A:D,[1]DG!$B$2,)</f>
        <v>03.1013</v>
      </c>
      <c r="F112" s="434" t="str">
        <f>VLOOKUP($B112,[1]DG!A:D,[1]DG!$C$2,)</f>
        <v>Đào hố móng đất cấp 3 sâu &gt;1m</v>
      </c>
      <c r="G112" s="422" t="str">
        <f>VLOOKUP($B112,[1]DG!A:D,[1]DG!$D$2,)</f>
        <v>m3</v>
      </c>
      <c r="H112" s="436"/>
      <c r="I112" s="436"/>
      <c r="J112" s="436"/>
      <c r="K112" s="436"/>
      <c r="L112" s="436"/>
      <c r="M112" s="436"/>
      <c r="N112" s="436"/>
      <c r="O112" s="436"/>
      <c r="P112" s="436"/>
      <c r="Q112" s="444"/>
      <c r="R112" s="444"/>
      <c r="S112" s="444"/>
      <c r="T112" s="432">
        <f t="shared" si="12"/>
        <v>0</v>
      </c>
    </row>
    <row r="113" spans="1:20" ht="22.2" hidden="1" customHeight="1">
      <c r="A113" s="379"/>
      <c r="B113" s="410" t="s">
        <v>76</v>
      </c>
      <c r="C113" s="411" t="str">
        <f t="shared" si="13"/>
        <v xml:space="preserve"> </v>
      </c>
      <c r="D113" s="445">
        <v>2.0099999999999998</v>
      </c>
      <c r="E113" s="422" t="str">
        <f>VLOOKUP($B113,[1]DG!A:D,[1]DG!$B$2,)</f>
        <v>03.4113</v>
      </c>
      <c r="F113" s="434" t="str">
        <f>VLOOKUP($B113,[1]DG!A:D,[1]DG!$C$2,)</f>
        <v>Đắp đất hố móng, độ chặt k=0,95</v>
      </c>
      <c r="G113" s="422" t="str">
        <f>VLOOKUP($B113,[1]DG!A:D,[1]DG!$D$2,)</f>
        <v>m3</v>
      </c>
      <c r="H113" s="436"/>
      <c r="I113" s="436"/>
      <c r="J113" s="436"/>
      <c r="K113" s="436"/>
      <c r="L113" s="436"/>
      <c r="M113" s="436"/>
      <c r="N113" s="436"/>
      <c r="O113" s="436"/>
      <c r="P113" s="436"/>
      <c r="Q113" s="444"/>
      <c r="R113" s="444"/>
      <c r="S113" s="444"/>
      <c r="T113" s="432">
        <f t="shared" si="12"/>
        <v>0</v>
      </c>
    </row>
    <row r="114" spans="1:20" ht="22.2" hidden="1" customHeight="1">
      <c r="A114" s="379"/>
      <c r="B114" s="410" t="s">
        <v>624</v>
      </c>
      <c r="C114" s="411" t="str">
        <f t="shared" si="13"/>
        <v xml:space="preserve"> </v>
      </c>
      <c r="D114" s="445">
        <v>0.255</v>
      </c>
      <c r="E114" s="422" t="str">
        <f>VLOOKUP($B114,[1]DG!A:D,[1]DG!$B$2,)</f>
        <v>02.1123</v>
      </c>
      <c r="F114" s="434" t="str">
        <f>VLOOKUP($B114,[1]DG!A:D,[1]DG!$C$2,)</f>
        <v>Bốc dỡ đà cản, đế néo</v>
      </c>
      <c r="G114" s="422" t="str">
        <f>VLOOKUP($B114,[1]DG!A:D,[1]DG!$D$2,)</f>
        <v>tấn</v>
      </c>
      <c r="H114" s="436"/>
      <c r="I114" s="436"/>
      <c r="J114" s="436"/>
      <c r="K114" s="436"/>
      <c r="L114" s="436"/>
      <c r="M114" s="436"/>
      <c r="N114" s="436"/>
      <c r="O114" s="436"/>
      <c r="P114" s="436"/>
      <c r="Q114" s="447"/>
      <c r="R114" s="447"/>
      <c r="S114" s="447"/>
      <c r="T114" s="432">
        <f t="shared" si="12"/>
        <v>0</v>
      </c>
    </row>
    <row r="115" spans="1:20" ht="22.2" hidden="1" customHeight="1">
      <c r="A115" s="379"/>
      <c r="B115" s="438" t="s">
        <v>625</v>
      </c>
      <c r="C115" s="411" t="str">
        <f t="shared" si="13"/>
        <v xml:space="preserve"> </v>
      </c>
      <c r="D115" s="445">
        <f>D114</f>
        <v>0.255</v>
      </c>
      <c r="E115" s="422" t="str">
        <f>VLOOKUP($B115,[1]DG!A:C,2,)</f>
        <v>02.1451</v>
      </c>
      <c r="F115" s="434" t="str">
        <f>VLOOKUP($B115,[1]DG!A:C,3,)</f>
        <v>V/c đà cản vào vị trí (cự ly &lt;=100m)</v>
      </c>
      <c r="G115" s="422" t="str">
        <f>VLOOKUP($B115,[1]DG!A:D,4,0)</f>
        <v>tấn</v>
      </c>
      <c r="H115" s="436"/>
      <c r="I115" s="436"/>
      <c r="J115" s="436"/>
      <c r="K115" s="436"/>
      <c r="L115" s="436"/>
      <c r="M115" s="436"/>
      <c r="N115" s="436"/>
      <c r="O115" s="436"/>
      <c r="P115" s="436"/>
      <c r="Q115" s="444"/>
      <c r="R115" s="444"/>
      <c r="S115" s="444"/>
      <c r="T115" s="432">
        <f t="shared" si="12"/>
        <v>0</v>
      </c>
    </row>
    <row r="116" spans="1:20" ht="22.2" hidden="1" customHeight="1">
      <c r="A116" s="379"/>
      <c r="B116" s="438" t="s">
        <v>620</v>
      </c>
      <c r="C116" s="411" t="str">
        <f t="shared" si="13"/>
        <v xml:space="preserve"> </v>
      </c>
      <c r="D116" s="445">
        <v>0.2</v>
      </c>
      <c r="E116" s="422" t="str">
        <f>VLOOKUP($B116,[1]DG!A:C,2,)</f>
        <v>02.1482</v>
      </c>
      <c r="F116" s="434" t="str">
        <f>VLOOKUP($B116,[1]DG!A:C,3,)</f>
        <v>V/c dụng cụ thi công vào vị trí (cự ly &lt;=100m)</v>
      </c>
      <c r="G116" s="422" t="str">
        <f>VLOOKUP($B116,[1]DG!A:D,4,0)</f>
        <v>tấn</v>
      </c>
      <c r="H116" s="436"/>
      <c r="I116" s="436"/>
      <c r="J116" s="436"/>
      <c r="K116" s="436"/>
      <c r="L116" s="436"/>
      <c r="M116" s="436"/>
      <c r="N116" s="436"/>
      <c r="O116" s="436"/>
      <c r="P116" s="436"/>
      <c r="Q116" s="444"/>
      <c r="R116" s="444"/>
      <c r="S116" s="444"/>
      <c r="T116" s="432">
        <f t="shared" si="12"/>
        <v>0</v>
      </c>
    </row>
    <row r="117" spans="1:20" ht="22.2" hidden="1" customHeight="1">
      <c r="A117" s="423" t="s">
        <v>659</v>
      </c>
      <c r="B117" s="424" t="s">
        <v>659</v>
      </c>
      <c r="C117" s="425" t="str">
        <f t="shared" si="13"/>
        <v xml:space="preserve"> </v>
      </c>
      <c r="D117" s="426"/>
      <c r="E117" s="427"/>
      <c r="F117" s="428" t="s">
        <v>660</v>
      </c>
      <c r="G117" s="349" t="s">
        <v>344</v>
      </c>
      <c r="H117" s="429">
        <f>SUM(I117:O117)</f>
        <v>0</v>
      </c>
      <c r="I117" s="430"/>
      <c r="J117" s="430"/>
      <c r="K117" s="430">
        <f>IFERROR(HLOOKUP(B117,[1]pp3p1m!$1:$3,3,0),0)</f>
        <v>0</v>
      </c>
      <c r="L117" s="430">
        <f>IFERROR(HLOOKUP(chitiet!B117,[1]pp1p!$1:$3,3,0),0)</f>
        <v>0</v>
      </c>
      <c r="M117" s="430"/>
      <c r="N117" s="430"/>
      <c r="O117" s="430"/>
      <c r="P117" s="430"/>
      <c r="Q117" s="431"/>
      <c r="R117" s="431"/>
      <c r="S117" s="431"/>
      <c r="T117" s="432">
        <f>IFERROR(HLOOKUP(B117,[1]pp1p!$1:$3,3,0),0)+IFERROR(HLOOKUP(B117,[1]pp3p1m!$1:$3,3,0),0)</f>
        <v>0</v>
      </c>
    </row>
    <row r="118" spans="1:20" ht="22.2" hidden="1" customHeight="1">
      <c r="A118" s="379"/>
      <c r="B118" s="410" t="s">
        <v>73</v>
      </c>
      <c r="C118" s="411" t="str">
        <f t="shared" si="13"/>
        <v xml:space="preserve"> </v>
      </c>
      <c r="D118" s="446">
        <v>2</v>
      </c>
      <c r="E118" s="422" t="str">
        <f>VLOOKUP($B118,[1]DG!A:D,[1]DG!$B$2,)</f>
        <v>04.4001</v>
      </c>
      <c r="F118" s="441" t="str">
        <f>VLOOKUP($B118,[1]DG!A:D,[1]DG!$C$2,)</f>
        <v>Đà cản BTCT 1,2m</v>
      </c>
      <c r="G118" s="422" t="str">
        <f>VLOOKUP($B118,[1]DG!A:D,[1]DG!$D$2,)</f>
        <v>cái</v>
      </c>
      <c r="H118" s="436">
        <f t="shared" ref="H118:N119" si="17">H$117*$D118</f>
        <v>0</v>
      </c>
      <c r="I118" s="436">
        <f t="shared" si="17"/>
        <v>0</v>
      </c>
      <c r="J118" s="436">
        <f t="shared" si="17"/>
        <v>0</v>
      </c>
      <c r="K118" s="436">
        <f t="shared" si="17"/>
        <v>0</v>
      </c>
      <c r="L118" s="436">
        <f t="shared" si="17"/>
        <v>0</v>
      </c>
      <c r="M118" s="436">
        <f t="shared" si="17"/>
        <v>0</v>
      </c>
      <c r="N118" s="436">
        <f t="shared" si="17"/>
        <v>0</v>
      </c>
      <c r="O118" s="436"/>
      <c r="P118" s="436"/>
      <c r="Q118" s="447"/>
      <c r="R118" s="447"/>
      <c r="S118" s="447"/>
      <c r="T118" s="432">
        <f t="shared" si="12"/>
        <v>0</v>
      </c>
    </row>
    <row r="119" spans="1:20" ht="22.2" hidden="1" customHeight="1">
      <c r="A119" s="379"/>
      <c r="B119" s="410" t="s">
        <v>623</v>
      </c>
      <c r="C119" s="411" t="str">
        <f t="shared" si="13"/>
        <v xml:space="preserve"> </v>
      </c>
      <c r="D119" s="446">
        <v>2</v>
      </c>
      <c r="E119" s="422"/>
      <c r="F119" s="441" t="str">
        <f>VLOOKUP($B119,[1]DG!A:D,[1]DG!$C$2,)</f>
        <v>Boulon 22x550/100+ 2 long đền vuông D24-50x50x3/Zn</v>
      </c>
      <c r="G119" s="422" t="str">
        <f>VLOOKUP($B119,[1]DG!A:D,[1]DG!$D$2,)</f>
        <v>bộ</v>
      </c>
      <c r="H119" s="436">
        <f t="shared" si="17"/>
        <v>0</v>
      </c>
      <c r="I119" s="436">
        <f t="shared" si="17"/>
        <v>0</v>
      </c>
      <c r="J119" s="436">
        <f t="shared" si="17"/>
        <v>0</v>
      </c>
      <c r="K119" s="436">
        <f t="shared" si="17"/>
        <v>0</v>
      </c>
      <c r="L119" s="436">
        <f t="shared" si="17"/>
        <v>0</v>
      </c>
      <c r="M119" s="436">
        <f t="shared" si="17"/>
        <v>0</v>
      </c>
      <c r="N119" s="436">
        <f t="shared" si="17"/>
        <v>0</v>
      </c>
      <c r="O119" s="436"/>
      <c r="P119" s="436"/>
      <c r="Q119" s="447"/>
      <c r="R119" s="447"/>
      <c r="S119" s="447"/>
      <c r="T119" s="432">
        <f t="shared" si="12"/>
        <v>0</v>
      </c>
    </row>
    <row r="120" spans="1:20" ht="22.2" hidden="1" customHeight="1">
      <c r="A120" s="379"/>
      <c r="B120" s="410" t="s">
        <v>75</v>
      </c>
      <c r="C120" s="411" t="str">
        <f t="shared" si="13"/>
        <v xml:space="preserve"> </v>
      </c>
      <c r="D120" s="445">
        <v>3.65</v>
      </c>
      <c r="E120" s="422" t="str">
        <f>VLOOKUP($B120,[1]DG!A:D,[1]DG!$B$2,)</f>
        <v>03.1013</v>
      </c>
      <c r="F120" s="434" t="str">
        <f>VLOOKUP($B120,[1]DG!A:D,[1]DG!$C$2,)</f>
        <v>Đào hố móng đất cấp 3 sâu &gt;1m</v>
      </c>
      <c r="G120" s="422" t="str">
        <f>VLOOKUP($B120,[1]DG!A:D,[1]DG!$D$2,)</f>
        <v>m3</v>
      </c>
      <c r="H120" s="436"/>
      <c r="I120" s="436"/>
      <c r="J120" s="436"/>
      <c r="K120" s="436"/>
      <c r="L120" s="436"/>
      <c r="M120" s="436"/>
      <c r="N120" s="436"/>
      <c r="O120" s="436"/>
      <c r="P120" s="436"/>
      <c r="Q120" s="444"/>
      <c r="R120" s="444"/>
      <c r="S120" s="444"/>
      <c r="T120" s="432">
        <f t="shared" si="12"/>
        <v>0</v>
      </c>
    </row>
    <row r="121" spans="1:20" ht="22.2" hidden="1" customHeight="1">
      <c r="A121" s="379"/>
      <c r="B121" s="410" t="s">
        <v>76</v>
      </c>
      <c r="C121" s="411" t="str">
        <f t="shared" si="13"/>
        <v xml:space="preserve"> </v>
      </c>
      <c r="D121" s="445">
        <v>4.41</v>
      </c>
      <c r="E121" s="422" t="str">
        <f>VLOOKUP($B121,[1]DG!A:D,[1]DG!$B$2,)</f>
        <v>03.4113</v>
      </c>
      <c r="F121" s="434" t="str">
        <f>VLOOKUP($B121,[1]DG!A:D,[1]DG!$C$2,)</f>
        <v>Đắp đất hố móng, độ chặt k=0,95</v>
      </c>
      <c r="G121" s="422" t="str">
        <f>VLOOKUP($B121,[1]DG!A:D,[1]DG!$D$2,)</f>
        <v>m3</v>
      </c>
      <c r="H121" s="436"/>
      <c r="I121" s="436"/>
      <c r="J121" s="436"/>
      <c r="K121" s="436"/>
      <c r="L121" s="436"/>
      <c r="M121" s="436"/>
      <c r="N121" s="436"/>
      <c r="O121" s="436"/>
      <c r="P121" s="436"/>
      <c r="Q121" s="444"/>
      <c r="R121" s="444"/>
      <c r="S121" s="444"/>
      <c r="T121" s="432">
        <f t="shared" si="12"/>
        <v>0</v>
      </c>
    </row>
    <row r="122" spans="1:20" ht="22.2" hidden="1" customHeight="1">
      <c r="A122" s="379"/>
      <c r="B122" s="410" t="s">
        <v>624</v>
      </c>
      <c r="C122" s="411" t="str">
        <f t="shared" si="13"/>
        <v xml:space="preserve"> </v>
      </c>
      <c r="D122" s="445">
        <f>0.1*D118</f>
        <v>0.2</v>
      </c>
      <c r="E122" s="422" t="str">
        <f>VLOOKUP($B122,[1]DG!A:D,[1]DG!$B$2,)</f>
        <v>02.1123</v>
      </c>
      <c r="F122" s="434" t="str">
        <f>VLOOKUP($B122,[1]DG!A:D,[1]DG!$C$2,)</f>
        <v>Bốc dỡ đà cản, đế néo</v>
      </c>
      <c r="G122" s="422" t="str">
        <f>VLOOKUP($B122,[1]DG!A:D,[1]DG!$D$2,)</f>
        <v>tấn</v>
      </c>
      <c r="H122" s="436"/>
      <c r="I122" s="436"/>
      <c r="J122" s="436"/>
      <c r="K122" s="436"/>
      <c r="L122" s="436"/>
      <c r="M122" s="436"/>
      <c r="N122" s="436"/>
      <c r="O122" s="436"/>
      <c r="P122" s="436"/>
      <c r="Q122" s="447"/>
      <c r="R122" s="447"/>
      <c r="S122" s="447"/>
      <c r="T122" s="432">
        <f t="shared" si="12"/>
        <v>0</v>
      </c>
    </row>
    <row r="123" spans="1:20" ht="22.2" hidden="1" customHeight="1">
      <c r="A123" s="379"/>
      <c r="B123" s="438" t="s">
        <v>625</v>
      </c>
      <c r="C123" s="411" t="str">
        <f t="shared" si="13"/>
        <v xml:space="preserve"> </v>
      </c>
      <c r="D123" s="445">
        <f>D122</f>
        <v>0.2</v>
      </c>
      <c r="E123" s="422" t="str">
        <f>VLOOKUP($B123,[1]DG!A:C,2,)</f>
        <v>02.1451</v>
      </c>
      <c r="F123" s="434" t="str">
        <f>VLOOKUP($B123,[1]DG!A:C,3,)</f>
        <v>V/c đà cản vào vị trí (cự ly &lt;=100m)</v>
      </c>
      <c r="G123" s="422" t="str">
        <f>VLOOKUP($B123,[1]DG!A:D,4,0)</f>
        <v>tấn</v>
      </c>
      <c r="H123" s="436"/>
      <c r="I123" s="436"/>
      <c r="J123" s="436"/>
      <c r="K123" s="436"/>
      <c r="L123" s="436"/>
      <c r="M123" s="436"/>
      <c r="N123" s="436"/>
      <c r="O123" s="436"/>
      <c r="P123" s="436"/>
      <c r="Q123" s="444"/>
      <c r="R123" s="444"/>
      <c r="S123" s="444"/>
      <c r="T123" s="432">
        <f t="shared" si="12"/>
        <v>0</v>
      </c>
    </row>
    <row r="124" spans="1:20" ht="22.2" hidden="1" customHeight="1">
      <c r="A124" s="379"/>
      <c r="B124" s="438" t="s">
        <v>620</v>
      </c>
      <c r="C124" s="411" t="str">
        <f t="shared" si="13"/>
        <v xml:space="preserve"> </v>
      </c>
      <c r="D124" s="445">
        <f>D123</f>
        <v>0.2</v>
      </c>
      <c r="E124" s="422" t="str">
        <f>VLOOKUP($B124,[1]DG!A:C,2,)</f>
        <v>02.1482</v>
      </c>
      <c r="F124" s="434" t="str">
        <f>VLOOKUP($B124,[1]DG!A:C,3,)</f>
        <v>V/c dụng cụ thi công vào vị trí (cự ly &lt;=100m)</v>
      </c>
      <c r="G124" s="422" t="str">
        <f>VLOOKUP($B124,[1]DG!A:D,4,0)</f>
        <v>tấn</v>
      </c>
      <c r="H124" s="436"/>
      <c r="I124" s="436"/>
      <c r="J124" s="436"/>
      <c r="K124" s="436"/>
      <c r="L124" s="436"/>
      <c r="M124" s="436"/>
      <c r="N124" s="436"/>
      <c r="O124" s="436"/>
      <c r="P124" s="436"/>
      <c r="Q124" s="444"/>
      <c r="R124" s="444"/>
      <c r="S124" s="444"/>
      <c r="T124" s="432">
        <f t="shared" si="12"/>
        <v>0</v>
      </c>
    </row>
    <row r="125" spans="1:20" ht="22.2" hidden="1" customHeight="1">
      <c r="A125" s="423" t="s">
        <v>661</v>
      </c>
      <c r="B125" s="424" t="s">
        <v>661</v>
      </c>
      <c r="C125" s="425" t="str">
        <f t="shared" si="13"/>
        <v xml:space="preserve"> </v>
      </c>
      <c r="D125" s="426"/>
      <c r="E125" s="427"/>
      <c r="F125" s="428" t="s">
        <v>662</v>
      </c>
      <c r="G125" s="349" t="s">
        <v>344</v>
      </c>
      <c r="H125" s="429">
        <f>SUM(I125:O125)</f>
        <v>0</v>
      </c>
      <c r="I125" s="430"/>
      <c r="J125" s="430"/>
      <c r="K125" s="430">
        <f>IFERROR(HLOOKUP(B125,[1]pp3p1m!$1:$3,3,0),0)</f>
        <v>0</v>
      </c>
      <c r="L125" s="430">
        <f>IFERROR(HLOOKUP(chitiet!B125,[1]pp1p!$1:$3,3,0),0)</f>
        <v>0</v>
      </c>
      <c r="M125" s="430"/>
      <c r="N125" s="430"/>
      <c r="O125" s="430"/>
      <c r="P125" s="430"/>
      <c r="Q125" s="431"/>
      <c r="R125" s="431"/>
      <c r="S125" s="431"/>
      <c r="T125" s="432">
        <f>IFERROR(HLOOKUP(B125,[1]pp1p!$1:$3,3,0),0)+IFERROR(HLOOKUP(B125,[1]pp3p1m!$1:$3,3,0),0)</f>
        <v>0</v>
      </c>
    </row>
    <row r="126" spans="1:20" ht="22.2" hidden="1" customHeight="1">
      <c r="A126" s="379"/>
      <c r="B126" s="410" t="s">
        <v>629</v>
      </c>
      <c r="C126" s="411" t="str">
        <f t="shared" si="13"/>
        <v xml:space="preserve"> </v>
      </c>
      <c r="D126" s="446">
        <v>1</v>
      </c>
      <c r="E126" s="422" t="str">
        <f>VLOOKUP($B126,[1]DG!A:D,[1]DG!$B$2,)</f>
        <v>04.3801</v>
      </c>
      <c r="F126" s="441" t="str">
        <f>VLOOKUP($B126,[1]DG!A:D,[1]DG!$C$2,)</f>
        <v>Đà cản BTCT 1,5m</v>
      </c>
      <c r="G126" s="422" t="str">
        <f>VLOOKUP($B126,[1]DG!A:D,[1]DG!$D$2,)</f>
        <v>cái</v>
      </c>
      <c r="H126" s="436">
        <f t="shared" ref="H126:N128" si="18">H$125*$D126</f>
        <v>0</v>
      </c>
      <c r="I126" s="436">
        <f t="shared" si="18"/>
        <v>0</v>
      </c>
      <c r="J126" s="436">
        <f t="shared" si="18"/>
        <v>0</v>
      </c>
      <c r="K126" s="436">
        <f t="shared" si="18"/>
        <v>0</v>
      </c>
      <c r="L126" s="436">
        <f t="shared" si="18"/>
        <v>0</v>
      </c>
      <c r="M126" s="436">
        <f t="shared" si="18"/>
        <v>0</v>
      </c>
      <c r="N126" s="436">
        <f t="shared" si="18"/>
        <v>0</v>
      </c>
      <c r="O126" s="436"/>
      <c r="P126" s="436"/>
      <c r="Q126" s="447"/>
      <c r="R126" s="447"/>
      <c r="S126" s="447"/>
      <c r="T126" s="432">
        <f t="shared" si="12"/>
        <v>0</v>
      </c>
    </row>
    <row r="127" spans="1:20" ht="22.2" hidden="1" customHeight="1">
      <c r="A127" s="379"/>
      <c r="B127" s="410" t="s">
        <v>73</v>
      </c>
      <c r="C127" s="411" t="str">
        <f t="shared" si="13"/>
        <v xml:space="preserve"> </v>
      </c>
      <c r="D127" s="446">
        <v>1</v>
      </c>
      <c r="E127" s="422" t="str">
        <f>VLOOKUP($B127,[1]DG!A:D,[1]DG!$B$2,)</f>
        <v>04.4001</v>
      </c>
      <c r="F127" s="441" t="str">
        <f>VLOOKUP($B127,[1]DG!A:D,[1]DG!$C$2,)</f>
        <v>Đà cản BTCT 1,2m</v>
      </c>
      <c r="G127" s="422" t="str">
        <f>VLOOKUP($B127,[1]DG!A:D,[1]DG!$D$2,)</f>
        <v>cái</v>
      </c>
      <c r="H127" s="436">
        <f t="shared" si="18"/>
        <v>0</v>
      </c>
      <c r="I127" s="436">
        <f t="shared" si="18"/>
        <v>0</v>
      </c>
      <c r="J127" s="436">
        <f t="shared" si="18"/>
        <v>0</v>
      </c>
      <c r="K127" s="436">
        <f t="shared" si="18"/>
        <v>0</v>
      </c>
      <c r="L127" s="436">
        <f t="shared" si="18"/>
        <v>0</v>
      </c>
      <c r="M127" s="436">
        <f t="shared" si="18"/>
        <v>0</v>
      </c>
      <c r="N127" s="436">
        <f t="shared" si="18"/>
        <v>0</v>
      </c>
      <c r="O127" s="436"/>
      <c r="P127" s="436"/>
      <c r="Q127" s="447"/>
      <c r="R127" s="447"/>
      <c r="S127" s="447"/>
      <c r="T127" s="432">
        <f t="shared" si="12"/>
        <v>0</v>
      </c>
    </row>
    <row r="128" spans="1:20" ht="22.2" hidden="1" customHeight="1">
      <c r="A128" s="379"/>
      <c r="B128" s="410" t="s">
        <v>623</v>
      </c>
      <c r="C128" s="411" t="str">
        <f t="shared" si="13"/>
        <v xml:space="preserve"> </v>
      </c>
      <c r="D128" s="446">
        <v>2</v>
      </c>
      <c r="E128" s="422"/>
      <c r="F128" s="441" t="str">
        <f>VLOOKUP($B128,[1]DG!A:D,[1]DG!$C$2,)</f>
        <v>Boulon 22x550/100+ 2 long đền vuông D24-50x50x3/Zn</v>
      </c>
      <c r="G128" s="422" t="str">
        <f>VLOOKUP($B128,[1]DG!A:D,[1]DG!$D$2,)</f>
        <v>bộ</v>
      </c>
      <c r="H128" s="436">
        <f t="shared" si="18"/>
        <v>0</v>
      </c>
      <c r="I128" s="436">
        <f t="shared" si="18"/>
        <v>0</v>
      </c>
      <c r="J128" s="436">
        <f t="shared" si="18"/>
        <v>0</v>
      </c>
      <c r="K128" s="436">
        <f t="shared" si="18"/>
        <v>0</v>
      </c>
      <c r="L128" s="436">
        <f t="shared" si="18"/>
        <v>0</v>
      </c>
      <c r="M128" s="436">
        <f t="shared" si="18"/>
        <v>0</v>
      </c>
      <c r="N128" s="436">
        <f t="shared" si="18"/>
        <v>0</v>
      </c>
      <c r="O128" s="436"/>
      <c r="P128" s="436"/>
      <c r="Q128" s="447"/>
      <c r="R128" s="447"/>
      <c r="S128" s="447"/>
      <c r="T128" s="432">
        <f t="shared" si="12"/>
        <v>0</v>
      </c>
    </row>
    <row r="129" spans="1:20" ht="22.2" hidden="1" customHeight="1">
      <c r="A129" s="379"/>
      <c r="B129" s="410" t="s">
        <v>75</v>
      </c>
      <c r="C129" s="411" t="str">
        <f t="shared" si="13"/>
        <v xml:space="preserve"> </v>
      </c>
      <c r="D129" s="439">
        <v>3.81</v>
      </c>
      <c r="E129" s="422" t="str">
        <f>VLOOKUP($B129,[1]DG!A:D,[1]DG!$B$2,)</f>
        <v>03.1013</v>
      </c>
      <c r="F129" s="434" t="str">
        <f>VLOOKUP($B129,[1]DG!A:D,[1]DG!$C$2,)</f>
        <v>Đào hố móng đất cấp 3 sâu &gt;1m</v>
      </c>
      <c r="G129" s="422" t="str">
        <f>VLOOKUP($B129,[1]DG!A:D,[1]DG!$D$2,)</f>
        <v>m3</v>
      </c>
      <c r="H129" s="436"/>
      <c r="I129" s="436"/>
      <c r="J129" s="436"/>
      <c r="K129" s="436"/>
      <c r="L129" s="436"/>
      <c r="M129" s="436"/>
      <c r="N129" s="436"/>
      <c r="O129" s="436"/>
      <c r="P129" s="436"/>
      <c r="Q129" s="444"/>
      <c r="R129" s="444"/>
      <c r="S129" s="444"/>
      <c r="T129" s="432">
        <f t="shared" si="12"/>
        <v>0</v>
      </c>
    </row>
    <row r="130" spans="1:20" ht="22.2" hidden="1" customHeight="1">
      <c r="A130" s="379"/>
      <c r="B130" s="410" t="s">
        <v>76</v>
      </c>
      <c r="C130" s="411" t="str">
        <f t="shared" si="13"/>
        <v xml:space="preserve"> </v>
      </c>
      <c r="D130" s="439">
        <v>4.63</v>
      </c>
      <c r="E130" s="422" t="str">
        <f>VLOOKUP($B130,[1]DG!A:D,[1]DG!$B$2,)</f>
        <v>03.4113</v>
      </c>
      <c r="F130" s="434" t="str">
        <f>VLOOKUP($B130,[1]DG!A:D,[1]DG!$C$2,)</f>
        <v>Đắp đất hố móng, độ chặt k=0,95</v>
      </c>
      <c r="G130" s="422" t="str">
        <f>VLOOKUP($B130,[1]DG!A:D,[1]DG!$D$2,)</f>
        <v>m3</v>
      </c>
      <c r="H130" s="436"/>
      <c r="I130" s="436"/>
      <c r="J130" s="436"/>
      <c r="K130" s="436"/>
      <c r="L130" s="436"/>
      <c r="M130" s="436"/>
      <c r="N130" s="436"/>
      <c r="O130" s="436"/>
      <c r="P130" s="436"/>
      <c r="Q130" s="444"/>
      <c r="R130" s="444"/>
      <c r="S130" s="444"/>
      <c r="T130" s="432">
        <f t="shared" si="12"/>
        <v>0</v>
      </c>
    </row>
    <row r="131" spans="1:20" ht="22.2" hidden="1" customHeight="1">
      <c r="A131" s="379"/>
      <c r="B131" s="410" t="s">
        <v>624</v>
      </c>
      <c r="C131" s="411" t="str">
        <f t="shared" si="13"/>
        <v xml:space="preserve"> </v>
      </c>
      <c r="D131" s="445">
        <f>0.1+0.255</f>
        <v>0.35499999999999998</v>
      </c>
      <c r="E131" s="422" t="str">
        <f>VLOOKUP($B131,[1]DG!A:D,[1]DG!$B$2,)</f>
        <v>02.1123</v>
      </c>
      <c r="F131" s="434" t="str">
        <f>VLOOKUP($B131,[1]DG!A:D,[1]DG!$C$2,)</f>
        <v>Bốc dỡ đà cản, đế néo</v>
      </c>
      <c r="G131" s="422" t="str">
        <f>VLOOKUP($B131,[1]DG!A:D,[1]DG!$D$2,)</f>
        <v>tấn</v>
      </c>
      <c r="H131" s="436"/>
      <c r="I131" s="436"/>
      <c r="J131" s="436"/>
      <c r="K131" s="436"/>
      <c r="L131" s="436"/>
      <c r="M131" s="436"/>
      <c r="N131" s="436"/>
      <c r="O131" s="436"/>
      <c r="P131" s="436"/>
      <c r="Q131" s="447"/>
      <c r="R131" s="447"/>
      <c r="S131" s="447"/>
      <c r="T131" s="432">
        <f t="shared" si="12"/>
        <v>0</v>
      </c>
    </row>
    <row r="132" spans="1:20" ht="22.2" hidden="1" customHeight="1">
      <c r="A132" s="379"/>
      <c r="B132" s="438" t="s">
        <v>625</v>
      </c>
      <c r="C132" s="411" t="str">
        <f t="shared" si="13"/>
        <v xml:space="preserve"> </v>
      </c>
      <c r="D132" s="445">
        <f>D131</f>
        <v>0.35499999999999998</v>
      </c>
      <c r="E132" s="422" t="str">
        <f>VLOOKUP($B132,[1]DG!A:C,2,)</f>
        <v>02.1451</v>
      </c>
      <c r="F132" s="434" t="str">
        <f>VLOOKUP($B132,[1]DG!A:C,3,)</f>
        <v>V/c đà cản vào vị trí (cự ly &lt;=100m)</v>
      </c>
      <c r="G132" s="422" t="str">
        <f>VLOOKUP($B132,[1]DG!A:D,4,0)</f>
        <v>tấn</v>
      </c>
      <c r="H132" s="436"/>
      <c r="I132" s="436"/>
      <c r="J132" s="436"/>
      <c r="K132" s="436"/>
      <c r="L132" s="436"/>
      <c r="M132" s="436"/>
      <c r="N132" s="436"/>
      <c r="O132" s="436"/>
      <c r="P132" s="436"/>
      <c r="Q132" s="444"/>
      <c r="R132" s="444"/>
      <c r="S132" s="444"/>
      <c r="T132" s="432">
        <f t="shared" si="12"/>
        <v>0</v>
      </c>
    </row>
    <row r="133" spans="1:20" ht="22.2" hidden="1" customHeight="1">
      <c r="A133" s="379"/>
      <c r="B133" s="438" t="s">
        <v>620</v>
      </c>
      <c r="C133" s="411" t="str">
        <f t="shared" si="13"/>
        <v xml:space="preserve"> </v>
      </c>
      <c r="D133" s="445">
        <v>0.2</v>
      </c>
      <c r="E133" s="422" t="str">
        <f>VLOOKUP($B133,[1]DG!A:C,2,)</f>
        <v>02.1482</v>
      </c>
      <c r="F133" s="434" t="str">
        <f>VLOOKUP($B133,[1]DG!A:C,3,)</f>
        <v>V/c dụng cụ thi công vào vị trí (cự ly &lt;=100m)</v>
      </c>
      <c r="G133" s="422" t="str">
        <f>VLOOKUP($B133,[1]DG!A:D,4,0)</f>
        <v>tấn</v>
      </c>
      <c r="H133" s="436"/>
      <c r="I133" s="436"/>
      <c r="J133" s="436"/>
      <c r="K133" s="436"/>
      <c r="L133" s="436"/>
      <c r="M133" s="436"/>
      <c r="N133" s="436"/>
      <c r="O133" s="436"/>
      <c r="P133" s="436"/>
      <c r="Q133" s="444"/>
      <c r="R133" s="444"/>
      <c r="S133" s="444"/>
      <c r="T133" s="432">
        <f t="shared" si="12"/>
        <v>0</v>
      </c>
    </row>
    <row r="134" spans="1:20" ht="22.2" hidden="1" customHeight="1">
      <c r="A134" s="423" t="s">
        <v>663</v>
      </c>
      <c r="B134" s="424" t="s">
        <v>663</v>
      </c>
      <c r="C134" s="425" t="str">
        <f t="shared" si="13"/>
        <v xml:space="preserve"> </v>
      </c>
      <c r="D134" s="426"/>
      <c r="E134" s="427"/>
      <c r="F134" s="428" t="s">
        <v>664</v>
      </c>
      <c r="G134" s="349" t="s">
        <v>344</v>
      </c>
      <c r="H134" s="429">
        <f>SUM(I134:O134)</f>
        <v>0</v>
      </c>
      <c r="I134" s="430"/>
      <c r="J134" s="430"/>
      <c r="K134" s="430">
        <f>IFERROR(HLOOKUP(B134,[1]pp3p1m!$1:$3,3,0),0)</f>
        <v>0</v>
      </c>
      <c r="L134" s="430">
        <f>IFERROR(HLOOKUP(chitiet!B134,[1]pp1p!$1:$3,3,0),0)</f>
        <v>0</v>
      </c>
      <c r="M134" s="430"/>
      <c r="N134" s="430"/>
      <c r="O134" s="430"/>
      <c r="P134" s="430"/>
      <c r="Q134" s="431"/>
      <c r="R134" s="431"/>
      <c r="S134" s="431"/>
      <c r="T134" s="432">
        <f>IFERROR(HLOOKUP(B134,[1]pp1p!$1:$3,3,0),0)+IFERROR(HLOOKUP(B134,[1]pp3p1m!$1:$3,3,0),0)</f>
        <v>0</v>
      </c>
    </row>
    <row r="135" spans="1:20" ht="22.2" hidden="1" customHeight="1">
      <c r="A135" s="379"/>
      <c r="B135" s="410" t="s">
        <v>629</v>
      </c>
      <c r="C135" s="411" t="str">
        <f t="shared" si="13"/>
        <v xml:space="preserve"> </v>
      </c>
      <c r="D135" s="446">
        <v>2</v>
      </c>
      <c r="E135" s="422" t="str">
        <f>VLOOKUP($B135,[1]DG!A:D,[1]DG!$B$2,)</f>
        <v>04.3801</v>
      </c>
      <c r="F135" s="441" t="str">
        <f>VLOOKUP($B135,[1]DG!A:D,[1]DG!$C$2,)</f>
        <v>Đà cản BTCT 1,5m</v>
      </c>
      <c r="G135" s="422" t="str">
        <f>VLOOKUP($B135,[1]DG!A:D,[1]DG!$D$2,)</f>
        <v>cái</v>
      </c>
      <c r="H135" s="436">
        <f t="shared" ref="H135:N136" si="19">H$134*$D135</f>
        <v>0</v>
      </c>
      <c r="I135" s="436">
        <f t="shared" si="19"/>
        <v>0</v>
      </c>
      <c r="J135" s="436">
        <f t="shared" si="19"/>
        <v>0</v>
      </c>
      <c r="K135" s="436">
        <f t="shared" si="19"/>
        <v>0</v>
      </c>
      <c r="L135" s="436">
        <f t="shared" si="19"/>
        <v>0</v>
      </c>
      <c r="M135" s="436">
        <f t="shared" si="19"/>
        <v>0</v>
      </c>
      <c r="N135" s="436">
        <f t="shared" si="19"/>
        <v>0</v>
      </c>
      <c r="O135" s="436"/>
      <c r="P135" s="436"/>
      <c r="Q135" s="447"/>
      <c r="R135" s="447"/>
      <c r="S135" s="447"/>
      <c r="T135" s="432">
        <f t="shared" si="12"/>
        <v>0</v>
      </c>
    </row>
    <row r="136" spans="1:20" ht="22.2" hidden="1" customHeight="1">
      <c r="A136" s="379"/>
      <c r="B136" s="410" t="s">
        <v>623</v>
      </c>
      <c r="C136" s="411" t="str">
        <f t="shared" si="13"/>
        <v xml:space="preserve"> </v>
      </c>
      <c r="D136" s="446">
        <v>2</v>
      </c>
      <c r="E136" s="422"/>
      <c r="F136" s="441" t="str">
        <f>VLOOKUP($B136,[1]DG!A:D,[1]DG!$C$2,)</f>
        <v>Boulon 22x550/100+ 2 long đền vuông D24-50x50x3/Zn</v>
      </c>
      <c r="G136" s="422" t="str">
        <f>VLOOKUP($B136,[1]DG!A:D,[1]DG!$D$2,)</f>
        <v>bộ</v>
      </c>
      <c r="H136" s="436">
        <f t="shared" si="19"/>
        <v>0</v>
      </c>
      <c r="I136" s="436">
        <f t="shared" si="19"/>
        <v>0</v>
      </c>
      <c r="J136" s="436">
        <f t="shared" si="19"/>
        <v>0</v>
      </c>
      <c r="K136" s="436">
        <f t="shared" si="19"/>
        <v>0</v>
      </c>
      <c r="L136" s="436">
        <f t="shared" si="19"/>
        <v>0</v>
      </c>
      <c r="M136" s="436">
        <f t="shared" si="19"/>
        <v>0</v>
      </c>
      <c r="N136" s="436">
        <f t="shared" si="19"/>
        <v>0</v>
      </c>
      <c r="O136" s="436"/>
      <c r="P136" s="436"/>
      <c r="Q136" s="447"/>
      <c r="R136" s="447"/>
      <c r="S136" s="447"/>
      <c r="T136" s="432">
        <f t="shared" si="12"/>
        <v>0</v>
      </c>
    </row>
    <row r="137" spans="1:20" ht="22.2" hidden="1" customHeight="1">
      <c r="A137" s="379"/>
      <c r="B137" s="410" t="s">
        <v>75</v>
      </c>
      <c r="C137" s="411" t="str">
        <f t="shared" si="13"/>
        <v xml:space="preserve"> </v>
      </c>
      <c r="D137" s="445">
        <v>2.8</v>
      </c>
      <c r="E137" s="422" t="str">
        <f>VLOOKUP($B137,[1]DG!A:D,[1]DG!$B$2,)</f>
        <v>03.1013</v>
      </c>
      <c r="F137" s="434" t="str">
        <f>VLOOKUP($B137,[1]DG!A:D,[1]DG!$C$2,)</f>
        <v>Đào hố móng đất cấp 3 sâu &gt;1m</v>
      </c>
      <c r="G137" s="422" t="str">
        <f>VLOOKUP($B137,[1]DG!A:D,[1]DG!$D$2,)</f>
        <v>m3</v>
      </c>
      <c r="H137" s="436"/>
      <c r="I137" s="436"/>
      <c r="J137" s="436"/>
      <c r="K137" s="436"/>
      <c r="L137" s="436"/>
      <c r="M137" s="436"/>
      <c r="N137" s="436"/>
      <c r="O137" s="436"/>
      <c r="P137" s="436"/>
      <c r="Q137" s="444"/>
      <c r="R137" s="444"/>
      <c r="S137" s="444"/>
      <c r="T137" s="432">
        <f t="shared" si="12"/>
        <v>0</v>
      </c>
    </row>
    <row r="138" spans="1:20" ht="22.2" hidden="1" customHeight="1">
      <c r="A138" s="379"/>
      <c r="B138" s="410" t="s">
        <v>76</v>
      </c>
      <c r="C138" s="411" t="str">
        <f t="shared" si="13"/>
        <v xml:space="preserve"> </v>
      </c>
      <c r="D138" s="445">
        <v>3.25</v>
      </c>
      <c r="E138" s="422" t="str">
        <f>VLOOKUP($B138,[1]DG!A:D,[1]DG!$B$2,)</f>
        <v>03.4113</v>
      </c>
      <c r="F138" s="434" t="str">
        <f>VLOOKUP($B138,[1]DG!A:D,[1]DG!$C$2,)</f>
        <v>Đắp đất hố móng, độ chặt k=0,95</v>
      </c>
      <c r="G138" s="422" t="str">
        <f>VLOOKUP($B138,[1]DG!A:D,[1]DG!$D$2,)</f>
        <v>m3</v>
      </c>
      <c r="H138" s="436"/>
      <c r="I138" s="436"/>
      <c r="J138" s="436"/>
      <c r="K138" s="436"/>
      <c r="L138" s="436"/>
      <c r="M138" s="436"/>
      <c r="N138" s="436"/>
      <c r="O138" s="436"/>
      <c r="P138" s="436"/>
      <c r="Q138" s="444"/>
      <c r="R138" s="444"/>
      <c r="S138" s="444"/>
      <c r="T138" s="432">
        <f t="shared" si="12"/>
        <v>0</v>
      </c>
    </row>
    <row r="139" spans="1:20" ht="22.2" hidden="1" customHeight="1">
      <c r="A139" s="379"/>
      <c r="B139" s="410" t="s">
        <v>624</v>
      </c>
      <c r="C139" s="411" t="str">
        <f t="shared" si="13"/>
        <v xml:space="preserve"> </v>
      </c>
      <c r="D139" s="445">
        <f>0.255*2</f>
        <v>0.51</v>
      </c>
      <c r="E139" s="422" t="str">
        <f>VLOOKUP($B139,[1]DG!A:D,[1]DG!$B$2,)</f>
        <v>02.1123</v>
      </c>
      <c r="F139" s="434" t="str">
        <f>VLOOKUP($B139,[1]DG!A:D,[1]DG!$C$2,)</f>
        <v>Bốc dỡ đà cản, đế néo</v>
      </c>
      <c r="G139" s="422" t="str">
        <f>VLOOKUP($B139,[1]DG!A:D,[1]DG!$D$2,)</f>
        <v>tấn</v>
      </c>
      <c r="H139" s="436"/>
      <c r="I139" s="436"/>
      <c r="J139" s="436"/>
      <c r="K139" s="436"/>
      <c r="L139" s="436"/>
      <c r="M139" s="436"/>
      <c r="N139" s="436"/>
      <c r="O139" s="436"/>
      <c r="P139" s="436"/>
      <c r="Q139" s="447"/>
      <c r="R139" s="447"/>
      <c r="S139" s="447"/>
      <c r="T139" s="432">
        <f t="shared" si="12"/>
        <v>0</v>
      </c>
    </row>
    <row r="140" spans="1:20" ht="22.2" hidden="1" customHeight="1">
      <c r="A140" s="379"/>
      <c r="B140" s="438" t="s">
        <v>625</v>
      </c>
      <c r="C140" s="411" t="str">
        <f t="shared" si="13"/>
        <v xml:space="preserve"> </v>
      </c>
      <c r="D140" s="445">
        <f>D139</f>
        <v>0.51</v>
      </c>
      <c r="E140" s="422" t="str">
        <f>VLOOKUP($B140,[1]DG!A:C,2,)</f>
        <v>02.1451</v>
      </c>
      <c r="F140" s="434" t="str">
        <f>VLOOKUP($B140,[1]DG!A:C,3,)</f>
        <v>V/c đà cản vào vị trí (cự ly &lt;=100m)</v>
      </c>
      <c r="G140" s="422" t="str">
        <f>VLOOKUP($B140,[1]DG!A:D,4,0)</f>
        <v>tấn</v>
      </c>
      <c r="H140" s="436"/>
      <c r="I140" s="436"/>
      <c r="J140" s="436"/>
      <c r="K140" s="436"/>
      <c r="L140" s="436"/>
      <c r="M140" s="436"/>
      <c r="N140" s="436"/>
      <c r="O140" s="436"/>
      <c r="P140" s="436"/>
      <c r="Q140" s="444"/>
      <c r="R140" s="444"/>
      <c r="S140" s="444"/>
      <c r="T140" s="432">
        <f t="shared" si="12"/>
        <v>0</v>
      </c>
    </row>
    <row r="141" spans="1:20" ht="22.2" hidden="1" customHeight="1">
      <c r="A141" s="379"/>
      <c r="B141" s="438" t="s">
        <v>620</v>
      </c>
      <c r="C141" s="411" t="str">
        <f t="shared" si="13"/>
        <v xml:space="preserve"> </v>
      </c>
      <c r="D141" s="445">
        <f>D140</f>
        <v>0.51</v>
      </c>
      <c r="E141" s="422" t="str">
        <f>VLOOKUP($B141,[1]DG!A:C,2,)</f>
        <v>02.1482</v>
      </c>
      <c r="F141" s="434" t="str">
        <f>VLOOKUP($B141,[1]DG!A:C,3,)</f>
        <v>V/c dụng cụ thi công vào vị trí (cự ly &lt;=100m)</v>
      </c>
      <c r="G141" s="422" t="str">
        <f>VLOOKUP($B141,[1]DG!A:D,4,0)</f>
        <v>tấn</v>
      </c>
      <c r="H141" s="436"/>
      <c r="I141" s="436"/>
      <c r="J141" s="436"/>
      <c r="K141" s="436"/>
      <c r="L141" s="436"/>
      <c r="M141" s="436"/>
      <c r="N141" s="436"/>
      <c r="O141" s="436"/>
      <c r="P141" s="436"/>
      <c r="Q141" s="444"/>
      <c r="R141" s="444"/>
      <c r="S141" s="444"/>
      <c r="T141" s="432">
        <f t="shared" si="12"/>
        <v>0</v>
      </c>
    </row>
    <row r="142" spans="1:20" ht="22.2" hidden="1" customHeight="1">
      <c r="A142" s="423" t="s">
        <v>665</v>
      </c>
      <c r="B142" s="424" t="s">
        <v>665</v>
      </c>
      <c r="C142" s="425" t="str">
        <f t="shared" si="13"/>
        <v xml:space="preserve"> </v>
      </c>
      <c r="D142" s="426"/>
      <c r="E142" s="427"/>
      <c r="F142" s="428" t="s">
        <v>666</v>
      </c>
      <c r="G142" s="349" t="s">
        <v>344</v>
      </c>
      <c r="H142" s="429">
        <f>SUM(I142:O142)</f>
        <v>0</v>
      </c>
      <c r="I142" s="430"/>
      <c r="J142" s="430"/>
      <c r="K142" s="430">
        <f>IFERROR(HLOOKUP(B142,[1]pp3p1m!$1:$3,3,0),0)</f>
        <v>0</v>
      </c>
      <c r="L142" s="430">
        <f>IFERROR(HLOOKUP(chitiet!B142,[1]pp1p!$1:$3,3,0),0)</f>
        <v>0</v>
      </c>
      <c r="M142" s="430"/>
      <c r="N142" s="430"/>
      <c r="O142" s="430"/>
      <c r="P142" s="430"/>
      <c r="Q142" s="431"/>
      <c r="R142" s="431"/>
      <c r="S142" s="431"/>
      <c r="T142" s="432">
        <f>IFERROR(HLOOKUP(B142,[1]pp1p!$1:$3,3,0),0)+IFERROR(HLOOKUP(B142,[1]pp3p1m!$1:$3,3,0),0)</f>
        <v>0</v>
      </c>
    </row>
    <row r="143" spans="1:20" ht="22.2" hidden="1" customHeight="1">
      <c r="A143" s="379"/>
      <c r="B143" s="410" t="s">
        <v>73</v>
      </c>
      <c r="C143" s="411" t="str">
        <f t="shared" ref="C143:C206" si="20">IF(OR(P143&lt;&gt;0,H143&lt;&gt;0),"x"," ")</f>
        <v xml:space="preserve"> </v>
      </c>
      <c r="D143" s="446">
        <v>2</v>
      </c>
      <c r="E143" s="422" t="str">
        <f>VLOOKUP($B143,[1]DG!A:D,[1]DG!$B$2,)</f>
        <v>04.4001</v>
      </c>
      <c r="F143" s="441" t="str">
        <f>VLOOKUP($B143,[1]DG!A:D,[1]DG!$C$2,)</f>
        <v>Đà cản BTCT 1,2m</v>
      </c>
      <c r="G143" s="422" t="str">
        <f>VLOOKUP($B143,[1]DG!A:D,[1]DG!$D$2,)</f>
        <v>cái</v>
      </c>
      <c r="H143" s="436">
        <f t="shared" ref="H143:N144" si="21">H$142*$D143</f>
        <v>0</v>
      </c>
      <c r="I143" s="436">
        <f t="shared" si="21"/>
        <v>0</v>
      </c>
      <c r="J143" s="436">
        <f t="shared" si="21"/>
        <v>0</v>
      </c>
      <c r="K143" s="436">
        <f t="shared" si="21"/>
        <v>0</v>
      </c>
      <c r="L143" s="436">
        <f t="shared" si="21"/>
        <v>0</v>
      </c>
      <c r="M143" s="436">
        <f t="shared" si="21"/>
        <v>0</v>
      </c>
      <c r="N143" s="436">
        <f t="shared" si="21"/>
        <v>0</v>
      </c>
      <c r="O143" s="436"/>
      <c r="P143" s="436"/>
      <c r="Q143" s="447"/>
      <c r="R143" s="447"/>
      <c r="S143" s="447"/>
      <c r="T143" s="432">
        <f t="shared" ref="T143:T204" si="22">IFERROR(HLOOKUP(B143,BangKeTru,3,0),0)</f>
        <v>0</v>
      </c>
    </row>
    <row r="144" spans="1:20" ht="22.2" hidden="1" customHeight="1">
      <c r="A144" s="379"/>
      <c r="B144" s="410" t="s">
        <v>637</v>
      </c>
      <c r="C144" s="411" t="str">
        <f t="shared" si="20"/>
        <v xml:space="preserve"> </v>
      </c>
      <c r="D144" s="446">
        <v>1</v>
      </c>
      <c r="E144" s="422"/>
      <c r="F144" s="441" t="str">
        <f>VLOOKUP($B144,[1]DG!A:D,[1]DG!$C$2,)</f>
        <v>Boulon 22x750+ 2 long đền vuông D24-50x50x3/Zn</v>
      </c>
      <c r="G144" s="422" t="str">
        <f>VLOOKUP($B144,[1]DG!A:D,[1]DG!$D$2,)</f>
        <v>bộ</v>
      </c>
      <c r="H144" s="436">
        <f t="shared" si="21"/>
        <v>0</v>
      </c>
      <c r="I144" s="436">
        <f t="shared" si="21"/>
        <v>0</v>
      </c>
      <c r="J144" s="436">
        <f t="shared" si="21"/>
        <v>0</v>
      </c>
      <c r="K144" s="436">
        <f t="shared" si="21"/>
        <v>0</v>
      </c>
      <c r="L144" s="436">
        <f t="shared" si="21"/>
        <v>0</v>
      </c>
      <c r="M144" s="436">
        <f t="shared" si="21"/>
        <v>0</v>
      </c>
      <c r="N144" s="436">
        <f t="shared" si="21"/>
        <v>0</v>
      </c>
      <c r="O144" s="436"/>
      <c r="P144" s="436"/>
      <c r="Q144" s="447"/>
      <c r="R144" s="447"/>
      <c r="S144" s="447"/>
      <c r="T144" s="432">
        <f t="shared" si="22"/>
        <v>0</v>
      </c>
    </row>
    <row r="145" spans="1:20" ht="22.2" hidden="1" customHeight="1">
      <c r="A145" s="379"/>
      <c r="B145" s="410" t="s">
        <v>630</v>
      </c>
      <c r="C145" s="411" t="str">
        <f t="shared" si="20"/>
        <v xml:space="preserve"> </v>
      </c>
      <c r="D145" s="433">
        <v>0.155</v>
      </c>
      <c r="E145" s="422">
        <f>VLOOKUP($B145,[1]DG!A:D,[1]DG!$B$2,)</f>
        <v>0</v>
      </c>
      <c r="F145" s="434" t="str">
        <f>VLOOKUP($B145,[1]DG!A:D,[1]DG!$C$2,)</f>
        <v>Đá 2x4</v>
      </c>
      <c r="G145" s="422" t="str">
        <f>VLOOKUP($B145,[1]DG!A:D,[1]DG!$D$2,)</f>
        <v>m3</v>
      </c>
      <c r="H145" s="435">
        <f t="shared" ref="H145:N145" si="23">H$18*$D145</f>
        <v>0</v>
      </c>
      <c r="I145" s="435">
        <f t="shared" si="23"/>
        <v>0</v>
      </c>
      <c r="J145" s="435">
        <f t="shared" si="23"/>
        <v>0</v>
      </c>
      <c r="K145" s="435">
        <f t="shared" si="23"/>
        <v>0</v>
      </c>
      <c r="L145" s="435">
        <f t="shared" si="23"/>
        <v>0</v>
      </c>
      <c r="M145" s="435">
        <f t="shared" si="23"/>
        <v>0</v>
      </c>
      <c r="N145" s="435">
        <f t="shared" si="23"/>
        <v>0</v>
      </c>
      <c r="O145" s="435"/>
      <c r="P145" s="435"/>
      <c r="Q145" s="442"/>
      <c r="R145" s="442"/>
      <c r="S145" s="442"/>
      <c r="T145" s="432">
        <f t="shared" si="22"/>
        <v>0</v>
      </c>
    </row>
    <row r="146" spans="1:20" ht="22.2" hidden="1" customHeight="1">
      <c r="A146" s="379"/>
      <c r="B146" s="410" t="s">
        <v>75</v>
      </c>
      <c r="C146" s="411" t="str">
        <f t="shared" si="20"/>
        <v xml:space="preserve"> </v>
      </c>
      <c r="D146" s="445">
        <v>2.8</v>
      </c>
      <c r="E146" s="422" t="str">
        <f>VLOOKUP($B146,[1]DG!A:D,[1]DG!$B$2,)</f>
        <v>03.1013</v>
      </c>
      <c r="F146" s="434" t="str">
        <f>VLOOKUP($B146,[1]DG!A:D,[1]DG!$C$2,)</f>
        <v>Đào hố móng đất cấp 3 sâu &gt;1m</v>
      </c>
      <c r="G146" s="422" t="str">
        <f>VLOOKUP($B146,[1]DG!A:D,[1]DG!$D$2,)</f>
        <v>m3</v>
      </c>
      <c r="H146" s="436"/>
      <c r="I146" s="436"/>
      <c r="J146" s="436"/>
      <c r="K146" s="436"/>
      <c r="L146" s="436"/>
      <c r="M146" s="436"/>
      <c r="N146" s="436"/>
      <c r="O146" s="436"/>
      <c r="P146" s="436"/>
      <c r="Q146" s="444"/>
      <c r="R146" s="444"/>
      <c r="S146" s="444"/>
      <c r="T146" s="432">
        <f t="shared" si="22"/>
        <v>0</v>
      </c>
    </row>
    <row r="147" spans="1:20" ht="22.2" hidden="1" customHeight="1">
      <c r="A147" s="379"/>
      <c r="B147" s="410" t="s">
        <v>76</v>
      </c>
      <c r="C147" s="411" t="str">
        <f t="shared" si="20"/>
        <v xml:space="preserve"> </v>
      </c>
      <c r="D147" s="445">
        <v>3.25</v>
      </c>
      <c r="E147" s="422" t="str">
        <f>VLOOKUP($B147,[1]DG!A:D,[1]DG!$B$2,)</f>
        <v>03.4113</v>
      </c>
      <c r="F147" s="434" t="str">
        <f>VLOOKUP($B147,[1]DG!A:D,[1]DG!$C$2,)</f>
        <v>Đắp đất hố móng, độ chặt k=0,95</v>
      </c>
      <c r="G147" s="422" t="str">
        <f>VLOOKUP($B147,[1]DG!A:D,[1]DG!$D$2,)</f>
        <v>m3</v>
      </c>
      <c r="H147" s="436"/>
      <c r="I147" s="436"/>
      <c r="J147" s="436"/>
      <c r="K147" s="436"/>
      <c r="L147" s="436"/>
      <c r="M147" s="436"/>
      <c r="N147" s="436"/>
      <c r="O147" s="436"/>
      <c r="P147" s="436"/>
      <c r="Q147" s="444"/>
      <c r="R147" s="444"/>
      <c r="S147" s="444"/>
      <c r="T147" s="432">
        <f t="shared" si="22"/>
        <v>0</v>
      </c>
    </row>
    <row r="148" spans="1:20" ht="22.2" hidden="1" customHeight="1">
      <c r="A148" s="379"/>
      <c r="B148" s="410" t="s">
        <v>624</v>
      </c>
      <c r="C148" s="411" t="str">
        <f t="shared" si="20"/>
        <v xml:space="preserve"> </v>
      </c>
      <c r="D148" s="445">
        <f>0.1*D143</f>
        <v>0.2</v>
      </c>
      <c r="E148" s="422" t="str">
        <f>VLOOKUP($B148,[1]DG!A:D,[1]DG!$B$2,)</f>
        <v>02.1123</v>
      </c>
      <c r="F148" s="434" t="str">
        <f>VLOOKUP($B148,[1]DG!A:D,[1]DG!$C$2,)</f>
        <v>Bốc dỡ đà cản, đế néo</v>
      </c>
      <c r="G148" s="422" t="str">
        <f>VLOOKUP($B148,[1]DG!A:D,[1]DG!$D$2,)</f>
        <v>tấn</v>
      </c>
      <c r="H148" s="436"/>
      <c r="I148" s="436"/>
      <c r="J148" s="436"/>
      <c r="K148" s="436"/>
      <c r="L148" s="436"/>
      <c r="M148" s="436"/>
      <c r="N148" s="436"/>
      <c r="O148" s="436"/>
      <c r="P148" s="436"/>
      <c r="Q148" s="447"/>
      <c r="R148" s="447"/>
      <c r="S148" s="447"/>
      <c r="T148" s="432">
        <f t="shared" si="22"/>
        <v>0</v>
      </c>
    </row>
    <row r="149" spans="1:20" ht="22.2" hidden="1" customHeight="1">
      <c r="A149" s="379"/>
      <c r="B149" s="438" t="s">
        <v>625</v>
      </c>
      <c r="C149" s="411" t="str">
        <f t="shared" si="20"/>
        <v xml:space="preserve"> </v>
      </c>
      <c r="D149" s="445">
        <f>D148</f>
        <v>0.2</v>
      </c>
      <c r="E149" s="422" t="str">
        <f>VLOOKUP($B149,[1]DG!A:C,2,)</f>
        <v>02.1451</v>
      </c>
      <c r="F149" s="434" t="str">
        <f>VLOOKUP($B149,[1]DG!A:C,3,)</f>
        <v>V/c đà cản vào vị trí (cự ly &lt;=100m)</v>
      </c>
      <c r="G149" s="422" t="str">
        <f>VLOOKUP($B149,[1]DG!A:D,4,0)</f>
        <v>tấn</v>
      </c>
      <c r="H149" s="436"/>
      <c r="I149" s="436"/>
      <c r="J149" s="436"/>
      <c r="K149" s="436"/>
      <c r="L149" s="436"/>
      <c r="M149" s="436"/>
      <c r="N149" s="436"/>
      <c r="O149" s="436"/>
      <c r="P149" s="436"/>
      <c r="Q149" s="444"/>
      <c r="R149" s="444"/>
      <c r="S149" s="444"/>
      <c r="T149" s="432">
        <f t="shared" si="22"/>
        <v>0</v>
      </c>
    </row>
    <row r="150" spans="1:20" ht="22.2" hidden="1" customHeight="1">
      <c r="A150" s="379"/>
      <c r="B150" s="438" t="s">
        <v>626</v>
      </c>
      <c r="C150" s="411" t="str">
        <f t="shared" si="20"/>
        <v xml:space="preserve"> </v>
      </c>
      <c r="D150" s="433">
        <f>D145</f>
        <v>0.155</v>
      </c>
      <c r="E150" s="422" t="str">
        <f>VLOOKUP($B150,[1]DG!A:C,2,)</f>
        <v>02.1241</v>
      </c>
      <c r="F150" s="434" t="str">
        <f>VLOOKUP($B150,[1]DG!A:C,3,)</f>
        <v>V/c đá dăm ( cự ly &lt;=100m)</v>
      </c>
      <c r="G150" s="422" t="str">
        <f>VLOOKUP($B150,[1]DG!A:D,4,0)</f>
        <v>m3</v>
      </c>
      <c r="H150" s="435"/>
      <c r="I150" s="435"/>
      <c r="J150" s="435"/>
      <c r="K150" s="435"/>
      <c r="L150" s="435"/>
      <c r="M150" s="435"/>
      <c r="N150" s="435"/>
      <c r="O150" s="435"/>
      <c r="P150" s="435"/>
      <c r="Q150" s="437"/>
      <c r="R150" s="437"/>
      <c r="S150" s="437"/>
      <c r="T150" s="432">
        <f t="shared" si="22"/>
        <v>0</v>
      </c>
    </row>
    <row r="151" spans="1:20" ht="22.2" hidden="1" customHeight="1">
      <c r="A151" s="379"/>
      <c r="B151" s="438" t="s">
        <v>620</v>
      </c>
      <c r="C151" s="411" t="str">
        <f t="shared" si="20"/>
        <v xml:space="preserve"> </v>
      </c>
      <c r="D151" s="445">
        <f>D149</f>
        <v>0.2</v>
      </c>
      <c r="E151" s="422" t="str">
        <f>VLOOKUP($B151,[1]DG!A:C,2,)</f>
        <v>02.1482</v>
      </c>
      <c r="F151" s="434" t="str">
        <f>VLOOKUP($B151,[1]DG!A:C,3,)</f>
        <v>V/c dụng cụ thi công vào vị trí (cự ly &lt;=100m)</v>
      </c>
      <c r="G151" s="422" t="str">
        <f>VLOOKUP($B151,[1]DG!A:D,4,0)</f>
        <v>tấn</v>
      </c>
      <c r="H151" s="436"/>
      <c r="I151" s="436"/>
      <c r="J151" s="436"/>
      <c r="K151" s="436"/>
      <c r="L151" s="436"/>
      <c r="M151" s="436"/>
      <c r="N151" s="436"/>
      <c r="O151" s="436"/>
      <c r="P151" s="436"/>
      <c r="Q151" s="444"/>
      <c r="R151" s="444"/>
      <c r="S151" s="444"/>
      <c r="T151" s="432">
        <f t="shared" si="22"/>
        <v>0</v>
      </c>
    </row>
    <row r="152" spans="1:20" ht="22.2" hidden="1" customHeight="1">
      <c r="A152" s="423" t="s">
        <v>667</v>
      </c>
      <c r="B152" s="424" t="s">
        <v>667</v>
      </c>
      <c r="C152" s="425" t="str">
        <f t="shared" si="20"/>
        <v xml:space="preserve"> </v>
      </c>
      <c r="D152" s="426"/>
      <c r="E152" s="427"/>
      <c r="F152" s="428" t="s">
        <v>668</v>
      </c>
      <c r="G152" s="349" t="s">
        <v>344</v>
      </c>
      <c r="H152" s="429">
        <f>SUM(I152:O152)</f>
        <v>0</v>
      </c>
      <c r="I152" s="430"/>
      <c r="J152" s="430"/>
      <c r="K152" s="430">
        <f>IFERROR(HLOOKUP(B152,[1]pp3p1m!$1:$3,3,0),0)</f>
        <v>0</v>
      </c>
      <c r="L152" s="430">
        <f>IFERROR(HLOOKUP(chitiet!B152,[1]pp1p!$1:$3,3,0),0)</f>
        <v>0</v>
      </c>
      <c r="M152" s="430"/>
      <c r="N152" s="430"/>
      <c r="O152" s="430"/>
      <c r="P152" s="430"/>
      <c r="Q152" s="431"/>
      <c r="R152" s="431"/>
      <c r="S152" s="431"/>
      <c r="T152" s="432">
        <f>IFERROR(HLOOKUP(B152,[1]pp1p!$1:$3,3,0),0)+IFERROR(HLOOKUP(B152,[1]pp3p1m!$1:$3,3,0),0)</f>
        <v>0</v>
      </c>
    </row>
    <row r="153" spans="1:20" ht="22.2" hidden="1" customHeight="1">
      <c r="A153" s="379"/>
      <c r="B153" s="410" t="s">
        <v>75</v>
      </c>
      <c r="C153" s="411" t="str">
        <f t="shared" si="20"/>
        <v xml:space="preserve"> </v>
      </c>
      <c r="D153" s="443">
        <v>0.20100000000000001</v>
      </c>
      <c r="E153" s="422"/>
      <c r="F153" s="434" t="str">
        <f>VLOOKUP($B153,[1]DG!A:D,[1]DG!$C$2,)</f>
        <v>Đào hố móng đất cấp 3 sâu &gt;1m</v>
      </c>
      <c r="G153" s="422" t="str">
        <f>VLOOKUP($B153,[1]DG!A:D,[1]DG!$D$2,)</f>
        <v>m3</v>
      </c>
      <c r="H153" s="436">
        <f>$H$152*$D153</f>
        <v>0</v>
      </c>
      <c r="I153" s="436">
        <f t="shared" ref="I153:O153" si="24">I$244*$D153</f>
        <v>0</v>
      </c>
      <c r="J153" s="436">
        <f t="shared" si="24"/>
        <v>0</v>
      </c>
      <c r="K153" s="436">
        <f t="shared" si="24"/>
        <v>3.0150000000000001</v>
      </c>
      <c r="L153" s="436">
        <f t="shared" si="24"/>
        <v>0</v>
      </c>
      <c r="M153" s="436">
        <f t="shared" si="24"/>
        <v>0</v>
      </c>
      <c r="N153" s="436">
        <f t="shared" si="24"/>
        <v>0</v>
      </c>
      <c r="O153" s="436">
        <f t="shared" si="24"/>
        <v>0</v>
      </c>
      <c r="P153" s="436"/>
      <c r="Q153" s="447"/>
      <c r="R153" s="447"/>
      <c r="S153" s="447"/>
      <c r="T153" s="432">
        <f t="shared" si="22"/>
        <v>0</v>
      </c>
    </row>
    <row r="154" spans="1:20" ht="22.2" hidden="1" customHeight="1">
      <c r="A154" s="379"/>
      <c r="B154" s="410" t="s">
        <v>76</v>
      </c>
      <c r="C154" s="411" t="str">
        <f t="shared" si="20"/>
        <v xml:space="preserve"> </v>
      </c>
      <c r="D154" s="433">
        <v>0.182</v>
      </c>
      <c r="E154" s="422" t="str">
        <f>VLOOKUP($B154,[1]DG!A:D,[1]DG!$B$2,)</f>
        <v>03.4113</v>
      </c>
      <c r="F154" s="434" t="str">
        <f>VLOOKUP($B154,[1]DG!A:D,[1]DG!$C$2,)</f>
        <v>Đắp đất hố móng, độ chặt k=0,95</v>
      </c>
      <c r="G154" s="422" t="str">
        <f>VLOOKUP($B154,[1]DG!A:D,[1]DG!$D$2,)</f>
        <v>m3</v>
      </c>
      <c r="H154" s="436">
        <f>$H$152*$D154</f>
        <v>0</v>
      </c>
      <c r="I154" s="435">
        <f t="shared" ref="I154:O154" si="25">I$18*$D154</f>
        <v>0</v>
      </c>
      <c r="J154" s="435">
        <f t="shared" si="25"/>
        <v>0</v>
      </c>
      <c r="K154" s="435">
        <f t="shared" si="25"/>
        <v>0</v>
      </c>
      <c r="L154" s="435">
        <f t="shared" si="25"/>
        <v>0</v>
      </c>
      <c r="M154" s="435">
        <f t="shared" si="25"/>
        <v>0</v>
      </c>
      <c r="N154" s="435">
        <f t="shared" si="25"/>
        <v>0</v>
      </c>
      <c r="O154" s="435">
        <f t="shared" si="25"/>
        <v>0</v>
      </c>
      <c r="P154" s="435"/>
      <c r="Q154" s="442"/>
      <c r="R154" s="442"/>
      <c r="S154" s="442"/>
      <c r="T154" s="432">
        <f t="shared" si="22"/>
        <v>0</v>
      </c>
    </row>
    <row r="155" spans="1:20" ht="22.2" hidden="1" customHeight="1">
      <c r="A155" s="379"/>
      <c r="B155" s="438" t="s">
        <v>620</v>
      </c>
      <c r="C155" s="411" t="str">
        <f t="shared" si="20"/>
        <v xml:space="preserve"> </v>
      </c>
      <c r="D155" s="443"/>
      <c r="E155" s="422" t="str">
        <f>VLOOKUP($B155,[1]DG!A:C,2,)</f>
        <v>02.1482</v>
      </c>
      <c r="F155" s="434" t="str">
        <f>VLOOKUP($B155,[1]DG!A:C,3,)</f>
        <v>V/c dụng cụ thi công vào vị trí (cự ly &lt;=100m)</v>
      </c>
      <c r="G155" s="422" t="str">
        <f>VLOOKUP($B155,[1]DG!A:D,4,0)</f>
        <v>tấn</v>
      </c>
      <c r="H155" s="436"/>
      <c r="I155" s="436"/>
      <c r="J155" s="436"/>
      <c r="K155" s="436"/>
      <c r="L155" s="436"/>
      <c r="M155" s="436"/>
      <c r="N155" s="436"/>
      <c r="O155" s="436"/>
      <c r="P155" s="436"/>
      <c r="Q155" s="444"/>
      <c r="R155" s="444"/>
      <c r="S155" s="444"/>
      <c r="T155" s="432">
        <f t="shared" si="22"/>
        <v>0</v>
      </c>
    </row>
    <row r="156" spans="1:20" ht="22.2" hidden="1" customHeight="1">
      <c r="A156" s="423" t="s">
        <v>669</v>
      </c>
      <c r="B156" s="424" t="s">
        <v>669</v>
      </c>
      <c r="C156" s="425" t="str">
        <f t="shared" si="20"/>
        <v xml:space="preserve"> </v>
      </c>
      <c r="D156" s="426"/>
      <c r="E156" s="427"/>
      <c r="F156" s="428" t="s">
        <v>670</v>
      </c>
      <c r="G156" s="349" t="s">
        <v>344</v>
      </c>
      <c r="H156" s="429">
        <f>SUM(I156:O156)</f>
        <v>0</v>
      </c>
      <c r="I156" s="430"/>
      <c r="J156" s="430"/>
      <c r="K156" s="430">
        <f>IFERROR(HLOOKUP(B156,[1]pp3p1m!$1:$3,3,0),0)</f>
        <v>0</v>
      </c>
      <c r="L156" s="430">
        <f>IFERROR(HLOOKUP(chitiet!B156,[1]pp1p!$1:$3,3,0),0)</f>
        <v>0</v>
      </c>
      <c r="M156" s="430"/>
      <c r="N156" s="430"/>
      <c r="O156" s="430"/>
      <c r="P156" s="430"/>
      <c r="Q156" s="431"/>
      <c r="R156" s="431"/>
      <c r="S156" s="431"/>
      <c r="T156" s="432">
        <f>IFERROR(HLOOKUP(B156,[1]pp1p!$1:$3,3,0),0)+IFERROR(HLOOKUP(B156,[1]pp3p1m!$1:$3,3,0),0)</f>
        <v>0</v>
      </c>
    </row>
    <row r="157" spans="1:20" ht="22.2" hidden="1" customHeight="1">
      <c r="A157" s="379"/>
      <c r="B157" s="410" t="s">
        <v>73</v>
      </c>
      <c r="C157" s="411" t="str">
        <f t="shared" si="20"/>
        <v xml:space="preserve"> </v>
      </c>
      <c r="D157" s="440">
        <v>1</v>
      </c>
      <c r="E157" s="422" t="str">
        <f>VLOOKUP($B157,[1]DG!A:D,[1]DG!$B$2,)</f>
        <v>04.4001</v>
      </c>
      <c r="F157" s="441" t="str">
        <f>VLOOKUP($B157,[1]DG!A:D,[1]DG!$C$2,)</f>
        <v>Đà cản BTCT 1,2m</v>
      </c>
      <c r="G157" s="422" t="str">
        <f>VLOOKUP($B157,[1]DG!A:D,[1]DG!$D$2,)</f>
        <v>cái</v>
      </c>
      <c r="H157" s="435">
        <f t="shared" ref="H157:O158" si="26">H156*$D157</f>
        <v>0</v>
      </c>
      <c r="I157" s="435">
        <f t="shared" si="26"/>
        <v>0</v>
      </c>
      <c r="J157" s="435">
        <f t="shared" si="26"/>
        <v>0</v>
      </c>
      <c r="K157" s="435">
        <f t="shared" si="26"/>
        <v>0</v>
      </c>
      <c r="L157" s="435">
        <f t="shared" si="26"/>
        <v>0</v>
      </c>
      <c r="M157" s="435">
        <f t="shared" si="26"/>
        <v>0</v>
      </c>
      <c r="N157" s="435">
        <f t="shared" si="26"/>
        <v>0</v>
      </c>
      <c r="O157" s="435">
        <f t="shared" si="26"/>
        <v>0</v>
      </c>
      <c r="P157" s="435"/>
      <c r="Q157" s="442"/>
      <c r="R157" s="442"/>
      <c r="S157" s="442"/>
      <c r="T157" s="432">
        <f t="shared" si="22"/>
        <v>0</v>
      </c>
    </row>
    <row r="158" spans="1:20" ht="22.2" hidden="1" customHeight="1">
      <c r="A158" s="379"/>
      <c r="B158" s="410" t="s">
        <v>74</v>
      </c>
      <c r="C158" s="411" t="str">
        <f t="shared" si="20"/>
        <v xml:space="preserve"> </v>
      </c>
      <c r="D158" s="440">
        <v>1</v>
      </c>
      <c r="E158" s="422"/>
      <c r="F158" s="441" t="str">
        <f>VLOOKUP($B158,[1]DG!A:D,[1]DG!$C$2,)</f>
        <v>Boulon 22x650+ 2 long đền vuông D24-50x50x3/Zn</v>
      </c>
      <c r="G158" s="422" t="str">
        <f>VLOOKUP($B158,[1]DG!A:D,[1]DG!$D$2,)</f>
        <v>bộ</v>
      </c>
      <c r="H158" s="435">
        <f t="shared" si="26"/>
        <v>0</v>
      </c>
      <c r="I158" s="435">
        <f t="shared" si="26"/>
        <v>0</v>
      </c>
      <c r="J158" s="435">
        <f t="shared" si="26"/>
        <v>0</v>
      </c>
      <c r="K158" s="435">
        <f t="shared" si="26"/>
        <v>0</v>
      </c>
      <c r="L158" s="435">
        <f t="shared" si="26"/>
        <v>0</v>
      </c>
      <c r="M158" s="435">
        <f t="shared" si="26"/>
        <v>0</v>
      </c>
      <c r="N158" s="435">
        <f t="shared" si="26"/>
        <v>0</v>
      </c>
      <c r="O158" s="435">
        <f t="shared" si="26"/>
        <v>0</v>
      </c>
      <c r="P158" s="435"/>
      <c r="Q158" s="442"/>
      <c r="R158" s="442"/>
      <c r="S158" s="442"/>
      <c r="T158" s="432">
        <f t="shared" si="22"/>
        <v>0</v>
      </c>
    </row>
    <row r="159" spans="1:20" ht="22.2" hidden="1" customHeight="1">
      <c r="A159" s="379"/>
      <c r="B159" s="410" t="s">
        <v>75</v>
      </c>
      <c r="C159" s="411" t="str">
        <f t="shared" si="20"/>
        <v xml:space="preserve"> </v>
      </c>
      <c r="D159" s="439">
        <v>0.78</v>
      </c>
      <c r="E159" s="422" t="str">
        <f>VLOOKUP($B159,[1]DG!A:D,[1]DG!$B$2,)</f>
        <v>03.1013</v>
      </c>
      <c r="F159" s="434" t="str">
        <f>VLOOKUP($B159,[1]DG!A:D,[1]DG!$C$2,)</f>
        <v>Đào hố móng đất cấp 3 sâu &gt;1m</v>
      </c>
      <c r="G159" s="422" t="str">
        <f>VLOOKUP($B159,[1]DG!A:D,[1]DG!$D$2,)</f>
        <v>m3</v>
      </c>
      <c r="H159" s="435"/>
      <c r="I159" s="435"/>
      <c r="J159" s="435"/>
      <c r="K159" s="435"/>
      <c r="L159" s="435"/>
      <c r="M159" s="435"/>
      <c r="N159" s="435"/>
      <c r="O159" s="435"/>
      <c r="P159" s="435"/>
      <c r="Q159" s="437"/>
      <c r="R159" s="437"/>
      <c r="S159" s="437"/>
      <c r="T159" s="432">
        <f t="shared" si="22"/>
        <v>0</v>
      </c>
    </row>
    <row r="160" spans="1:20" ht="22.2" hidden="1" customHeight="1">
      <c r="A160" s="379"/>
      <c r="B160" s="410" t="s">
        <v>76</v>
      </c>
      <c r="C160" s="411" t="str">
        <f t="shared" si="20"/>
        <v xml:space="preserve"> </v>
      </c>
      <c r="D160" s="439">
        <f>+D159</f>
        <v>0.78</v>
      </c>
      <c r="E160" s="422" t="str">
        <f>VLOOKUP($B160,[1]DG!A:D,[1]DG!$B$2,)</f>
        <v>03.4113</v>
      </c>
      <c r="F160" s="434" t="str">
        <f>VLOOKUP($B160,[1]DG!A:D,[1]DG!$C$2,)</f>
        <v>Đắp đất hố móng, độ chặt k=0,95</v>
      </c>
      <c r="G160" s="422" t="str">
        <f>VLOOKUP($B160,[1]DG!A:D,[1]DG!$D$2,)</f>
        <v>m3</v>
      </c>
      <c r="H160" s="435"/>
      <c r="I160" s="435"/>
      <c r="J160" s="435"/>
      <c r="K160" s="435"/>
      <c r="L160" s="435"/>
      <c r="M160" s="435"/>
      <c r="N160" s="435"/>
      <c r="O160" s="435"/>
      <c r="P160" s="435"/>
      <c r="Q160" s="437"/>
      <c r="R160" s="437"/>
      <c r="S160" s="437"/>
      <c r="T160" s="432">
        <f t="shared" si="22"/>
        <v>0</v>
      </c>
    </row>
    <row r="161" spans="1:20" ht="22.2" hidden="1" customHeight="1">
      <c r="A161" s="379"/>
      <c r="B161" s="410" t="s">
        <v>624</v>
      </c>
      <c r="C161" s="411" t="str">
        <f t="shared" si="20"/>
        <v xml:space="preserve"> </v>
      </c>
      <c r="D161" s="439"/>
      <c r="E161" s="422" t="str">
        <f>VLOOKUP($B161,[1]DG!A:D,[1]DG!$B$2,)</f>
        <v>02.1123</v>
      </c>
      <c r="F161" s="434" t="str">
        <f>VLOOKUP($B161,[1]DG!A:D,[1]DG!$C$2,)</f>
        <v>Bốc dỡ đà cản, đế néo</v>
      </c>
      <c r="G161" s="422" t="str">
        <f>VLOOKUP($B161,[1]DG!A:D,[1]DG!$D$2,)</f>
        <v>tấn</v>
      </c>
      <c r="H161" s="435"/>
      <c r="I161" s="435"/>
      <c r="J161" s="435"/>
      <c r="K161" s="435"/>
      <c r="L161" s="435"/>
      <c r="M161" s="435"/>
      <c r="N161" s="435"/>
      <c r="O161" s="435"/>
      <c r="P161" s="435"/>
      <c r="Q161" s="442"/>
      <c r="R161" s="442"/>
      <c r="S161" s="442"/>
      <c r="T161" s="432">
        <f t="shared" si="22"/>
        <v>0</v>
      </c>
    </row>
    <row r="162" spans="1:20" ht="22.2" hidden="1" customHeight="1">
      <c r="A162" s="379"/>
      <c r="B162" s="438" t="s">
        <v>625</v>
      </c>
      <c r="C162" s="411" t="str">
        <f t="shared" si="20"/>
        <v xml:space="preserve"> </v>
      </c>
      <c r="D162" s="439"/>
      <c r="E162" s="422" t="str">
        <f>VLOOKUP($B162,[1]DG!A:C,2,)</f>
        <v>02.1451</v>
      </c>
      <c r="F162" s="434" t="str">
        <f>VLOOKUP($B162,[1]DG!A:C,3,)</f>
        <v>V/c đà cản vào vị trí (cự ly &lt;=100m)</v>
      </c>
      <c r="G162" s="422" t="str">
        <f>VLOOKUP($B162,[1]DG!A:D,4,0)</f>
        <v>tấn</v>
      </c>
      <c r="H162" s="435"/>
      <c r="I162" s="435"/>
      <c r="J162" s="435"/>
      <c r="K162" s="435"/>
      <c r="L162" s="435"/>
      <c r="M162" s="435"/>
      <c r="N162" s="435"/>
      <c r="O162" s="435"/>
      <c r="P162" s="435"/>
      <c r="Q162" s="437"/>
      <c r="R162" s="437"/>
      <c r="S162" s="437"/>
      <c r="T162" s="432">
        <f t="shared" si="22"/>
        <v>0</v>
      </c>
    </row>
    <row r="163" spans="1:20" ht="22.2" hidden="1" customHeight="1">
      <c r="A163" s="379"/>
      <c r="B163" s="438" t="s">
        <v>620</v>
      </c>
      <c r="C163" s="411" t="str">
        <f t="shared" si="20"/>
        <v xml:space="preserve"> </v>
      </c>
      <c r="D163" s="439"/>
      <c r="E163" s="422" t="str">
        <f>VLOOKUP($B163,[1]DG!A:C,2,)</f>
        <v>02.1482</v>
      </c>
      <c r="F163" s="434" t="str">
        <f>VLOOKUP($B163,[1]DG!A:C,3,)</f>
        <v>V/c dụng cụ thi công vào vị trí (cự ly &lt;=100m)</v>
      </c>
      <c r="G163" s="422" t="str">
        <f>VLOOKUP($B163,[1]DG!A:D,4,0)</f>
        <v>tấn</v>
      </c>
      <c r="H163" s="435"/>
      <c r="I163" s="435"/>
      <c r="J163" s="435"/>
      <c r="K163" s="435"/>
      <c r="L163" s="435"/>
      <c r="M163" s="435"/>
      <c r="N163" s="435"/>
      <c r="O163" s="435"/>
      <c r="P163" s="435"/>
      <c r="Q163" s="437"/>
      <c r="R163" s="437"/>
      <c r="S163" s="437"/>
      <c r="T163" s="432">
        <f t="shared" si="22"/>
        <v>0</v>
      </c>
    </row>
    <row r="164" spans="1:20" ht="22.2" hidden="1" customHeight="1">
      <c r="A164" s="423" t="s">
        <v>671</v>
      </c>
      <c r="B164" s="424" t="s">
        <v>671</v>
      </c>
      <c r="C164" s="425" t="str">
        <f t="shared" si="20"/>
        <v xml:space="preserve"> </v>
      </c>
      <c r="D164" s="426"/>
      <c r="E164" s="427"/>
      <c r="F164" s="428" t="s">
        <v>672</v>
      </c>
      <c r="G164" s="349" t="s">
        <v>344</v>
      </c>
      <c r="H164" s="429">
        <f>SUM(I164:O164)</f>
        <v>0</v>
      </c>
      <c r="I164" s="430"/>
      <c r="J164" s="430"/>
      <c r="K164" s="430">
        <f>IFERROR(HLOOKUP(B164,[1]pp3p1m!$1:$3,3,0),0)</f>
        <v>0</v>
      </c>
      <c r="L164" s="430">
        <f>IFERROR(HLOOKUP(chitiet!B164,[1]pp1p!$1:$3,3,0),0)</f>
        <v>0</v>
      </c>
      <c r="M164" s="430"/>
      <c r="N164" s="430"/>
      <c r="O164" s="430"/>
      <c r="P164" s="430"/>
      <c r="Q164" s="431"/>
      <c r="R164" s="431"/>
      <c r="S164" s="431"/>
      <c r="T164" s="432">
        <f>IFERROR(HLOOKUP(B164,[1]pp1p!$1:$3,3,0),0)+IFERROR(HLOOKUP(B164,[1]pp3p1m!$1:$3,3,0),0)</f>
        <v>0</v>
      </c>
    </row>
    <row r="165" spans="1:20" ht="22.2" hidden="1" customHeight="1">
      <c r="A165" s="379"/>
      <c r="B165" s="410" t="s">
        <v>629</v>
      </c>
      <c r="C165" s="411" t="str">
        <f t="shared" si="20"/>
        <v xml:space="preserve"> </v>
      </c>
      <c r="D165" s="440">
        <v>1</v>
      </c>
      <c r="E165" s="422" t="str">
        <f>VLOOKUP($B165,[1]DG!A:D,[1]DG!$B$2,)</f>
        <v>04.3801</v>
      </c>
      <c r="F165" s="441" t="str">
        <f>VLOOKUP($B165,[1]DG!A:D,[1]DG!$C$2,)</f>
        <v>Đà cản BTCT 1,5m</v>
      </c>
      <c r="G165" s="422" t="str">
        <f>VLOOKUP($B165,[1]DG!A:D,[1]DG!$D$2,)</f>
        <v>cái</v>
      </c>
      <c r="H165" s="435">
        <f t="shared" ref="H165:N166" si="27">H$164*$D165</f>
        <v>0</v>
      </c>
      <c r="I165" s="435">
        <f t="shared" si="27"/>
        <v>0</v>
      </c>
      <c r="J165" s="435">
        <f t="shared" si="27"/>
        <v>0</v>
      </c>
      <c r="K165" s="435">
        <f t="shared" si="27"/>
        <v>0</v>
      </c>
      <c r="L165" s="435">
        <f t="shared" si="27"/>
        <v>0</v>
      </c>
      <c r="M165" s="435">
        <f t="shared" si="27"/>
        <v>0</v>
      </c>
      <c r="N165" s="435">
        <f t="shared" si="27"/>
        <v>0</v>
      </c>
      <c r="O165" s="435"/>
      <c r="P165" s="435"/>
      <c r="Q165" s="442"/>
      <c r="R165" s="442"/>
      <c r="S165" s="442"/>
      <c r="T165" s="432">
        <f t="shared" si="22"/>
        <v>0</v>
      </c>
    </row>
    <row r="166" spans="1:20" ht="22.2" hidden="1" customHeight="1">
      <c r="A166" s="379"/>
      <c r="B166" s="410" t="s">
        <v>74</v>
      </c>
      <c r="C166" s="411" t="str">
        <f t="shared" si="20"/>
        <v xml:space="preserve"> </v>
      </c>
      <c r="D166" s="440">
        <v>1</v>
      </c>
      <c r="E166" s="422"/>
      <c r="F166" s="441" t="str">
        <f>VLOOKUP($B166,[1]DG!A:D,[1]DG!$C$2,)</f>
        <v>Boulon 22x650+ 2 long đền vuông D24-50x50x3/Zn</v>
      </c>
      <c r="G166" s="422" t="str">
        <f>VLOOKUP($B166,[1]DG!A:D,[1]DG!$D$2,)</f>
        <v>bộ</v>
      </c>
      <c r="H166" s="435">
        <f t="shared" si="27"/>
        <v>0</v>
      </c>
      <c r="I166" s="435">
        <f t="shared" si="27"/>
        <v>0</v>
      </c>
      <c r="J166" s="435">
        <f t="shared" si="27"/>
        <v>0</v>
      </c>
      <c r="K166" s="435">
        <f t="shared" si="27"/>
        <v>0</v>
      </c>
      <c r="L166" s="435">
        <f t="shared" si="27"/>
        <v>0</v>
      </c>
      <c r="M166" s="435">
        <f t="shared" si="27"/>
        <v>0</v>
      </c>
      <c r="N166" s="435">
        <f t="shared" si="27"/>
        <v>0</v>
      </c>
      <c r="O166" s="435"/>
      <c r="P166" s="435"/>
      <c r="Q166" s="442"/>
      <c r="R166" s="442"/>
      <c r="S166" s="442"/>
      <c r="T166" s="432">
        <f t="shared" si="22"/>
        <v>0</v>
      </c>
    </row>
    <row r="167" spans="1:20" ht="22.2" hidden="1" customHeight="1">
      <c r="A167" s="379"/>
      <c r="B167" s="410" t="s">
        <v>630</v>
      </c>
      <c r="C167" s="411" t="str">
        <f t="shared" si="20"/>
        <v xml:space="preserve"> </v>
      </c>
      <c r="D167" s="433">
        <v>0.2</v>
      </c>
      <c r="E167" s="422">
        <f>VLOOKUP($B167,[1]DG!A:D,[1]DG!$B$2,)</f>
        <v>0</v>
      </c>
      <c r="F167" s="434" t="str">
        <f>VLOOKUP($B167,[1]DG!A:D,[1]DG!$C$2,)</f>
        <v>Đá 2x4</v>
      </c>
      <c r="G167" s="422" t="str">
        <f>VLOOKUP($B167,[1]DG!A:D,[1]DG!$D$2,)</f>
        <v>m3</v>
      </c>
      <c r="H167" s="435">
        <f t="shared" ref="H167:N167" si="28">H$18*$D167</f>
        <v>0</v>
      </c>
      <c r="I167" s="435">
        <f t="shared" si="28"/>
        <v>0</v>
      </c>
      <c r="J167" s="435">
        <f t="shared" si="28"/>
        <v>0</v>
      </c>
      <c r="K167" s="435">
        <f t="shared" si="28"/>
        <v>0</v>
      </c>
      <c r="L167" s="435">
        <f t="shared" si="28"/>
        <v>0</v>
      </c>
      <c r="M167" s="435">
        <f t="shared" si="28"/>
        <v>0</v>
      </c>
      <c r="N167" s="435">
        <f t="shared" si="28"/>
        <v>0</v>
      </c>
      <c r="O167" s="435"/>
      <c r="P167" s="435"/>
      <c r="Q167" s="442"/>
      <c r="R167" s="442"/>
      <c r="S167" s="442"/>
      <c r="T167" s="432">
        <f t="shared" si="22"/>
        <v>0</v>
      </c>
    </row>
    <row r="168" spans="1:20" ht="22.2" hidden="1" customHeight="1">
      <c r="A168" s="379"/>
      <c r="B168" s="410" t="s">
        <v>75</v>
      </c>
      <c r="C168" s="411" t="str">
        <f t="shared" si="20"/>
        <v xml:space="preserve"> </v>
      </c>
      <c r="D168" s="439">
        <v>1.77</v>
      </c>
      <c r="E168" s="422" t="str">
        <f>VLOOKUP($B168,[1]DG!A:D,[1]DG!$B$2,)</f>
        <v>03.1013</v>
      </c>
      <c r="F168" s="434" t="str">
        <f>VLOOKUP($B168,[1]DG!A:D,[1]DG!$C$2,)</f>
        <v>Đào hố móng đất cấp 3 sâu &gt;1m</v>
      </c>
      <c r="G168" s="422" t="str">
        <f>VLOOKUP($B168,[1]DG!A:D,[1]DG!$D$2,)</f>
        <v>m3</v>
      </c>
      <c r="H168" s="435"/>
      <c r="I168" s="435"/>
      <c r="J168" s="435"/>
      <c r="K168" s="435"/>
      <c r="L168" s="435"/>
      <c r="M168" s="435"/>
      <c r="N168" s="435"/>
      <c r="O168" s="435"/>
      <c r="P168" s="435"/>
      <c r="Q168" s="437"/>
      <c r="R168" s="437"/>
      <c r="S168" s="437"/>
      <c r="T168" s="432">
        <f t="shared" si="22"/>
        <v>0</v>
      </c>
    </row>
    <row r="169" spans="1:20" ht="22.2" hidden="1" customHeight="1">
      <c r="A169" s="379"/>
      <c r="B169" s="410" t="s">
        <v>76</v>
      </c>
      <c r="C169" s="411" t="str">
        <f t="shared" si="20"/>
        <v xml:space="preserve"> </v>
      </c>
      <c r="D169" s="439">
        <v>1.9319999999999999</v>
      </c>
      <c r="E169" s="422" t="str">
        <f>VLOOKUP($B169,[1]DG!A:D,[1]DG!$B$2,)</f>
        <v>03.4113</v>
      </c>
      <c r="F169" s="434" t="str">
        <f>VLOOKUP($B169,[1]DG!A:D,[1]DG!$C$2,)</f>
        <v>Đắp đất hố móng, độ chặt k=0,95</v>
      </c>
      <c r="G169" s="422" t="str">
        <f>VLOOKUP($B169,[1]DG!A:D,[1]DG!$D$2,)</f>
        <v>m3</v>
      </c>
      <c r="H169" s="435"/>
      <c r="I169" s="435"/>
      <c r="J169" s="435"/>
      <c r="K169" s="435"/>
      <c r="L169" s="435"/>
      <c r="M169" s="435"/>
      <c r="N169" s="435"/>
      <c r="O169" s="435"/>
      <c r="P169" s="435"/>
      <c r="Q169" s="437"/>
      <c r="R169" s="437"/>
      <c r="S169" s="437"/>
      <c r="T169" s="432">
        <f t="shared" si="22"/>
        <v>0</v>
      </c>
    </row>
    <row r="170" spans="1:20" ht="22.2" hidden="1" customHeight="1">
      <c r="A170" s="379"/>
      <c r="B170" s="410" t="s">
        <v>624</v>
      </c>
      <c r="C170" s="411" t="str">
        <f t="shared" si="20"/>
        <v xml:space="preserve"> </v>
      </c>
      <c r="D170" s="439">
        <v>0.255</v>
      </c>
      <c r="E170" s="422" t="str">
        <f>VLOOKUP($B170,[1]DG!A:D,[1]DG!$B$2,)</f>
        <v>02.1123</v>
      </c>
      <c r="F170" s="434" t="str">
        <f>VLOOKUP($B170,[1]DG!A:D,[1]DG!$C$2,)</f>
        <v>Bốc dỡ đà cản, đế néo</v>
      </c>
      <c r="G170" s="422" t="str">
        <f>VLOOKUP($B170,[1]DG!A:D,[1]DG!$D$2,)</f>
        <v>tấn</v>
      </c>
      <c r="H170" s="435"/>
      <c r="I170" s="435"/>
      <c r="J170" s="435"/>
      <c r="K170" s="435"/>
      <c r="L170" s="435"/>
      <c r="M170" s="435"/>
      <c r="N170" s="435"/>
      <c r="O170" s="435"/>
      <c r="P170" s="435"/>
      <c r="Q170" s="442"/>
      <c r="R170" s="442"/>
      <c r="S170" s="442"/>
      <c r="T170" s="432">
        <f t="shared" si="22"/>
        <v>0</v>
      </c>
    </row>
    <row r="171" spans="1:20" ht="22.2" hidden="1" customHeight="1">
      <c r="A171" s="379"/>
      <c r="B171" s="438" t="s">
        <v>625</v>
      </c>
      <c r="C171" s="411" t="str">
        <f t="shared" si="20"/>
        <v xml:space="preserve"> </v>
      </c>
      <c r="D171" s="439"/>
      <c r="E171" s="422" t="str">
        <f>VLOOKUP($B171,[1]DG!A:C,2,)</f>
        <v>02.1451</v>
      </c>
      <c r="F171" s="434" t="str">
        <f>VLOOKUP($B171,[1]DG!A:C,3,)</f>
        <v>V/c đà cản vào vị trí (cự ly &lt;=100m)</v>
      </c>
      <c r="G171" s="422" t="str">
        <f>VLOOKUP($B171,[1]DG!A:D,4,0)</f>
        <v>tấn</v>
      </c>
      <c r="H171" s="435"/>
      <c r="I171" s="435"/>
      <c r="J171" s="435"/>
      <c r="K171" s="435"/>
      <c r="L171" s="435"/>
      <c r="M171" s="435"/>
      <c r="N171" s="435"/>
      <c r="O171" s="435"/>
      <c r="P171" s="435"/>
      <c r="Q171" s="437"/>
      <c r="R171" s="437"/>
      <c r="S171" s="437"/>
      <c r="T171" s="432">
        <f t="shared" si="22"/>
        <v>0</v>
      </c>
    </row>
    <row r="172" spans="1:20" ht="22.2" hidden="1" customHeight="1">
      <c r="A172" s="379"/>
      <c r="B172" s="438" t="s">
        <v>626</v>
      </c>
      <c r="C172" s="411" t="str">
        <f t="shared" si="20"/>
        <v xml:space="preserve"> </v>
      </c>
      <c r="D172" s="433"/>
      <c r="E172" s="422" t="str">
        <f>VLOOKUP($B172,[1]DG!A:C,2,)</f>
        <v>02.1241</v>
      </c>
      <c r="F172" s="434" t="str">
        <f>VLOOKUP($B172,[1]DG!A:C,3,)</f>
        <v>V/c đá dăm ( cự ly &lt;=100m)</v>
      </c>
      <c r="G172" s="422" t="str">
        <f>VLOOKUP($B172,[1]DG!A:D,4,0)</f>
        <v>m3</v>
      </c>
      <c r="H172" s="435"/>
      <c r="I172" s="435"/>
      <c r="J172" s="435"/>
      <c r="K172" s="435"/>
      <c r="L172" s="435"/>
      <c r="M172" s="435"/>
      <c r="N172" s="435"/>
      <c r="O172" s="435"/>
      <c r="P172" s="435"/>
      <c r="Q172" s="437"/>
      <c r="R172" s="437"/>
      <c r="S172" s="437"/>
      <c r="T172" s="432">
        <f t="shared" si="22"/>
        <v>0</v>
      </c>
    </row>
    <row r="173" spans="1:20" ht="22.2" hidden="1" customHeight="1">
      <c r="A173" s="379"/>
      <c r="B173" s="438" t="s">
        <v>620</v>
      </c>
      <c r="C173" s="411" t="str">
        <f t="shared" si="20"/>
        <v xml:space="preserve"> </v>
      </c>
      <c r="D173" s="439"/>
      <c r="E173" s="422" t="str">
        <f>VLOOKUP($B173,[1]DG!A:C,2,)</f>
        <v>02.1482</v>
      </c>
      <c r="F173" s="434" t="str">
        <f>VLOOKUP($B173,[1]DG!A:C,3,)</f>
        <v>V/c dụng cụ thi công vào vị trí (cự ly &lt;=100m)</v>
      </c>
      <c r="G173" s="422" t="str">
        <f>VLOOKUP($B173,[1]DG!A:D,4,0)</f>
        <v>tấn</v>
      </c>
      <c r="H173" s="435"/>
      <c r="I173" s="435"/>
      <c r="J173" s="435"/>
      <c r="K173" s="435"/>
      <c r="L173" s="435"/>
      <c r="M173" s="435"/>
      <c r="N173" s="435"/>
      <c r="O173" s="435"/>
      <c r="P173" s="435"/>
      <c r="Q173" s="437"/>
      <c r="R173" s="437"/>
      <c r="S173" s="437"/>
      <c r="T173" s="432">
        <f t="shared" si="22"/>
        <v>0</v>
      </c>
    </row>
    <row r="174" spans="1:20" ht="22.2" hidden="1" customHeight="1">
      <c r="A174" s="423" t="s">
        <v>673</v>
      </c>
      <c r="B174" s="424" t="s">
        <v>673</v>
      </c>
      <c r="C174" s="425" t="str">
        <f t="shared" si="20"/>
        <v xml:space="preserve"> </v>
      </c>
      <c r="D174" s="426"/>
      <c r="E174" s="427"/>
      <c r="F174" s="428" t="s">
        <v>674</v>
      </c>
      <c r="G174" s="349" t="s">
        <v>344</v>
      </c>
      <c r="H174" s="429">
        <f>SUM(I174:O174)</f>
        <v>0</v>
      </c>
      <c r="I174" s="430"/>
      <c r="J174" s="430"/>
      <c r="K174" s="430">
        <f>IFERROR(HLOOKUP(B174,[1]pp3p1m!$1:$3,3,0),0)</f>
        <v>0</v>
      </c>
      <c r="L174" s="430">
        <f>IFERROR(HLOOKUP(chitiet!B174,[1]pp1p!$1:$3,3,0),0)</f>
        <v>0</v>
      </c>
      <c r="M174" s="430"/>
      <c r="N174" s="430"/>
      <c r="O174" s="430"/>
      <c r="P174" s="430"/>
      <c r="Q174" s="431"/>
      <c r="R174" s="431"/>
      <c r="S174" s="431"/>
      <c r="T174" s="432">
        <f>IFERROR(HLOOKUP(B174,[1]pp1p!$1:$3,3,0),0)+IFERROR(HLOOKUP(B174,[1]pp3p1m!$1:$3,3,0),0)</f>
        <v>0</v>
      </c>
    </row>
    <row r="175" spans="1:20" ht="22.2" hidden="1" customHeight="1">
      <c r="A175" s="379"/>
      <c r="B175" s="438" t="s">
        <v>643</v>
      </c>
      <c r="C175" s="411" t="str">
        <f t="shared" si="20"/>
        <v xml:space="preserve"> </v>
      </c>
      <c r="D175" s="448">
        <v>4.5999999999999996</v>
      </c>
      <c r="E175" s="422">
        <f>VLOOKUP($B175,[1]DG!A:D,[1]DG!$B$2,)</f>
        <v>0</v>
      </c>
      <c r="F175" s="434" t="str">
        <f>VLOOKUP($B175,[1]DG!A:D,[1]DG!$C$2,)</f>
        <v>Ximăng (PC40)</v>
      </c>
      <c r="G175" s="422" t="str">
        <f>VLOOKUP($B175,[1]DG!A:D,[1]DG!$D$2,)</f>
        <v>kg</v>
      </c>
      <c r="H175" s="436">
        <f>$H$174*$D175</f>
        <v>0</v>
      </c>
      <c r="I175" s="436">
        <f>I$494*$D175</f>
        <v>0</v>
      </c>
      <c r="J175" s="436">
        <f>J$494*$D175</f>
        <v>0</v>
      </c>
      <c r="K175" s="436">
        <f>K$339*$D175</f>
        <v>0</v>
      </c>
      <c r="L175" s="436">
        <f>L$494*$D175</f>
        <v>0</v>
      </c>
      <c r="M175" s="436">
        <f>M$494*$D175</f>
        <v>0</v>
      </c>
      <c r="N175" s="436">
        <f>N$494*$D175</f>
        <v>0</v>
      </c>
      <c r="O175" s="436"/>
      <c r="P175" s="436"/>
      <c r="Q175" s="447"/>
      <c r="R175" s="447"/>
      <c r="S175" s="447"/>
      <c r="T175" s="432">
        <f t="shared" si="22"/>
        <v>0</v>
      </c>
    </row>
    <row r="176" spans="1:20" ht="22.2" hidden="1" customHeight="1">
      <c r="A176" s="379"/>
      <c r="B176" s="449" t="s">
        <v>389</v>
      </c>
      <c r="C176" s="411" t="str">
        <f>IF(OR(P176&lt;&gt;0,H176&lt;&gt;0),"x"," ")</f>
        <v xml:space="preserve"> </v>
      </c>
      <c r="D176" s="443">
        <v>8.0000000000000002E-3</v>
      </c>
      <c r="E176" s="422">
        <f>VLOOKUP($B176,[1]DG!A:D,[1]DG!$B$2,)</f>
        <v>0</v>
      </c>
      <c r="F176" s="434" t="str">
        <f>VLOOKUP($B176,[1]DG!A:D,[1]DG!$C$2,)</f>
        <v>Cát vàng</v>
      </c>
      <c r="G176" s="422" t="str">
        <f>VLOOKUP($B176,[1]DG!A:D,[1]DG!$D$2,)</f>
        <v>m3</v>
      </c>
      <c r="H176" s="436">
        <f>$H$174*$D176</f>
        <v>0</v>
      </c>
      <c r="I176" s="436"/>
      <c r="J176" s="436"/>
      <c r="K176" s="436">
        <f>K$339*$D176</f>
        <v>0</v>
      </c>
      <c r="L176" s="436"/>
      <c r="M176" s="436"/>
      <c r="N176" s="436"/>
      <c r="O176" s="436"/>
      <c r="P176" s="436"/>
      <c r="Q176" s="444"/>
      <c r="R176" s="444"/>
      <c r="S176" s="444"/>
      <c r="T176" s="432">
        <f t="shared" si="22"/>
        <v>0</v>
      </c>
    </row>
    <row r="177" spans="1:20" ht="22.2" hidden="1" customHeight="1">
      <c r="A177" s="379" t="s">
        <v>38</v>
      </c>
      <c r="B177" s="438" t="s">
        <v>580</v>
      </c>
      <c r="C177" s="411" t="str">
        <f t="shared" si="20"/>
        <v xml:space="preserve"> </v>
      </c>
      <c r="D177" s="443">
        <v>1.2999999999999999E-2</v>
      </c>
      <c r="E177" s="422">
        <f>VLOOKUP($B177,[1]DG!A:D,[1]DG!$B$2,)</f>
        <v>0</v>
      </c>
      <c r="F177" s="434" t="str">
        <f>VLOOKUP($B177,[1]DG!A:D,[1]DG!$C$2,)</f>
        <v>Đá 1x2</v>
      </c>
      <c r="G177" s="422" t="str">
        <f>VLOOKUP($B177,[1]DG!A:D,[1]DG!$D$2,)</f>
        <v>m3</v>
      </c>
      <c r="H177" s="436">
        <f>$H$174*$D177</f>
        <v>0</v>
      </c>
      <c r="I177" s="436"/>
      <c r="J177" s="436"/>
      <c r="K177" s="436">
        <f>K$339*$D177</f>
        <v>0</v>
      </c>
      <c r="L177" s="436"/>
      <c r="M177" s="436"/>
      <c r="N177" s="436"/>
      <c r="O177" s="436"/>
      <c r="P177" s="436"/>
      <c r="Q177" s="444"/>
      <c r="R177" s="444"/>
      <c r="S177" s="444"/>
      <c r="T177" s="432">
        <f t="shared" si="22"/>
        <v>0</v>
      </c>
    </row>
    <row r="178" spans="1:20" ht="22.2" hidden="1" customHeight="1">
      <c r="A178" s="379"/>
      <c r="B178" s="438" t="s">
        <v>153</v>
      </c>
      <c r="C178" s="411" t="str">
        <f t="shared" si="20"/>
        <v xml:space="preserve"> </v>
      </c>
      <c r="D178" s="443">
        <v>30</v>
      </c>
      <c r="E178" s="422">
        <f>VLOOKUP($B178,[1]DG!A:D,[1]DG!$B$2,)</f>
        <v>0</v>
      </c>
      <c r="F178" s="441" t="str">
        <f>VLOOKUP($B178,[1]DG!A:D,[1]DG!$C$2,)</f>
        <v>Sắt Ø10</v>
      </c>
      <c r="G178" s="422" t="str">
        <f>VLOOKUP($B178,[1]DG!A:D,[1]DG!$D$2,)</f>
        <v>kg</v>
      </c>
      <c r="H178" s="436">
        <f>$H$174*$D178</f>
        <v>0</v>
      </c>
      <c r="I178" s="436"/>
      <c r="J178" s="436"/>
      <c r="K178" s="436">
        <f>K$339*$D178</f>
        <v>0</v>
      </c>
      <c r="L178" s="436"/>
      <c r="M178" s="436"/>
      <c r="N178" s="436"/>
      <c r="O178" s="436"/>
      <c r="P178" s="436"/>
      <c r="Q178" s="444"/>
      <c r="R178" s="444"/>
      <c r="S178" s="444"/>
      <c r="T178" s="432">
        <f t="shared" si="22"/>
        <v>0</v>
      </c>
    </row>
    <row r="179" spans="1:20" ht="22.2" hidden="1" customHeight="1">
      <c r="A179" s="379" t="s">
        <v>38</v>
      </c>
      <c r="B179" s="438" t="s">
        <v>645</v>
      </c>
      <c r="C179" s="411" t="str">
        <f t="shared" si="20"/>
        <v xml:space="preserve"> </v>
      </c>
      <c r="D179" s="443">
        <v>0.65</v>
      </c>
      <c r="E179" s="422">
        <f>VLOOKUP($B179,[1]DG!A:D,[1]DG!$B$2,)</f>
        <v>0</v>
      </c>
      <c r="F179" s="441" t="str">
        <f>VLOOKUP($B179,[1]DG!A:D,[1]DG!$C$2,)</f>
        <v>Kẽm</v>
      </c>
      <c r="G179" s="422" t="str">
        <f>VLOOKUP($B179,[1]DG!A:D,[1]DG!$D$2,)</f>
        <v>kg</v>
      </c>
      <c r="H179" s="436">
        <f>$H$174*$D179</f>
        <v>0</v>
      </c>
      <c r="I179" s="436"/>
      <c r="J179" s="436"/>
      <c r="K179" s="436">
        <f>K$339*$D179</f>
        <v>0</v>
      </c>
      <c r="L179" s="436"/>
      <c r="M179" s="436"/>
      <c r="N179" s="436"/>
      <c r="O179" s="436"/>
      <c r="P179" s="436"/>
      <c r="Q179" s="444"/>
      <c r="R179" s="444"/>
      <c r="S179" s="444"/>
      <c r="T179" s="432">
        <f t="shared" si="22"/>
        <v>0</v>
      </c>
    </row>
    <row r="180" spans="1:20" ht="22.2" hidden="1" customHeight="1">
      <c r="A180" s="379" t="s">
        <v>38</v>
      </c>
      <c r="B180" s="438" t="s">
        <v>675</v>
      </c>
      <c r="C180" s="411" t="str">
        <f t="shared" si="20"/>
        <v xml:space="preserve"> </v>
      </c>
      <c r="D180" s="443">
        <v>2.5000000000000001E-2</v>
      </c>
      <c r="E180" s="422" t="str">
        <f>VLOOKUP($B180,[1]DG!A:D,[1]DG!$B$2,)</f>
        <v>03.1113</v>
      </c>
      <c r="F180" s="441" t="str">
        <f>VLOOKUP($B180,[1]DG!A:D,[1]DG!$C$2,)</f>
        <v>Khoan cắt BT bằng máy khoan cằm tay</v>
      </c>
      <c r="G180" s="422" t="str">
        <f>VLOOKUP($B180,[1]DG!A:D,[1]DG!$D$2,)</f>
        <v>m3</v>
      </c>
      <c r="H180" s="436"/>
      <c r="I180" s="436"/>
      <c r="J180" s="436"/>
      <c r="K180" s="436"/>
      <c r="L180" s="436"/>
      <c r="M180" s="436"/>
      <c r="N180" s="436"/>
      <c r="O180" s="436"/>
      <c r="P180" s="436"/>
      <c r="Q180" s="444"/>
      <c r="R180" s="444"/>
      <c r="S180" s="444"/>
      <c r="T180" s="432">
        <f t="shared" si="22"/>
        <v>0</v>
      </c>
    </row>
    <row r="181" spans="1:20" ht="22.2" hidden="1" customHeight="1">
      <c r="A181" s="379"/>
      <c r="B181" s="438" t="s">
        <v>75</v>
      </c>
      <c r="C181" s="411" t="str">
        <f t="shared" si="20"/>
        <v xml:space="preserve"> </v>
      </c>
      <c r="D181" s="443">
        <v>0.29399999999999998</v>
      </c>
      <c r="E181" s="422" t="str">
        <f>VLOOKUP($B181,[1]DG!A:D,[1]DG!$B$2,)</f>
        <v>03.1013</v>
      </c>
      <c r="F181" s="434" t="str">
        <f>VLOOKUP($B181,[1]DG!A:D,[1]DG!$C$2,)</f>
        <v>Đào hố móng đất cấp 3 sâu &gt;1m</v>
      </c>
      <c r="G181" s="422" t="str">
        <f>VLOOKUP($B181,[1]DG!A:D,[1]DG!$D$2,)</f>
        <v>m3</v>
      </c>
      <c r="H181" s="436"/>
      <c r="I181" s="436"/>
      <c r="J181" s="436"/>
      <c r="K181" s="436"/>
      <c r="L181" s="436"/>
      <c r="M181" s="436"/>
      <c r="N181" s="436"/>
      <c r="O181" s="436"/>
      <c r="P181" s="436"/>
      <c r="Q181" s="444"/>
      <c r="R181" s="444"/>
      <c r="S181" s="444"/>
      <c r="T181" s="432">
        <f t="shared" si="22"/>
        <v>0</v>
      </c>
    </row>
    <row r="182" spans="1:20" ht="22.2" hidden="1" customHeight="1">
      <c r="A182" s="379"/>
      <c r="B182" s="438" t="s">
        <v>76</v>
      </c>
      <c r="C182" s="411" t="str">
        <f t="shared" si="20"/>
        <v xml:space="preserve"> </v>
      </c>
      <c r="D182" s="443">
        <v>0.15</v>
      </c>
      <c r="E182" s="422" t="str">
        <f>VLOOKUP($B182,[1]DG!A:D,[1]DG!$B$2,)</f>
        <v>03.4113</v>
      </c>
      <c r="F182" s="434" t="str">
        <f>VLOOKUP($B182,[1]DG!A:D,[1]DG!$C$2,)</f>
        <v>Đắp đất hố móng, độ chặt k=0,95</v>
      </c>
      <c r="G182" s="422" t="str">
        <f>VLOOKUP($B182,[1]DG!A:D,[1]DG!$D$2,)</f>
        <v>m3</v>
      </c>
      <c r="H182" s="436"/>
      <c r="I182" s="436"/>
      <c r="J182" s="436"/>
      <c r="K182" s="436"/>
      <c r="L182" s="436"/>
      <c r="M182" s="436"/>
      <c r="N182" s="436"/>
      <c r="O182" s="436"/>
      <c r="P182" s="436"/>
      <c r="Q182" s="444"/>
      <c r="R182" s="444"/>
      <c r="S182" s="444"/>
      <c r="T182" s="432">
        <f t="shared" si="22"/>
        <v>0</v>
      </c>
    </row>
    <row r="183" spans="1:20" ht="22.2" hidden="1" customHeight="1">
      <c r="A183" s="379"/>
      <c r="B183" s="438" t="s">
        <v>646</v>
      </c>
      <c r="C183" s="411" t="str">
        <f t="shared" si="20"/>
        <v xml:space="preserve"> </v>
      </c>
      <c r="D183" s="443"/>
      <c r="E183" s="422" t="str">
        <f>VLOOKUP($B183,[1]DG!A:D,[1]DG!$B$2,)</f>
        <v>02.1101</v>
      </c>
      <c r="F183" s="434" t="str">
        <f>VLOOKUP($B183,[1]DG!A:D,[1]DG!$C$2,)</f>
        <v>Bốc dỡ xi măng</v>
      </c>
      <c r="G183" s="422" t="str">
        <f>VLOOKUP($B183,[1]DG!A:D,[1]DG!$D$2,)</f>
        <v>tấn</v>
      </c>
      <c r="H183" s="436"/>
      <c r="I183" s="436"/>
      <c r="J183" s="436"/>
      <c r="K183" s="436"/>
      <c r="L183" s="436"/>
      <c r="M183" s="436"/>
      <c r="N183" s="436"/>
      <c r="O183" s="436"/>
      <c r="P183" s="436"/>
      <c r="Q183" s="444"/>
      <c r="R183" s="444"/>
      <c r="S183" s="444"/>
      <c r="T183" s="432">
        <f t="shared" si="22"/>
        <v>0</v>
      </c>
    </row>
    <row r="184" spans="1:20" ht="22.2" hidden="1" customHeight="1">
      <c r="A184" s="379"/>
      <c r="B184" s="438" t="s">
        <v>647</v>
      </c>
      <c r="C184" s="411" t="str">
        <f t="shared" si="20"/>
        <v xml:space="preserve"> </v>
      </c>
      <c r="D184" s="443"/>
      <c r="E184" s="422" t="str">
        <f>VLOOKUP($B184,[1]DG!A:D,[1]DG!$B$2,)</f>
        <v>02.1103</v>
      </c>
      <c r="F184" s="434" t="str">
        <f>VLOOKUP($B184,[1]DG!A:D,[1]DG!$C$2,)</f>
        <v>Bốc dỡ cát</v>
      </c>
      <c r="G184" s="422" t="str">
        <f>VLOOKUP($B184,[1]DG!A:D,[1]DG!$D$2,)</f>
        <v>m3</v>
      </c>
      <c r="H184" s="436"/>
      <c r="I184" s="436"/>
      <c r="J184" s="436"/>
      <c r="K184" s="436"/>
      <c r="L184" s="436"/>
      <c r="M184" s="436"/>
      <c r="N184" s="436"/>
      <c r="O184" s="436"/>
      <c r="P184" s="436"/>
      <c r="Q184" s="444"/>
      <c r="R184" s="444"/>
      <c r="S184" s="444"/>
      <c r="T184" s="432">
        <f t="shared" si="22"/>
        <v>0</v>
      </c>
    </row>
    <row r="185" spans="1:20" ht="22.2" hidden="1" customHeight="1">
      <c r="A185" s="379"/>
      <c r="B185" s="438" t="s">
        <v>648</v>
      </c>
      <c r="C185" s="411" t="str">
        <f t="shared" si="20"/>
        <v xml:space="preserve"> </v>
      </c>
      <c r="D185" s="443"/>
      <c r="E185" s="422" t="str">
        <f>VLOOKUP($B185,[1]DG!A:D,[1]DG!$B$2,)</f>
        <v>02.1104</v>
      </c>
      <c r="F185" s="434" t="str">
        <f>VLOOKUP($B185,[1]DG!A:D,[1]DG!$C$2,)</f>
        <v>Bốc dỡ đá dăm</v>
      </c>
      <c r="G185" s="422" t="str">
        <f>VLOOKUP($B185,[1]DG!A:D,[1]DG!$D$2,)</f>
        <v>m3</v>
      </c>
      <c r="H185" s="436"/>
      <c r="I185" s="436"/>
      <c r="J185" s="436"/>
      <c r="K185" s="436"/>
      <c r="L185" s="436"/>
      <c r="M185" s="436"/>
      <c r="N185" s="436"/>
      <c r="O185" s="436"/>
      <c r="P185" s="436"/>
      <c r="Q185" s="444"/>
      <c r="R185" s="444"/>
      <c r="S185" s="444"/>
      <c r="T185" s="432">
        <f t="shared" si="22"/>
        <v>0</v>
      </c>
    </row>
    <row r="186" spans="1:20" ht="22.2" hidden="1" customHeight="1">
      <c r="A186" s="379"/>
      <c r="B186" s="438" t="s">
        <v>649</v>
      </c>
      <c r="C186" s="411" t="str">
        <f t="shared" si="20"/>
        <v xml:space="preserve"> </v>
      </c>
      <c r="D186" s="443">
        <f>D178</f>
        <v>30</v>
      </c>
      <c r="E186" s="422" t="str">
        <f>VLOOKUP($B186,[1]DG!A:D,[1]DG!$B$2,)</f>
        <v>04.5101</v>
      </c>
      <c r="F186" s="434" t="str">
        <f>VLOOKUP($B186,[1]DG!A:D,[1]DG!$C$2,)</f>
        <v>Gia công và lắp dựng cốt thép D&lt;=10</v>
      </c>
      <c r="G186" s="422" t="str">
        <f>VLOOKUP($B186,[1]DG!A:D,[1]DG!$D$2,)</f>
        <v>kg</v>
      </c>
      <c r="H186" s="436"/>
      <c r="I186" s="436"/>
      <c r="J186" s="436"/>
      <c r="K186" s="436"/>
      <c r="L186" s="436"/>
      <c r="M186" s="436"/>
      <c r="N186" s="436"/>
      <c r="O186" s="436"/>
      <c r="P186" s="436"/>
      <c r="Q186" s="444"/>
      <c r="R186" s="444"/>
      <c r="S186" s="444"/>
      <c r="T186" s="432">
        <f t="shared" si="22"/>
        <v>0</v>
      </c>
    </row>
    <row r="187" spans="1:20" ht="22.2" hidden="1" customHeight="1">
      <c r="A187" s="379"/>
      <c r="B187" s="438" t="s">
        <v>676</v>
      </c>
      <c r="C187" s="411" t="str">
        <f t="shared" si="20"/>
        <v xml:space="preserve"> </v>
      </c>
      <c r="D187" s="443">
        <v>1.4999999999999999E-2</v>
      </c>
      <c r="E187" s="422" t="str">
        <f>VLOOKUP($B187,[1]DG!A:D,[1]DG!$B$2,)</f>
        <v>04.1203b</v>
      </c>
      <c r="F187" s="434" t="str">
        <f>VLOOKUP($B187,[1]DG!A:D,[1]DG!$C$2,)&amp; ": Taùi laäp laïi neàn"</f>
        <v>Đổ bê tông mác M150 đá 1x2: Taùi laäp laïi neàn</v>
      </c>
      <c r="G187" s="422" t="str">
        <f>VLOOKUP($B187,[1]DG!A:D,[1]DG!$D$2,)</f>
        <v>m3</v>
      </c>
      <c r="H187" s="436"/>
      <c r="I187" s="436"/>
      <c r="J187" s="436"/>
      <c r="K187" s="436"/>
      <c r="L187" s="436"/>
      <c r="M187" s="436"/>
      <c r="N187" s="436"/>
      <c r="O187" s="436"/>
      <c r="P187" s="436"/>
      <c r="Q187" s="444"/>
      <c r="R187" s="444"/>
      <c r="S187" s="444"/>
      <c r="T187" s="432">
        <f t="shared" si="22"/>
        <v>0</v>
      </c>
    </row>
    <row r="188" spans="1:20" ht="22.2" hidden="1" customHeight="1">
      <c r="A188" s="423" t="s">
        <v>677</v>
      </c>
      <c r="B188" s="424" t="s">
        <v>677</v>
      </c>
      <c r="C188" s="425" t="str">
        <f t="shared" si="20"/>
        <v xml:space="preserve"> </v>
      </c>
      <c r="D188" s="426"/>
      <c r="E188" s="427"/>
      <c r="F188" s="428" t="s">
        <v>678</v>
      </c>
      <c r="G188" s="349" t="s">
        <v>344</v>
      </c>
      <c r="H188" s="429">
        <f>SUM(I188:O188)</f>
        <v>0</v>
      </c>
      <c r="I188" s="430"/>
      <c r="J188" s="430"/>
      <c r="K188" s="430">
        <f>IFERROR(HLOOKUP(B188,[1]pp3p1m!$1:$3,3,0),0)</f>
        <v>0</v>
      </c>
      <c r="L188" s="430">
        <f>IFERROR(HLOOKUP(chitiet!B188,[1]pp1p!$1:$3,3,0),0)</f>
        <v>0</v>
      </c>
      <c r="M188" s="430"/>
      <c r="N188" s="430"/>
      <c r="O188" s="430"/>
      <c r="P188" s="430"/>
      <c r="Q188" s="431"/>
      <c r="R188" s="431"/>
      <c r="S188" s="431"/>
      <c r="T188" s="432">
        <f>IFERROR(HLOOKUP(B188,[1]pp1p!$1:$3,3,0),0)+IFERROR(HLOOKUP(B188,[1]pp3p1m!$1:$3,3,0),0)</f>
        <v>0</v>
      </c>
    </row>
    <row r="189" spans="1:20" ht="22.2" hidden="1" customHeight="1">
      <c r="A189" s="379"/>
      <c r="B189" s="410" t="s">
        <v>73</v>
      </c>
      <c r="C189" s="411" t="str">
        <f t="shared" si="20"/>
        <v xml:space="preserve"> </v>
      </c>
      <c r="D189" s="440">
        <v>2</v>
      </c>
      <c r="E189" s="422" t="str">
        <f>VLOOKUP($B189,[1]DG!A:D,[1]DG!$B$2,)</f>
        <v>04.4001</v>
      </c>
      <c r="F189" s="441" t="str">
        <f>VLOOKUP($B189,[1]DG!A:D,[1]DG!$C$2,)</f>
        <v>Đà cản BTCT 1,2m</v>
      </c>
      <c r="G189" s="422" t="str">
        <f>VLOOKUP($B189,[1]DG!A:D,[1]DG!$D$2,)</f>
        <v>cái</v>
      </c>
      <c r="H189" s="435">
        <f t="shared" ref="H189:N190" si="29">H$188*$D189</f>
        <v>0</v>
      </c>
      <c r="I189" s="435">
        <f t="shared" si="29"/>
        <v>0</v>
      </c>
      <c r="J189" s="435">
        <f t="shared" si="29"/>
        <v>0</v>
      </c>
      <c r="K189" s="435">
        <f t="shared" si="29"/>
        <v>0</v>
      </c>
      <c r="L189" s="435">
        <f t="shared" si="29"/>
        <v>0</v>
      </c>
      <c r="M189" s="435">
        <f t="shared" si="29"/>
        <v>0</v>
      </c>
      <c r="N189" s="435">
        <f t="shared" si="29"/>
        <v>0</v>
      </c>
      <c r="O189" s="435"/>
      <c r="P189" s="435"/>
      <c r="Q189" s="442"/>
      <c r="R189" s="442"/>
      <c r="S189" s="442"/>
      <c r="T189" s="432">
        <f t="shared" si="22"/>
        <v>0</v>
      </c>
    </row>
    <row r="190" spans="1:20" ht="22.2" hidden="1" customHeight="1">
      <c r="A190" s="379"/>
      <c r="B190" s="410" t="s">
        <v>74</v>
      </c>
      <c r="C190" s="411" t="str">
        <f t="shared" si="20"/>
        <v xml:space="preserve"> </v>
      </c>
      <c r="D190" s="440">
        <v>2</v>
      </c>
      <c r="E190" s="422"/>
      <c r="F190" s="441" t="str">
        <f>VLOOKUP($B190,[1]DG!A:D,[1]DG!$C$2,)</f>
        <v>Boulon 22x650+ 2 long đền vuông D24-50x50x3/Zn</v>
      </c>
      <c r="G190" s="422" t="str">
        <f>VLOOKUP($B190,[1]DG!A:D,[1]DG!$D$2,)</f>
        <v>bộ</v>
      </c>
      <c r="H190" s="435">
        <f t="shared" si="29"/>
        <v>0</v>
      </c>
      <c r="I190" s="435">
        <f t="shared" si="29"/>
        <v>0</v>
      </c>
      <c r="J190" s="435">
        <f t="shared" si="29"/>
        <v>0</v>
      </c>
      <c r="K190" s="435">
        <f t="shared" si="29"/>
        <v>0</v>
      </c>
      <c r="L190" s="435">
        <f t="shared" si="29"/>
        <v>0</v>
      </c>
      <c r="M190" s="435">
        <f t="shared" si="29"/>
        <v>0</v>
      </c>
      <c r="N190" s="435">
        <f t="shared" si="29"/>
        <v>0</v>
      </c>
      <c r="O190" s="435"/>
      <c r="P190" s="435"/>
      <c r="Q190" s="442"/>
      <c r="R190" s="442"/>
      <c r="S190" s="442"/>
      <c r="T190" s="432">
        <f t="shared" si="22"/>
        <v>0</v>
      </c>
    </row>
    <row r="191" spans="1:20" ht="22.2" hidden="1" customHeight="1">
      <c r="A191" s="379"/>
      <c r="B191" s="410" t="s">
        <v>75</v>
      </c>
      <c r="C191" s="411" t="str">
        <f t="shared" si="20"/>
        <v xml:space="preserve"> </v>
      </c>
      <c r="D191" s="439">
        <v>5.39</v>
      </c>
      <c r="E191" s="422" t="str">
        <f>VLOOKUP($B191,[1]DG!A:D,[1]DG!$B$2,)</f>
        <v>03.1013</v>
      </c>
      <c r="F191" s="434" t="str">
        <f>VLOOKUP($B191,[1]DG!A:D,[1]DG!$C$2,)</f>
        <v>Đào hố móng đất cấp 3 sâu &gt;1m</v>
      </c>
      <c r="G191" s="422" t="str">
        <f>VLOOKUP($B191,[1]DG!A:D,[1]DG!$D$2,)</f>
        <v>m3</v>
      </c>
      <c r="H191" s="435"/>
      <c r="I191" s="435"/>
      <c r="J191" s="435"/>
      <c r="K191" s="435"/>
      <c r="L191" s="435"/>
      <c r="M191" s="435"/>
      <c r="N191" s="435"/>
      <c r="O191" s="435"/>
      <c r="P191" s="435"/>
      <c r="Q191" s="437"/>
      <c r="R191" s="437"/>
      <c r="S191" s="437"/>
      <c r="T191" s="432">
        <f t="shared" si="22"/>
        <v>0</v>
      </c>
    </row>
    <row r="192" spans="1:20" ht="22.2" hidden="1" customHeight="1">
      <c r="A192" s="379"/>
      <c r="B192" s="410" t="s">
        <v>76</v>
      </c>
      <c r="C192" s="411" t="str">
        <f t="shared" si="20"/>
        <v xml:space="preserve"> </v>
      </c>
      <c r="D192" s="439">
        <v>6.37</v>
      </c>
      <c r="E192" s="422" t="str">
        <f>VLOOKUP($B192,[1]DG!A:D,[1]DG!$B$2,)</f>
        <v>03.4113</v>
      </c>
      <c r="F192" s="434" t="str">
        <f>VLOOKUP($B192,[1]DG!A:D,[1]DG!$C$2,)</f>
        <v>Đắp đất hố móng, độ chặt k=0,95</v>
      </c>
      <c r="G192" s="422" t="str">
        <f>VLOOKUP($B192,[1]DG!A:D,[1]DG!$D$2,)</f>
        <v>m3</v>
      </c>
      <c r="H192" s="435"/>
      <c r="I192" s="435"/>
      <c r="J192" s="435"/>
      <c r="K192" s="435"/>
      <c r="L192" s="435"/>
      <c r="M192" s="435"/>
      <c r="N192" s="435"/>
      <c r="O192" s="435"/>
      <c r="P192" s="435"/>
      <c r="Q192" s="437"/>
      <c r="R192" s="437"/>
      <c r="S192" s="437"/>
      <c r="T192" s="432">
        <f t="shared" si="22"/>
        <v>0</v>
      </c>
    </row>
    <row r="193" spans="1:20" ht="22.2" hidden="1" customHeight="1">
      <c r="A193" s="379"/>
      <c r="B193" s="410" t="s">
        <v>624</v>
      </c>
      <c r="C193" s="411" t="str">
        <f t="shared" si="20"/>
        <v xml:space="preserve"> </v>
      </c>
      <c r="D193" s="439"/>
      <c r="E193" s="422" t="str">
        <f>VLOOKUP($B193,[1]DG!A:D,[1]DG!$B$2,)</f>
        <v>02.1123</v>
      </c>
      <c r="F193" s="434" t="str">
        <f>VLOOKUP($B193,[1]DG!A:D,[1]DG!$C$2,)</f>
        <v>Bốc dỡ đà cản, đế néo</v>
      </c>
      <c r="G193" s="422" t="str">
        <f>VLOOKUP($B193,[1]DG!A:D,[1]DG!$D$2,)</f>
        <v>tấn</v>
      </c>
      <c r="H193" s="435"/>
      <c r="I193" s="435"/>
      <c r="J193" s="435"/>
      <c r="K193" s="435"/>
      <c r="L193" s="435"/>
      <c r="M193" s="435"/>
      <c r="N193" s="435"/>
      <c r="O193" s="435"/>
      <c r="P193" s="435"/>
      <c r="Q193" s="442"/>
      <c r="R193" s="442"/>
      <c r="S193" s="442"/>
      <c r="T193" s="432">
        <f t="shared" si="22"/>
        <v>0</v>
      </c>
    </row>
    <row r="194" spans="1:20" ht="22.2" hidden="1" customHeight="1">
      <c r="A194" s="379"/>
      <c r="B194" s="438" t="s">
        <v>625</v>
      </c>
      <c r="C194" s="411" t="str">
        <f t="shared" si="20"/>
        <v xml:space="preserve"> </v>
      </c>
      <c r="D194" s="439"/>
      <c r="E194" s="422" t="str">
        <f>VLOOKUP($B194,[1]DG!A:C,2,)</f>
        <v>02.1451</v>
      </c>
      <c r="F194" s="434" t="str">
        <f>VLOOKUP($B194,[1]DG!A:C,3,)</f>
        <v>V/c đà cản vào vị trí (cự ly &lt;=100m)</v>
      </c>
      <c r="G194" s="422" t="str">
        <f>VLOOKUP($B194,[1]DG!A:D,4,0)</f>
        <v>tấn</v>
      </c>
      <c r="H194" s="435"/>
      <c r="I194" s="435"/>
      <c r="J194" s="435"/>
      <c r="K194" s="435"/>
      <c r="L194" s="435"/>
      <c r="M194" s="435"/>
      <c r="N194" s="435"/>
      <c r="O194" s="435"/>
      <c r="P194" s="435"/>
      <c r="Q194" s="437"/>
      <c r="R194" s="437"/>
      <c r="S194" s="437"/>
      <c r="T194" s="432">
        <f t="shared" si="22"/>
        <v>0</v>
      </c>
    </row>
    <row r="195" spans="1:20" ht="22.2" hidden="1" customHeight="1">
      <c r="A195" s="379"/>
      <c r="B195" s="438" t="s">
        <v>620</v>
      </c>
      <c r="C195" s="411" t="str">
        <f t="shared" si="20"/>
        <v xml:space="preserve"> </v>
      </c>
      <c r="D195" s="439"/>
      <c r="E195" s="422" t="str">
        <f>VLOOKUP($B195,[1]DG!A:C,2,)</f>
        <v>02.1482</v>
      </c>
      <c r="F195" s="434" t="str">
        <f>VLOOKUP($B195,[1]DG!A:C,3,)</f>
        <v>V/c dụng cụ thi công vào vị trí (cự ly &lt;=100m)</v>
      </c>
      <c r="G195" s="422" t="str">
        <f>VLOOKUP($B195,[1]DG!A:D,4,0)</f>
        <v>tấn</v>
      </c>
      <c r="H195" s="435"/>
      <c r="I195" s="435"/>
      <c r="J195" s="435"/>
      <c r="K195" s="435"/>
      <c r="L195" s="435"/>
      <c r="M195" s="435"/>
      <c r="N195" s="435"/>
      <c r="O195" s="435"/>
      <c r="P195" s="435"/>
      <c r="Q195" s="437"/>
      <c r="R195" s="437"/>
      <c r="S195" s="437"/>
      <c r="T195" s="432">
        <f t="shared" si="22"/>
        <v>0</v>
      </c>
    </row>
    <row r="196" spans="1:20" ht="22.2" hidden="1" customHeight="1">
      <c r="A196" s="423" t="s">
        <v>679</v>
      </c>
      <c r="B196" s="424" t="s">
        <v>679</v>
      </c>
      <c r="C196" s="425" t="str">
        <f t="shared" si="20"/>
        <v xml:space="preserve"> </v>
      </c>
      <c r="D196" s="426"/>
      <c r="E196" s="427"/>
      <c r="F196" s="428" t="s">
        <v>680</v>
      </c>
      <c r="G196" s="349" t="s">
        <v>344</v>
      </c>
      <c r="H196" s="429">
        <f>SUM(I196:O196)</f>
        <v>0</v>
      </c>
      <c r="I196" s="430"/>
      <c r="J196" s="430"/>
      <c r="K196" s="430">
        <f>IFERROR(HLOOKUP(B196,[1]pp3p1m!$1:$3,3,0),0)</f>
        <v>0</v>
      </c>
      <c r="L196" s="430">
        <f>IFERROR(HLOOKUP(chitiet!B196,[1]pp1p!$1:$3,3,0),0)</f>
        <v>0</v>
      </c>
      <c r="M196" s="430"/>
      <c r="N196" s="430"/>
      <c r="O196" s="430"/>
      <c r="P196" s="430"/>
      <c r="Q196" s="431"/>
      <c r="R196" s="431"/>
      <c r="S196" s="431"/>
      <c r="T196" s="432">
        <f>IFERROR(HLOOKUP(B196,[1]pp1p!$1:$3,3,0),0)+IFERROR(HLOOKUP(B196,[1]pp3p1m!$1:$3,3,0),0)</f>
        <v>0</v>
      </c>
    </row>
    <row r="197" spans="1:20" ht="22.2" hidden="1" customHeight="1">
      <c r="A197" s="379"/>
      <c r="B197" s="410" t="s">
        <v>73</v>
      </c>
      <c r="C197" s="411" t="str">
        <f t="shared" si="20"/>
        <v xml:space="preserve"> </v>
      </c>
      <c r="D197" s="440">
        <v>1</v>
      </c>
      <c r="E197" s="422" t="str">
        <f>VLOOKUP($B197,[1]DG!A:D,[1]DG!$B$2,)</f>
        <v>04.4001</v>
      </c>
      <c r="F197" s="441" t="str">
        <f>VLOOKUP($B197,[1]DG!A:D,[1]DG!$C$2,)</f>
        <v>Đà cản BTCT 1,2m</v>
      </c>
      <c r="G197" s="422" t="str">
        <f>VLOOKUP($B197,[1]DG!A:D,[1]DG!$D$2,)</f>
        <v>cái</v>
      </c>
      <c r="H197" s="435">
        <f t="shared" ref="H197:N199" si="30">H$196*$D197</f>
        <v>0</v>
      </c>
      <c r="I197" s="435">
        <f t="shared" si="30"/>
        <v>0</v>
      </c>
      <c r="J197" s="435">
        <f t="shared" si="30"/>
        <v>0</v>
      </c>
      <c r="K197" s="435">
        <f t="shared" si="30"/>
        <v>0</v>
      </c>
      <c r="L197" s="435">
        <f t="shared" si="30"/>
        <v>0</v>
      </c>
      <c r="M197" s="435">
        <f t="shared" si="30"/>
        <v>0</v>
      </c>
      <c r="N197" s="435">
        <f t="shared" si="30"/>
        <v>0</v>
      </c>
      <c r="O197" s="435"/>
      <c r="P197" s="435"/>
      <c r="Q197" s="442"/>
      <c r="R197" s="442"/>
      <c r="S197" s="442"/>
      <c r="T197" s="432">
        <f t="shared" si="22"/>
        <v>0</v>
      </c>
    </row>
    <row r="198" spans="1:20" ht="22.2" hidden="1" customHeight="1">
      <c r="A198" s="379"/>
      <c r="B198" s="410" t="s">
        <v>629</v>
      </c>
      <c r="C198" s="411" t="str">
        <f t="shared" si="20"/>
        <v xml:space="preserve"> </v>
      </c>
      <c r="D198" s="440">
        <v>1</v>
      </c>
      <c r="E198" s="422" t="str">
        <f>VLOOKUP($B198,[1]DG!A:D,[1]DG!$B$2,)</f>
        <v>04.3801</v>
      </c>
      <c r="F198" s="441" t="str">
        <f>VLOOKUP($B198,[1]DG!A:D,[1]DG!$C$2,)</f>
        <v>Đà cản BTCT 1,5m</v>
      </c>
      <c r="G198" s="422" t="str">
        <f>VLOOKUP($B198,[1]DG!A:D,[1]DG!$D$2,)</f>
        <v>cái</v>
      </c>
      <c r="H198" s="435">
        <f t="shared" si="30"/>
        <v>0</v>
      </c>
      <c r="I198" s="435">
        <f t="shared" si="30"/>
        <v>0</v>
      </c>
      <c r="J198" s="435">
        <f t="shared" si="30"/>
        <v>0</v>
      </c>
      <c r="K198" s="435">
        <f t="shared" si="30"/>
        <v>0</v>
      </c>
      <c r="L198" s="435">
        <f t="shared" si="30"/>
        <v>0</v>
      </c>
      <c r="M198" s="435">
        <f t="shared" si="30"/>
        <v>0</v>
      </c>
      <c r="N198" s="435">
        <f t="shared" si="30"/>
        <v>0</v>
      </c>
      <c r="O198" s="435"/>
      <c r="P198" s="435"/>
      <c r="Q198" s="442"/>
      <c r="R198" s="442"/>
      <c r="S198" s="442"/>
      <c r="T198" s="432">
        <f t="shared" si="22"/>
        <v>0</v>
      </c>
    </row>
    <row r="199" spans="1:20" ht="22.2" hidden="1" customHeight="1">
      <c r="A199" s="379"/>
      <c r="B199" s="410" t="s">
        <v>74</v>
      </c>
      <c r="C199" s="411" t="str">
        <f t="shared" si="20"/>
        <v xml:space="preserve"> </v>
      </c>
      <c r="D199" s="440">
        <v>2</v>
      </c>
      <c r="E199" s="422"/>
      <c r="F199" s="441" t="str">
        <f>VLOOKUP($B199,[1]DG!A:D,[1]DG!$C$2,)</f>
        <v>Boulon 22x650+ 2 long đền vuông D24-50x50x3/Zn</v>
      </c>
      <c r="G199" s="422" t="str">
        <f>VLOOKUP($B199,[1]DG!A:D,[1]DG!$D$2,)</f>
        <v>bộ</v>
      </c>
      <c r="H199" s="435">
        <f t="shared" si="30"/>
        <v>0</v>
      </c>
      <c r="I199" s="435">
        <f t="shared" si="30"/>
        <v>0</v>
      </c>
      <c r="J199" s="435">
        <f t="shared" si="30"/>
        <v>0</v>
      </c>
      <c r="K199" s="435">
        <f t="shared" si="30"/>
        <v>0</v>
      </c>
      <c r="L199" s="435">
        <f t="shared" si="30"/>
        <v>0</v>
      </c>
      <c r="M199" s="435">
        <f t="shared" si="30"/>
        <v>0</v>
      </c>
      <c r="N199" s="435">
        <f t="shared" si="30"/>
        <v>0</v>
      </c>
      <c r="O199" s="435"/>
      <c r="P199" s="435"/>
      <c r="Q199" s="442"/>
      <c r="R199" s="442"/>
      <c r="S199" s="442"/>
      <c r="T199" s="432">
        <f t="shared" si="22"/>
        <v>0</v>
      </c>
    </row>
    <row r="200" spans="1:20" ht="22.2" hidden="1" customHeight="1">
      <c r="A200" s="379"/>
      <c r="B200" s="410" t="s">
        <v>75</v>
      </c>
      <c r="C200" s="411" t="str">
        <f t="shared" si="20"/>
        <v xml:space="preserve"> </v>
      </c>
      <c r="D200" s="439">
        <v>5.56</v>
      </c>
      <c r="E200" s="422" t="str">
        <f>VLOOKUP($B200,[1]DG!A:D,[1]DG!$B$2,)</f>
        <v>03.1013</v>
      </c>
      <c r="F200" s="434" t="str">
        <f>VLOOKUP($B200,[1]DG!A:D,[1]DG!$C$2,)</f>
        <v>Đào hố móng đất cấp 3 sâu &gt;1m</v>
      </c>
      <c r="G200" s="422" t="str">
        <f>VLOOKUP($B200,[1]DG!A:D,[1]DG!$D$2,)</f>
        <v>m3</v>
      </c>
      <c r="H200" s="435"/>
      <c r="I200" s="435"/>
      <c r="J200" s="435"/>
      <c r="K200" s="435"/>
      <c r="L200" s="435"/>
      <c r="M200" s="435"/>
      <c r="N200" s="435"/>
      <c r="O200" s="435"/>
      <c r="P200" s="435"/>
      <c r="Q200" s="437"/>
      <c r="R200" s="437"/>
      <c r="S200" s="437"/>
      <c r="T200" s="432">
        <f t="shared" si="22"/>
        <v>0</v>
      </c>
    </row>
    <row r="201" spans="1:20" ht="22.2" hidden="1" customHeight="1">
      <c r="A201" s="379"/>
      <c r="B201" s="410" t="s">
        <v>76</v>
      </c>
      <c r="C201" s="411" t="str">
        <f t="shared" si="20"/>
        <v xml:space="preserve"> </v>
      </c>
      <c r="D201" s="439">
        <v>6.54</v>
      </c>
      <c r="E201" s="422" t="str">
        <f>VLOOKUP($B201,[1]DG!A:D,[1]DG!$B$2,)</f>
        <v>03.4113</v>
      </c>
      <c r="F201" s="434" t="str">
        <f>VLOOKUP($B201,[1]DG!A:D,[1]DG!$C$2,)</f>
        <v>Đắp đất hố móng, độ chặt k=0,95</v>
      </c>
      <c r="G201" s="422" t="str">
        <f>VLOOKUP($B201,[1]DG!A:D,[1]DG!$D$2,)</f>
        <v>m3</v>
      </c>
      <c r="H201" s="435"/>
      <c r="I201" s="435"/>
      <c r="J201" s="435"/>
      <c r="K201" s="435"/>
      <c r="L201" s="435"/>
      <c r="M201" s="435"/>
      <c r="N201" s="435"/>
      <c r="O201" s="435"/>
      <c r="P201" s="435"/>
      <c r="Q201" s="437"/>
      <c r="R201" s="437"/>
      <c r="S201" s="437"/>
      <c r="T201" s="432">
        <f t="shared" si="22"/>
        <v>0</v>
      </c>
    </row>
    <row r="202" spans="1:20" ht="22.2" hidden="1" customHeight="1">
      <c r="A202" s="379"/>
      <c r="B202" s="410" t="s">
        <v>681</v>
      </c>
      <c r="C202" s="411" t="str">
        <f t="shared" si="20"/>
        <v xml:space="preserve"> </v>
      </c>
      <c r="D202" s="439"/>
      <c r="E202" s="422" t="str">
        <f>VLOOKUP($B202,[1]DG!A:D,[1]DG!$B$2,)</f>
        <v>02.1123</v>
      </c>
      <c r="F202" s="434" t="str">
        <f>VLOOKUP($B202,[1]DG!A:D,[1]DG!$C$2,)</f>
        <v>Bốc dỡ đà cản, đế néo</v>
      </c>
      <c r="G202" s="422" t="str">
        <f>VLOOKUP($B202,[1]DG!A:D,[1]DG!$D$2,)</f>
        <v>tấn</v>
      </c>
      <c r="H202" s="435"/>
      <c r="I202" s="435"/>
      <c r="J202" s="435"/>
      <c r="K202" s="435"/>
      <c r="L202" s="435"/>
      <c r="M202" s="435"/>
      <c r="N202" s="435"/>
      <c r="O202" s="435"/>
      <c r="P202" s="435"/>
      <c r="Q202" s="442"/>
      <c r="R202" s="442"/>
      <c r="S202" s="442"/>
      <c r="T202" s="432">
        <f t="shared" si="22"/>
        <v>0</v>
      </c>
    </row>
    <row r="203" spans="1:20" ht="22.2" hidden="1" customHeight="1">
      <c r="A203" s="379"/>
      <c r="B203" s="438" t="s">
        <v>625</v>
      </c>
      <c r="C203" s="411" t="str">
        <f t="shared" si="20"/>
        <v xml:space="preserve"> </v>
      </c>
      <c r="D203" s="439"/>
      <c r="E203" s="422" t="str">
        <f>VLOOKUP($B203,[1]DG!A:C,2,)</f>
        <v>02.1451</v>
      </c>
      <c r="F203" s="434" t="str">
        <f>VLOOKUP($B203,[1]DG!A:C,3,)</f>
        <v>V/c đà cản vào vị trí (cự ly &lt;=100m)</v>
      </c>
      <c r="G203" s="422" t="str">
        <f>VLOOKUP($B203,[1]DG!A:D,4,0)</f>
        <v>tấn</v>
      </c>
      <c r="H203" s="435"/>
      <c r="I203" s="435"/>
      <c r="J203" s="435"/>
      <c r="K203" s="435"/>
      <c r="L203" s="435"/>
      <c r="M203" s="435"/>
      <c r="N203" s="435"/>
      <c r="O203" s="435"/>
      <c r="P203" s="435"/>
      <c r="Q203" s="437"/>
      <c r="R203" s="437"/>
      <c r="S203" s="437"/>
      <c r="T203" s="432">
        <f t="shared" si="22"/>
        <v>0</v>
      </c>
    </row>
    <row r="204" spans="1:20" ht="22.2" hidden="1" customHeight="1">
      <c r="A204" s="379"/>
      <c r="B204" s="438" t="s">
        <v>620</v>
      </c>
      <c r="C204" s="411" t="str">
        <f t="shared" si="20"/>
        <v xml:space="preserve"> </v>
      </c>
      <c r="D204" s="439"/>
      <c r="E204" s="422" t="str">
        <f>VLOOKUP($B204,[1]DG!A:C,2,)</f>
        <v>02.1482</v>
      </c>
      <c r="F204" s="434" t="str">
        <f>VLOOKUP($B204,[1]DG!A:C,3,)</f>
        <v>V/c dụng cụ thi công vào vị trí (cự ly &lt;=100m)</v>
      </c>
      <c r="G204" s="422" t="str">
        <f>VLOOKUP($B204,[1]DG!A:D,4,0)</f>
        <v>tấn</v>
      </c>
      <c r="H204" s="435"/>
      <c r="I204" s="435"/>
      <c r="J204" s="435"/>
      <c r="K204" s="435"/>
      <c r="L204" s="435"/>
      <c r="M204" s="435"/>
      <c r="N204" s="435"/>
      <c r="O204" s="435"/>
      <c r="P204" s="435"/>
      <c r="Q204" s="437"/>
      <c r="R204" s="437"/>
      <c r="S204" s="437"/>
      <c r="T204" s="432">
        <f t="shared" si="22"/>
        <v>0</v>
      </c>
    </row>
    <row r="205" spans="1:20" ht="22.2" hidden="1" customHeight="1">
      <c r="A205" s="423" t="s">
        <v>682</v>
      </c>
      <c r="B205" s="424" t="s">
        <v>682</v>
      </c>
      <c r="C205" s="425" t="str">
        <f t="shared" si="20"/>
        <v xml:space="preserve"> </v>
      </c>
      <c r="D205" s="426"/>
      <c r="E205" s="427"/>
      <c r="F205" s="428" t="s">
        <v>683</v>
      </c>
      <c r="G205" s="349" t="s">
        <v>344</v>
      </c>
      <c r="H205" s="429">
        <f>SUM(I205:O205)</f>
        <v>0</v>
      </c>
      <c r="I205" s="430"/>
      <c r="J205" s="430"/>
      <c r="K205" s="430">
        <f>IFERROR(HLOOKUP(B205,[1]pp3p1m!$1:$3,3,0),0)</f>
        <v>0</v>
      </c>
      <c r="L205" s="430">
        <f>IFERROR(HLOOKUP(chitiet!B205,[1]pp1p!$1:$3,3,0),0)</f>
        <v>0</v>
      </c>
      <c r="M205" s="430"/>
      <c r="N205" s="430"/>
      <c r="O205" s="430"/>
      <c r="P205" s="430"/>
      <c r="Q205" s="431"/>
      <c r="R205" s="431"/>
      <c r="S205" s="431"/>
      <c r="T205" s="432">
        <f>IFERROR(HLOOKUP(B205,[1]pp1p!$1:$3,3,0),0)+IFERROR(HLOOKUP(B205,[1]pp3p1m!$1:$3,3,0),0)</f>
        <v>0</v>
      </c>
    </row>
    <row r="206" spans="1:20" ht="22.2" hidden="1" customHeight="1">
      <c r="A206" s="379"/>
      <c r="B206" s="410" t="s">
        <v>629</v>
      </c>
      <c r="C206" s="411" t="str">
        <f t="shared" si="20"/>
        <v xml:space="preserve"> </v>
      </c>
      <c r="D206" s="440">
        <v>2</v>
      </c>
      <c r="E206" s="422" t="str">
        <f>VLOOKUP($B206,[1]DG!A:D,[1]DG!$B$2,)</f>
        <v>04.3801</v>
      </c>
      <c r="F206" s="441" t="str">
        <f>VLOOKUP($B206,[1]DG!A:D,[1]DG!$C$2,)</f>
        <v>Đà cản BTCT 1,5m</v>
      </c>
      <c r="G206" s="422" t="str">
        <f>VLOOKUP($B206,[1]DG!A:D,[1]DG!$D$2,)</f>
        <v>cái</v>
      </c>
      <c r="H206" s="435">
        <f t="shared" ref="H206:N207" si="31">H$205*$D206</f>
        <v>0</v>
      </c>
      <c r="I206" s="435">
        <f t="shared" si="31"/>
        <v>0</v>
      </c>
      <c r="J206" s="435">
        <f t="shared" si="31"/>
        <v>0</v>
      </c>
      <c r="K206" s="435">
        <f t="shared" si="31"/>
        <v>0</v>
      </c>
      <c r="L206" s="435">
        <f t="shared" si="31"/>
        <v>0</v>
      </c>
      <c r="M206" s="435">
        <f t="shared" si="31"/>
        <v>0</v>
      </c>
      <c r="N206" s="435">
        <f t="shared" si="31"/>
        <v>0</v>
      </c>
      <c r="O206" s="435"/>
      <c r="P206" s="435"/>
      <c r="Q206" s="442"/>
      <c r="R206" s="442"/>
      <c r="S206" s="442"/>
      <c r="T206" s="432">
        <f t="shared" ref="T206:T269" si="32">IFERROR(HLOOKUP(B206,BangKeTru,3,0),0)</f>
        <v>0</v>
      </c>
    </row>
    <row r="207" spans="1:20" ht="22.2" hidden="1" customHeight="1">
      <c r="A207" s="379"/>
      <c r="B207" s="410" t="s">
        <v>74</v>
      </c>
      <c r="C207" s="411" t="str">
        <f t="shared" ref="C207:C270" si="33">IF(OR(P207&lt;&gt;0,H207&lt;&gt;0),"x"," ")</f>
        <v xml:space="preserve"> </v>
      </c>
      <c r="D207" s="440">
        <v>2</v>
      </c>
      <c r="E207" s="422"/>
      <c r="F207" s="441" t="str">
        <f>VLOOKUP($B207,[1]DG!A:D,[1]DG!$C$2,)</f>
        <v>Boulon 22x650+ 2 long đền vuông D24-50x50x3/Zn</v>
      </c>
      <c r="G207" s="422" t="str">
        <f>VLOOKUP($B207,[1]DG!A:D,[1]DG!$D$2,)</f>
        <v>bộ</v>
      </c>
      <c r="H207" s="435">
        <f t="shared" si="31"/>
        <v>0</v>
      </c>
      <c r="I207" s="435">
        <f t="shared" si="31"/>
        <v>0</v>
      </c>
      <c r="J207" s="435">
        <f t="shared" si="31"/>
        <v>0</v>
      </c>
      <c r="K207" s="435">
        <f t="shared" si="31"/>
        <v>0</v>
      </c>
      <c r="L207" s="435">
        <f t="shared" si="31"/>
        <v>0</v>
      </c>
      <c r="M207" s="435">
        <f t="shared" si="31"/>
        <v>0</v>
      </c>
      <c r="N207" s="435">
        <f t="shared" si="31"/>
        <v>0</v>
      </c>
      <c r="O207" s="435"/>
      <c r="P207" s="435"/>
      <c r="Q207" s="442"/>
      <c r="R207" s="442"/>
      <c r="S207" s="442"/>
      <c r="T207" s="432">
        <f t="shared" si="32"/>
        <v>0</v>
      </c>
    </row>
    <row r="208" spans="1:20" ht="22.2" hidden="1" customHeight="1">
      <c r="A208" s="379"/>
      <c r="B208" s="410" t="s">
        <v>75</v>
      </c>
      <c r="C208" s="411" t="str">
        <f t="shared" si="33"/>
        <v xml:space="preserve"> </v>
      </c>
      <c r="D208" s="439">
        <v>7.4</v>
      </c>
      <c r="E208" s="422" t="str">
        <f>VLOOKUP($B208,[1]DG!A:D,[1]DG!$B$2,)</f>
        <v>03.1013</v>
      </c>
      <c r="F208" s="434" t="str">
        <f>VLOOKUP($B208,[1]DG!A:D,[1]DG!$C$2,)</f>
        <v>Đào hố móng đất cấp 3 sâu &gt;1m</v>
      </c>
      <c r="G208" s="422" t="str">
        <f>VLOOKUP($B208,[1]DG!A:D,[1]DG!$D$2,)</f>
        <v>m3</v>
      </c>
      <c r="H208" s="435"/>
      <c r="I208" s="435"/>
      <c r="J208" s="435"/>
      <c r="K208" s="435"/>
      <c r="L208" s="435"/>
      <c r="M208" s="435"/>
      <c r="N208" s="435"/>
      <c r="O208" s="435"/>
      <c r="P208" s="435"/>
      <c r="Q208" s="437"/>
      <c r="R208" s="437"/>
      <c r="S208" s="437"/>
      <c r="T208" s="432">
        <f t="shared" si="32"/>
        <v>0</v>
      </c>
    </row>
    <row r="209" spans="1:20" ht="22.2" hidden="1" customHeight="1">
      <c r="A209" s="379"/>
      <c r="B209" s="410" t="s">
        <v>76</v>
      </c>
      <c r="C209" s="411" t="str">
        <f t="shared" si="33"/>
        <v xml:space="preserve"> </v>
      </c>
      <c r="D209" s="439">
        <v>8.67</v>
      </c>
      <c r="E209" s="422" t="str">
        <f>VLOOKUP($B209,[1]DG!A:D,[1]DG!$B$2,)</f>
        <v>03.4113</v>
      </c>
      <c r="F209" s="434" t="str">
        <f>VLOOKUP($B209,[1]DG!A:D,[1]DG!$C$2,)</f>
        <v>Đắp đất hố móng, độ chặt k=0,95</v>
      </c>
      <c r="G209" s="422" t="str">
        <f>VLOOKUP($B209,[1]DG!A:D,[1]DG!$D$2,)</f>
        <v>m3</v>
      </c>
      <c r="H209" s="435"/>
      <c r="I209" s="435"/>
      <c r="J209" s="435"/>
      <c r="K209" s="435"/>
      <c r="L209" s="435"/>
      <c r="M209" s="435"/>
      <c r="N209" s="435"/>
      <c r="O209" s="435"/>
      <c r="P209" s="435"/>
      <c r="Q209" s="437"/>
      <c r="R209" s="437"/>
      <c r="S209" s="437"/>
      <c r="T209" s="432">
        <f t="shared" si="32"/>
        <v>0</v>
      </c>
    </row>
    <row r="210" spans="1:20" ht="22.2" hidden="1" customHeight="1">
      <c r="A210" s="379"/>
      <c r="B210" s="410" t="s">
        <v>681</v>
      </c>
      <c r="C210" s="411" t="str">
        <f t="shared" si="33"/>
        <v xml:space="preserve"> </v>
      </c>
      <c r="D210" s="439"/>
      <c r="E210" s="422" t="str">
        <f>VLOOKUP($B210,[1]DG!A:D,[1]DG!$B$2,)</f>
        <v>02.1123</v>
      </c>
      <c r="F210" s="434" t="str">
        <f>VLOOKUP($B210,[1]DG!A:D,[1]DG!$C$2,)</f>
        <v>Bốc dỡ đà cản, đế néo</v>
      </c>
      <c r="G210" s="422" t="str">
        <f>VLOOKUP($B210,[1]DG!A:D,[1]DG!$D$2,)</f>
        <v>tấn</v>
      </c>
      <c r="H210" s="435"/>
      <c r="I210" s="435"/>
      <c r="J210" s="435"/>
      <c r="K210" s="435"/>
      <c r="L210" s="435"/>
      <c r="M210" s="435"/>
      <c r="N210" s="435"/>
      <c r="O210" s="435"/>
      <c r="P210" s="435"/>
      <c r="Q210" s="442"/>
      <c r="R210" s="442"/>
      <c r="S210" s="442"/>
      <c r="T210" s="432">
        <f t="shared" si="32"/>
        <v>0</v>
      </c>
    </row>
    <row r="211" spans="1:20" ht="22.2" hidden="1" customHeight="1">
      <c r="A211" s="379"/>
      <c r="B211" s="438" t="s">
        <v>625</v>
      </c>
      <c r="C211" s="411" t="str">
        <f t="shared" si="33"/>
        <v xml:space="preserve"> </v>
      </c>
      <c r="D211" s="439"/>
      <c r="E211" s="422" t="str">
        <f>VLOOKUP($B211,[1]DG!A:C,2,)</f>
        <v>02.1451</v>
      </c>
      <c r="F211" s="434" t="str">
        <f>VLOOKUP($B211,[1]DG!A:C,3,)</f>
        <v>V/c đà cản vào vị trí (cự ly &lt;=100m)</v>
      </c>
      <c r="G211" s="422" t="str">
        <f>VLOOKUP($B211,[1]DG!A:D,4,0)</f>
        <v>tấn</v>
      </c>
      <c r="H211" s="435"/>
      <c r="I211" s="435"/>
      <c r="J211" s="435"/>
      <c r="K211" s="435"/>
      <c r="L211" s="435"/>
      <c r="M211" s="435"/>
      <c r="N211" s="435"/>
      <c r="O211" s="435"/>
      <c r="P211" s="435"/>
      <c r="Q211" s="437"/>
      <c r="R211" s="437"/>
      <c r="S211" s="437"/>
      <c r="T211" s="432">
        <f t="shared" si="32"/>
        <v>0</v>
      </c>
    </row>
    <row r="212" spans="1:20" ht="22.2" hidden="1" customHeight="1">
      <c r="A212" s="379"/>
      <c r="B212" s="438" t="s">
        <v>620</v>
      </c>
      <c r="C212" s="411" t="str">
        <f t="shared" si="33"/>
        <v xml:space="preserve"> </v>
      </c>
      <c r="D212" s="439"/>
      <c r="E212" s="422" t="str">
        <f>VLOOKUP($B212,[1]DG!A:C,2,)</f>
        <v>02.1482</v>
      </c>
      <c r="F212" s="434" t="str">
        <f>VLOOKUP($B212,[1]DG!A:C,3,)</f>
        <v>V/c dụng cụ thi công vào vị trí (cự ly &lt;=100m)</v>
      </c>
      <c r="G212" s="422" t="str">
        <f>VLOOKUP($B212,[1]DG!A:D,4,0)</f>
        <v>tấn</v>
      </c>
      <c r="H212" s="435"/>
      <c r="I212" s="435"/>
      <c r="J212" s="435"/>
      <c r="K212" s="435"/>
      <c r="L212" s="435"/>
      <c r="M212" s="435"/>
      <c r="N212" s="435"/>
      <c r="O212" s="435"/>
      <c r="P212" s="435"/>
      <c r="Q212" s="437"/>
      <c r="R212" s="437"/>
      <c r="S212" s="437"/>
      <c r="T212" s="432">
        <f t="shared" si="32"/>
        <v>0</v>
      </c>
    </row>
    <row r="213" spans="1:20" ht="22.2" hidden="1" customHeight="1">
      <c r="A213" s="423" t="s">
        <v>684</v>
      </c>
      <c r="B213" s="424" t="s">
        <v>684</v>
      </c>
      <c r="C213" s="425" t="str">
        <f t="shared" si="33"/>
        <v xml:space="preserve"> </v>
      </c>
      <c r="D213" s="426"/>
      <c r="E213" s="427"/>
      <c r="F213" s="428" t="s">
        <v>685</v>
      </c>
      <c r="G213" s="349" t="s">
        <v>344</v>
      </c>
      <c r="H213" s="429">
        <f>SUM(I213:O213)</f>
        <v>0</v>
      </c>
      <c r="I213" s="430"/>
      <c r="J213" s="430"/>
      <c r="K213" s="430">
        <f>IFERROR(HLOOKUP(B213,[1]pp3p1m!$1:$3,3,0),0)</f>
        <v>0</v>
      </c>
      <c r="L213" s="430">
        <f>IFERROR(HLOOKUP(chitiet!B213,[1]pp1p!$1:$3,3,0),0)</f>
        <v>0</v>
      </c>
      <c r="M213" s="430"/>
      <c r="N213" s="430"/>
      <c r="O213" s="430"/>
      <c r="P213" s="430"/>
      <c r="Q213" s="431"/>
      <c r="R213" s="431"/>
      <c r="S213" s="431"/>
      <c r="T213" s="432">
        <f>IFERROR(HLOOKUP(B213,[1]pp1p!$1:$3,3,0),0)+IFERROR(HLOOKUP(B213,[1]pp3p1m!$1:$3,3,0),0)</f>
        <v>0</v>
      </c>
    </row>
    <row r="214" spans="1:20" ht="22.2" hidden="1" customHeight="1">
      <c r="A214" s="379"/>
      <c r="B214" s="410" t="s">
        <v>686</v>
      </c>
      <c r="C214" s="411" t="str">
        <f t="shared" si="33"/>
        <v xml:space="preserve"> </v>
      </c>
      <c r="D214" s="440">
        <v>42</v>
      </c>
      <c r="E214" s="422" t="str">
        <f>VLOOKUP($B214,[1]DG!A:D,[1]DG!$B$2,)</f>
        <v>04.5142</v>
      </c>
      <c r="F214" s="441" t="str">
        <f>VLOOKUP($B214,[1]DG!A:D,[1]DG!$C$2,)</f>
        <v>Cừ tràm 5m</v>
      </c>
      <c r="G214" s="422" t="str">
        <f>VLOOKUP($B214,[1]DG!A:D,[1]DG!$D$2,)</f>
        <v>cây</v>
      </c>
      <c r="H214" s="435">
        <f t="shared" ref="H214:N216" si="34">H$213*$D214</f>
        <v>0</v>
      </c>
      <c r="I214" s="435">
        <f t="shared" si="34"/>
        <v>0</v>
      </c>
      <c r="J214" s="435">
        <f t="shared" si="34"/>
        <v>0</v>
      </c>
      <c r="K214" s="435">
        <f t="shared" si="34"/>
        <v>0</v>
      </c>
      <c r="L214" s="435">
        <f t="shared" si="34"/>
        <v>0</v>
      </c>
      <c r="M214" s="435">
        <f t="shared" si="34"/>
        <v>0</v>
      </c>
      <c r="N214" s="435">
        <f t="shared" si="34"/>
        <v>0</v>
      </c>
      <c r="O214" s="435"/>
      <c r="P214" s="435"/>
      <c r="Q214" s="442"/>
      <c r="R214" s="442"/>
      <c r="S214" s="442"/>
      <c r="T214" s="432">
        <f t="shared" si="32"/>
        <v>0</v>
      </c>
    </row>
    <row r="215" spans="1:20" ht="22.2" hidden="1" customHeight="1">
      <c r="A215" s="379"/>
      <c r="B215" s="410" t="s">
        <v>629</v>
      </c>
      <c r="C215" s="411" t="str">
        <f t="shared" si="33"/>
        <v xml:space="preserve"> </v>
      </c>
      <c r="D215" s="440">
        <v>2</v>
      </c>
      <c r="E215" s="422" t="str">
        <f>VLOOKUP($B215,[1]DG!A:D,[1]DG!$B$2,)</f>
        <v>04.3801</v>
      </c>
      <c r="F215" s="441" t="str">
        <f>VLOOKUP($B215,[1]DG!A:D,[1]DG!$C$2,)</f>
        <v>Đà cản BTCT 1,5m</v>
      </c>
      <c r="G215" s="422" t="str">
        <f>VLOOKUP($B215,[1]DG!A:D,[1]DG!$D$2,)</f>
        <v>cái</v>
      </c>
      <c r="H215" s="435">
        <f t="shared" si="34"/>
        <v>0</v>
      </c>
      <c r="I215" s="435">
        <f t="shared" si="34"/>
        <v>0</v>
      </c>
      <c r="J215" s="435">
        <f t="shared" si="34"/>
        <v>0</v>
      </c>
      <c r="K215" s="435">
        <f t="shared" si="34"/>
        <v>0</v>
      </c>
      <c r="L215" s="435">
        <f t="shared" si="34"/>
        <v>0</v>
      </c>
      <c r="M215" s="435">
        <f t="shared" si="34"/>
        <v>0</v>
      </c>
      <c r="N215" s="435">
        <f t="shared" si="34"/>
        <v>0</v>
      </c>
      <c r="O215" s="435"/>
      <c r="P215" s="435"/>
      <c r="Q215" s="442"/>
      <c r="R215" s="442"/>
      <c r="S215" s="442"/>
      <c r="T215" s="432">
        <f t="shared" si="32"/>
        <v>0</v>
      </c>
    </row>
    <row r="216" spans="1:20" ht="22.2" hidden="1" customHeight="1">
      <c r="A216" s="379"/>
      <c r="B216" s="410" t="s">
        <v>687</v>
      </c>
      <c r="C216" s="411" t="str">
        <f t="shared" si="33"/>
        <v xml:space="preserve"> </v>
      </c>
      <c r="D216" s="440">
        <v>1</v>
      </c>
      <c r="E216" s="422"/>
      <c r="F216" s="441" t="str">
        <f>VLOOKUP($B216,[1]DG!A:D,[1]DG!$C$2,)</f>
        <v>Boulon 22x800+ 2 long đền vuông D24-50x50x3/Zn</v>
      </c>
      <c r="G216" s="422" t="str">
        <f>VLOOKUP($B216,[1]DG!A:D,[1]DG!$D$2,)</f>
        <v>bộ</v>
      </c>
      <c r="H216" s="435">
        <f t="shared" si="34"/>
        <v>0</v>
      </c>
      <c r="I216" s="435">
        <f t="shared" si="34"/>
        <v>0</v>
      </c>
      <c r="J216" s="435">
        <f t="shared" si="34"/>
        <v>0</v>
      </c>
      <c r="K216" s="435">
        <f t="shared" si="34"/>
        <v>0</v>
      </c>
      <c r="L216" s="435">
        <f t="shared" si="34"/>
        <v>0</v>
      </c>
      <c r="M216" s="435">
        <f t="shared" si="34"/>
        <v>0</v>
      </c>
      <c r="N216" s="435">
        <f t="shared" si="34"/>
        <v>0</v>
      </c>
      <c r="O216" s="435"/>
      <c r="P216" s="435"/>
      <c r="Q216" s="442"/>
      <c r="R216" s="442"/>
      <c r="S216" s="442"/>
      <c r="T216" s="432">
        <f t="shared" si="32"/>
        <v>0</v>
      </c>
    </row>
    <row r="217" spans="1:20" ht="22.2" hidden="1" customHeight="1">
      <c r="A217" s="379"/>
      <c r="B217" s="410" t="s">
        <v>75</v>
      </c>
      <c r="C217" s="411" t="str">
        <f t="shared" si="33"/>
        <v xml:space="preserve"> </v>
      </c>
      <c r="D217" s="445">
        <v>2.2530000000000001</v>
      </c>
      <c r="E217" s="422" t="str">
        <f>VLOOKUP($B217,[1]DG!A:D,[1]DG!$B$2,)</f>
        <v>03.1013</v>
      </c>
      <c r="F217" s="434" t="str">
        <f>VLOOKUP($B217,[1]DG!A:D,[1]DG!$C$2,)</f>
        <v>Đào hố móng đất cấp 3 sâu &gt;1m</v>
      </c>
      <c r="G217" s="422" t="str">
        <f>VLOOKUP($B217,[1]DG!A:D,[1]DG!$D$2,)</f>
        <v>m3</v>
      </c>
      <c r="H217" s="435"/>
      <c r="I217" s="435"/>
      <c r="J217" s="435"/>
      <c r="K217" s="435"/>
      <c r="L217" s="435"/>
      <c r="M217" s="435"/>
      <c r="N217" s="435"/>
      <c r="O217" s="435"/>
      <c r="P217" s="435"/>
      <c r="Q217" s="437"/>
      <c r="R217" s="437"/>
      <c r="S217" s="437"/>
      <c r="T217" s="432">
        <f t="shared" si="32"/>
        <v>0</v>
      </c>
    </row>
    <row r="218" spans="1:20" ht="22.2" hidden="1" customHeight="1">
      <c r="A218" s="379"/>
      <c r="B218" s="410" t="s">
        <v>76</v>
      </c>
      <c r="C218" s="411" t="str">
        <f t="shared" si="33"/>
        <v xml:space="preserve"> </v>
      </c>
      <c r="D218" s="445">
        <v>2.48</v>
      </c>
      <c r="E218" s="422" t="str">
        <f>VLOOKUP($B218,[1]DG!A:D,[1]DG!$B$2,)</f>
        <v>03.4113</v>
      </c>
      <c r="F218" s="434" t="str">
        <f>VLOOKUP($B218,[1]DG!A:D,[1]DG!$C$2,)</f>
        <v>Đắp đất hố móng, độ chặt k=0,95</v>
      </c>
      <c r="G218" s="422" t="str">
        <f>VLOOKUP($B218,[1]DG!A:D,[1]DG!$D$2,)</f>
        <v>m3</v>
      </c>
      <c r="H218" s="435"/>
      <c r="I218" s="435"/>
      <c r="J218" s="435"/>
      <c r="K218" s="435"/>
      <c r="L218" s="435"/>
      <c r="M218" s="435"/>
      <c r="N218" s="435"/>
      <c r="O218" s="435"/>
      <c r="P218" s="435"/>
      <c r="Q218" s="437"/>
      <c r="R218" s="437"/>
      <c r="S218" s="437"/>
      <c r="T218" s="432">
        <f t="shared" si="32"/>
        <v>0</v>
      </c>
    </row>
    <row r="219" spans="1:20" ht="22.2" hidden="1" customHeight="1">
      <c r="A219" s="379"/>
      <c r="B219" s="410" t="s">
        <v>681</v>
      </c>
      <c r="C219" s="411" t="str">
        <f t="shared" si="33"/>
        <v xml:space="preserve"> </v>
      </c>
      <c r="D219" s="439">
        <f>0.255*2</f>
        <v>0.51</v>
      </c>
      <c r="E219" s="422" t="str">
        <f>VLOOKUP($B219,[1]DG!A:D,[1]DG!$B$2,)</f>
        <v>02.1123</v>
      </c>
      <c r="F219" s="434" t="str">
        <f>VLOOKUP($B219,[1]DG!A:D,[1]DG!$C$2,)</f>
        <v>Bốc dỡ đà cản, đế néo</v>
      </c>
      <c r="G219" s="422" t="str">
        <f>VLOOKUP($B219,[1]DG!A:D,[1]DG!$D$2,)</f>
        <v>tấn</v>
      </c>
      <c r="H219" s="435"/>
      <c r="I219" s="435"/>
      <c r="J219" s="435"/>
      <c r="K219" s="435"/>
      <c r="L219" s="435"/>
      <c r="M219" s="435"/>
      <c r="N219" s="435"/>
      <c r="O219" s="435"/>
      <c r="P219" s="435"/>
      <c r="Q219" s="442"/>
      <c r="R219" s="442"/>
      <c r="S219" s="442"/>
      <c r="T219" s="432">
        <f t="shared" si="32"/>
        <v>0</v>
      </c>
    </row>
    <row r="220" spans="1:20" ht="22.2" hidden="1" customHeight="1">
      <c r="A220" s="379"/>
      <c r="B220" s="410" t="s">
        <v>688</v>
      </c>
      <c r="C220" s="411" t="str">
        <f t="shared" si="33"/>
        <v xml:space="preserve"> </v>
      </c>
      <c r="D220" s="440">
        <f>D214</f>
        <v>42</v>
      </c>
      <c r="E220" s="422" t="str">
        <f>VLOOKUP($B220,[1]DG!A:D,[1]DG!$B$2,)</f>
        <v>02.1119</v>
      </c>
      <c r="F220" s="434" t="str">
        <f>VLOOKUP($B220,[1]DG!A:D,[1]DG!$C$2,)</f>
        <v>Bốc dỡ cừ tràm 5m</v>
      </c>
      <c r="G220" s="422" t="str">
        <f>VLOOKUP($B220,[1]DG!A:D,[1]DG!$D$2,)</f>
        <v>cây</v>
      </c>
      <c r="H220" s="435"/>
      <c r="I220" s="435"/>
      <c r="J220" s="435"/>
      <c r="K220" s="435"/>
      <c r="L220" s="435"/>
      <c r="M220" s="435"/>
      <c r="N220" s="435"/>
      <c r="O220" s="435"/>
      <c r="P220" s="435"/>
      <c r="Q220" s="442"/>
      <c r="R220" s="442"/>
      <c r="S220" s="442"/>
      <c r="T220" s="432">
        <f t="shared" si="32"/>
        <v>0</v>
      </c>
    </row>
    <row r="221" spans="1:20" ht="22.2" hidden="1" customHeight="1">
      <c r="A221" s="379"/>
      <c r="B221" s="438" t="s">
        <v>625</v>
      </c>
      <c r="C221" s="411" t="str">
        <f t="shared" si="33"/>
        <v xml:space="preserve"> </v>
      </c>
      <c r="D221" s="439">
        <f>D219</f>
        <v>0.51</v>
      </c>
      <c r="E221" s="422" t="str">
        <f>VLOOKUP($B221,[1]DG!A:C,2,)</f>
        <v>02.1451</v>
      </c>
      <c r="F221" s="434" t="str">
        <f>VLOOKUP($B221,[1]DG!A:C,3,)</f>
        <v>V/c đà cản vào vị trí (cự ly &lt;=100m)</v>
      </c>
      <c r="G221" s="422" t="str">
        <f>VLOOKUP($B221,[1]DG!A:D,4,0)</f>
        <v>tấn</v>
      </c>
      <c r="H221" s="435"/>
      <c r="I221" s="435"/>
      <c r="J221" s="435"/>
      <c r="K221" s="435"/>
      <c r="L221" s="435"/>
      <c r="M221" s="435"/>
      <c r="N221" s="435"/>
      <c r="O221" s="435"/>
      <c r="P221" s="435"/>
      <c r="Q221" s="437"/>
      <c r="R221" s="437"/>
      <c r="S221" s="437"/>
      <c r="T221" s="432">
        <f t="shared" si="32"/>
        <v>0</v>
      </c>
    </row>
    <row r="222" spans="1:20" ht="22.2" hidden="1" customHeight="1">
      <c r="A222" s="379"/>
      <c r="B222" s="380" t="s">
        <v>689</v>
      </c>
      <c r="C222" s="411" t="str">
        <f t="shared" si="33"/>
        <v xml:space="preserve"> </v>
      </c>
      <c r="D222" s="440">
        <f>D214</f>
        <v>42</v>
      </c>
      <c r="E222" s="422" t="str">
        <f>VLOOKUP($B222,[1]DG!A:C,2,)</f>
        <v>02.1411</v>
      </c>
      <c r="F222" s="434" t="str">
        <f>VLOOKUP($B222,[1]DG!A:C,3,)</f>
        <v>V/c cừ tràm 5m ( cự ly &lt;=100m)</v>
      </c>
      <c r="G222" s="422" t="str">
        <f>VLOOKUP($B222,[1]DG!A:D,4,0)</f>
        <v>cây</v>
      </c>
      <c r="H222" s="435"/>
      <c r="I222" s="435"/>
      <c r="J222" s="435"/>
      <c r="K222" s="435"/>
      <c r="L222" s="435"/>
      <c r="M222" s="435"/>
      <c r="N222" s="435"/>
      <c r="O222" s="435"/>
      <c r="P222" s="435"/>
      <c r="Q222" s="437"/>
      <c r="R222" s="437"/>
      <c r="S222" s="437"/>
      <c r="T222" s="432">
        <f t="shared" si="32"/>
        <v>0</v>
      </c>
    </row>
    <row r="223" spans="1:20" ht="22.2" hidden="1" customHeight="1">
      <c r="A223" s="379"/>
      <c r="B223" s="438" t="s">
        <v>620</v>
      </c>
      <c r="C223" s="411" t="str">
        <f t="shared" si="33"/>
        <v xml:space="preserve"> </v>
      </c>
      <c r="D223" s="439">
        <v>0.2</v>
      </c>
      <c r="E223" s="422" t="str">
        <f>VLOOKUP($B223,[1]DG!A:C,2,)</f>
        <v>02.1482</v>
      </c>
      <c r="F223" s="434" t="str">
        <f>VLOOKUP($B223,[1]DG!A:C,3,)</f>
        <v>V/c dụng cụ thi công vào vị trí (cự ly &lt;=100m)</v>
      </c>
      <c r="G223" s="422" t="str">
        <f>VLOOKUP($B223,[1]DG!A:D,4,0)</f>
        <v>tấn</v>
      </c>
      <c r="H223" s="435"/>
      <c r="I223" s="435"/>
      <c r="J223" s="435"/>
      <c r="K223" s="435"/>
      <c r="L223" s="435"/>
      <c r="M223" s="435"/>
      <c r="N223" s="435"/>
      <c r="O223" s="435"/>
      <c r="P223" s="435"/>
      <c r="Q223" s="437"/>
      <c r="R223" s="437"/>
      <c r="S223" s="437"/>
      <c r="T223" s="432">
        <f t="shared" si="32"/>
        <v>0</v>
      </c>
    </row>
    <row r="224" spans="1:20" ht="22.2" hidden="1" customHeight="1">
      <c r="A224" s="423" t="s">
        <v>690</v>
      </c>
      <c r="B224" s="424" t="s">
        <v>690</v>
      </c>
      <c r="C224" s="425" t="str">
        <f t="shared" si="33"/>
        <v xml:space="preserve"> </v>
      </c>
      <c r="D224" s="426"/>
      <c r="E224" s="427"/>
      <c r="F224" s="428" t="s">
        <v>691</v>
      </c>
      <c r="G224" s="349" t="s">
        <v>344</v>
      </c>
      <c r="H224" s="429">
        <f>SUM(I224:O224)</f>
        <v>0</v>
      </c>
      <c r="I224" s="430"/>
      <c r="J224" s="430"/>
      <c r="K224" s="430">
        <f>IFERROR(HLOOKUP(B224,[1]pp3p1m!$1:$3,3,0),0)</f>
        <v>0</v>
      </c>
      <c r="L224" s="430">
        <f>IFERROR(HLOOKUP(chitiet!B224,[1]pp1p!$1:$3,3,0),0)</f>
        <v>0</v>
      </c>
      <c r="M224" s="430"/>
      <c r="N224" s="430"/>
      <c r="O224" s="430"/>
      <c r="P224" s="430"/>
      <c r="Q224" s="431"/>
      <c r="R224" s="431"/>
      <c r="S224" s="431"/>
      <c r="T224" s="432">
        <f>IFERROR(HLOOKUP(B224,[1]pp1p!$1:$3,3,0),0)+IFERROR(HLOOKUP(B224,[1]pp3p1m!$1:$3,3,0),0)</f>
        <v>0</v>
      </c>
    </row>
    <row r="225" spans="1:20" ht="22.2" hidden="1" customHeight="1">
      <c r="A225" s="379"/>
      <c r="B225" s="410" t="s">
        <v>73</v>
      </c>
      <c r="C225" s="411" t="str">
        <f t="shared" si="33"/>
        <v xml:space="preserve"> </v>
      </c>
      <c r="D225" s="446">
        <v>2</v>
      </c>
      <c r="E225" s="422" t="str">
        <f>VLOOKUP($B225,[1]DG!A:D,[1]DG!$B$2,)</f>
        <v>04.4001</v>
      </c>
      <c r="F225" s="441" t="str">
        <f>VLOOKUP($B225,[1]DG!A:D,[1]DG!$C$2,)</f>
        <v>Đà cản BTCT 1,2m</v>
      </c>
      <c r="G225" s="422" t="str">
        <f>VLOOKUP($B225,[1]DG!A:D,[1]DG!$D$2,)</f>
        <v>cái</v>
      </c>
      <c r="H225" s="436">
        <f t="shared" ref="H225:N226" si="35">H$224*$D225</f>
        <v>0</v>
      </c>
      <c r="I225" s="436">
        <f t="shared" si="35"/>
        <v>0</v>
      </c>
      <c r="J225" s="436">
        <f t="shared" si="35"/>
        <v>0</v>
      </c>
      <c r="K225" s="436">
        <f t="shared" si="35"/>
        <v>0</v>
      </c>
      <c r="L225" s="436">
        <f t="shared" si="35"/>
        <v>0</v>
      </c>
      <c r="M225" s="436">
        <f t="shared" si="35"/>
        <v>0</v>
      </c>
      <c r="N225" s="436">
        <f t="shared" si="35"/>
        <v>0</v>
      </c>
      <c r="O225" s="436"/>
      <c r="P225" s="436"/>
      <c r="Q225" s="447"/>
      <c r="R225" s="447"/>
      <c r="S225" s="447"/>
      <c r="T225" s="432">
        <f t="shared" si="32"/>
        <v>0</v>
      </c>
    </row>
    <row r="226" spans="1:20" ht="22.2" hidden="1" customHeight="1">
      <c r="A226" s="379"/>
      <c r="B226" s="410" t="s">
        <v>687</v>
      </c>
      <c r="C226" s="411" t="str">
        <f t="shared" si="33"/>
        <v xml:space="preserve"> </v>
      </c>
      <c r="D226" s="446">
        <v>1</v>
      </c>
      <c r="E226" s="422"/>
      <c r="F226" s="441" t="str">
        <f>VLOOKUP($B226,[1]DG!A:D,[1]DG!$C$2,)</f>
        <v>Boulon 22x800+ 2 long đền vuông D24-50x50x3/Zn</v>
      </c>
      <c r="G226" s="422" t="str">
        <f>VLOOKUP($B226,[1]DG!A:D,[1]DG!$D$2,)</f>
        <v>bộ</v>
      </c>
      <c r="H226" s="436">
        <f t="shared" si="35"/>
        <v>0</v>
      </c>
      <c r="I226" s="436">
        <f t="shared" si="35"/>
        <v>0</v>
      </c>
      <c r="J226" s="436">
        <f t="shared" si="35"/>
        <v>0</v>
      </c>
      <c r="K226" s="436">
        <f t="shared" si="35"/>
        <v>0</v>
      </c>
      <c r="L226" s="436">
        <f t="shared" si="35"/>
        <v>0</v>
      </c>
      <c r="M226" s="436">
        <f t="shared" si="35"/>
        <v>0</v>
      </c>
      <c r="N226" s="436">
        <f t="shared" si="35"/>
        <v>0</v>
      </c>
      <c r="O226" s="436"/>
      <c r="P226" s="436"/>
      <c r="Q226" s="447"/>
      <c r="R226" s="447"/>
      <c r="S226" s="447"/>
      <c r="T226" s="432">
        <f t="shared" si="32"/>
        <v>0</v>
      </c>
    </row>
    <row r="227" spans="1:20" ht="22.2" hidden="1" customHeight="1">
      <c r="A227" s="379"/>
      <c r="B227" s="410" t="s">
        <v>630</v>
      </c>
      <c r="C227" s="411" t="str">
        <f t="shared" si="33"/>
        <v xml:space="preserve"> </v>
      </c>
      <c r="D227" s="433">
        <v>0.2</v>
      </c>
      <c r="E227" s="422">
        <f>VLOOKUP($B227,[1]DG!A:D,[1]DG!$B$2,)</f>
        <v>0</v>
      </c>
      <c r="F227" s="434" t="str">
        <f>VLOOKUP($B227,[1]DG!A:D,[1]DG!$C$2,)</f>
        <v>Đá 2x4</v>
      </c>
      <c r="G227" s="422" t="str">
        <f>VLOOKUP($B227,[1]DG!A:D,[1]DG!$D$2,)</f>
        <v>m3</v>
      </c>
      <c r="H227" s="435">
        <f t="shared" ref="H227:N227" si="36">H$18*$D227</f>
        <v>0</v>
      </c>
      <c r="I227" s="435">
        <f t="shared" si="36"/>
        <v>0</v>
      </c>
      <c r="J227" s="435">
        <f t="shared" si="36"/>
        <v>0</v>
      </c>
      <c r="K227" s="435">
        <f t="shared" si="36"/>
        <v>0</v>
      </c>
      <c r="L227" s="435">
        <f t="shared" si="36"/>
        <v>0</v>
      </c>
      <c r="M227" s="435">
        <f t="shared" si="36"/>
        <v>0</v>
      </c>
      <c r="N227" s="435">
        <f t="shared" si="36"/>
        <v>0</v>
      </c>
      <c r="O227" s="435"/>
      <c r="P227" s="435"/>
      <c r="Q227" s="442"/>
      <c r="R227" s="442"/>
      <c r="S227" s="442"/>
      <c r="T227" s="432">
        <f t="shared" si="32"/>
        <v>0</v>
      </c>
    </row>
    <row r="228" spans="1:20" ht="22.2" hidden="1" customHeight="1">
      <c r="A228" s="379"/>
      <c r="B228" s="410" t="s">
        <v>75</v>
      </c>
      <c r="C228" s="411" t="str">
        <f t="shared" si="33"/>
        <v xml:space="preserve"> </v>
      </c>
      <c r="D228" s="445">
        <v>1.76</v>
      </c>
      <c r="E228" s="422" t="str">
        <f>VLOOKUP($B228,[1]DG!A:D,[1]DG!$B$2,)</f>
        <v>03.1013</v>
      </c>
      <c r="F228" s="434" t="str">
        <f>VLOOKUP($B228,[1]DG!A:D,[1]DG!$C$2,)</f>
        <v>Đào hố móng đất cấp 3 sâu &gt;1m</v>
      </c>
      <c r="G228" s="422" t="str">
        <f>VLOOKUP($B228,[1]DG!A:D,[1]DG!$D$2,)</f>
        <v>m3</v>
      </c>
      <c r="H228" s="436"/>
      <c r="I228" s="436"/>
      <c r="J228" s="436"/>
      <c r="K228" s="436"/>
      <c r="L228" s="436"/>
      <c r="M228" s="436"/>
      <c r="N228" s="436"/>
      <c r="O228" s="436"/>
      <c r="P228" s="436"/>
      <c r="Q228" s="444"/>
      <c r="R228" s="444"/>
      <c r="S228" s="444"/>
      <c r="T228" s="432">
        <f t="shared" si="32"/>
        <v>0</v>
      </c>
    </row>
    <row r="229" spans="1:20" ht="22.2" hidden="1" customHeight="1">
      <c r="A229" s="379"/>
      <c r="B229" s="410" t="s">
        <v>76</v>
      </c>
      <c r="C229" s="411" t="str">
        <f t="shared" si="33"/>
        <v xml:space="preserve"> </v>
      </c>
      <c r="D229" s="445">
        <v>1.94</v>
      </c>
      <c r="E229" s="422" t="str">
        <f>VLOOKUP($B229,[1]DG!A:D,[1]DG!$B$2,)</f>
        <v>03.4113</v>
      </c>
      <c r="F229" s="434" t="str">
        <f>VLOOKUP($B229,[1]DG!A:D,[1]DG!$C$2,)</f>
        <v>Đắp đất hố móng, độ chặt k=0,95</v>
      </c>
      <c r="G229" s="422" t="str">
        <f>VLOOKUP($B229,[1]DG!A:D,[1]DG!$D$2,)</f>
        <v>m3</v>
      </c>
      <c r="H229" s="436"/>
      <c r="I229" s="436"/>
      <c r="J229" s="436"/>
      <c r="K229" s="436"/>
      <c r="L229" s="436"/>
      <c r="M229" s="436"/>
      <c r="N229" s="436"/>
      <c r="O229" s="436"/>
      <c r="P229" s="436"/>
      <c r="Q229" s="444"/>
      <c r="R229" s="444"/>
      <c r="S229" s="444"/>
      <c r="T229" s="432">
        <f t="shared" si="32"/>
        <v>0</v>
      </c>
    </row>
    <row r="230" spans="1:20" ht="22.2" hidden="1" customHeight="1">
      <c r="A230" s="379"/>
      <c r="B230" s="410" t="s">
        <v>624</v>
      </c>
      <c r="C230" s="411" t="str">
        <f t="shared" si="33"/>
        <v xml:space="preserve"> </v>
      </c>
      <c r="D230" s="445">
        <f>0.1*2</f>
        <v>0.2</v>
      </c>
      <c r="E230" s="422" t="str">
        <f>VLOOKUP($B230,[1]DG!A:D,[1]DG!$B$2,)</f>
        <v>02.1123</v>
      </c>
      <c r="F230" s="434" t="str">
        <f>VLOOKUP($B230,[1]DG!A:D,[1]DG!$C$2,)</f>
        <v>Bốc dỡ đà cản, đế néo</v>
      </c>
      <c r="G230" s="422" t="str">
        <f>VLOOKUP($B230,[1]DG!A:D,[1]DG!$D$2,)</f>
        <v>tấn</v>
      </c>
      <c r="H230" s="436"/>
      <c r="I230" s="436"/>
      <c r="J230" s="436"/>
      <c r="K230" s="436"/>
      <c r="L230" s="436"/>
      <c r="M230" s="436"/>
      <c r="N230" s="436"/>
      <c r="O230" s="436"/>
      <c r="P230" s="436"/>
      <c r="Q230" s="447"/>
      <c r="R230" s="447"/>
      <c r="S230" s="447"/>
      <c r="T230" s="432">
        <f t="shared" si="32"/>
        <v>0</v>
      </c>
    </row>
    <row r="231" spans="1:20" ht="22.2" hidden="1" customHeight="1">
      <c r="A231" s="379"/>
      <c r="B231" s="438" t="s">
        <v>625</v>
      </c>
      <c r="C231" s="411" t="str">
        <f t="shared" si="33"/>
        <v xml:space="preserve"> </v>
      </c>
      <c r="D231" s="445">
        <f>D230</f>
        <v>0.2</v>
      </c>
      <c r="E231" s="422" t="str">
        <f>VLOOKUP($B231,[1]DG!A:C,2,)</f>
        <v>02.1451</v>
      </c>
      <c r="F231" s="434" t="str">
        <f>VLOOKUP($B231,[1]DG!A:C,3,)</f>
        <v>V/c đà cản vào vị trí (cự ly &lt;=100m)</v>
      </c>
      <c r="G231" s="422" t="str">
        <f>VLOOKUP($B231,[1]DG!A:D,4,0)</f>
        <v>tấn</v>
      </c>
      <c r="H231" s="436"/>
      <c r="I231" s="436"/>
      <c r="J231" s="436"/>
      <c r="K231" s="436"/>
      <c r="L231" s="436"/>
      <c r="M231" s="436"/>
      <c r="N231" s="436"/>
      <c r="O231" s="436"/>
      <c r="P231" s="436"/>
      <c r="Q231" s="444"/>
      <c r="R231" s="444"/>
      <c r="S231" s="444"/>
      <c r="T231" s="432">
        <f t="shared" si="32"/>
        <v>0</v>
      </c>
    </row>
    <row r="232" spans="1:20" ht="22.2" hidden="1" customHeight="1">
      <c r="A232" s="379"/>
      <c r="B232" s="438" t="s">
        <v>626</v>
      </c>
      <c r="C232" s="411" t="str">
        <f t="shared" si="33"/>
        <v xml:space="preserve"> </v>
      </c>
      <c r="D232" s="433">
        <f>D227</f>
        <v>0.2</v>
      </c>
      <c r="E232" s="422" t="str">
        <f>VLOOKUP($B232,[1]DG!A:C,2,)</f>
        <v>02.1241</v>
      </c>
      <c r="F232" s="434" t="str">
        <f>VLOOKUP($B232,[1]DG!A:C,3,)</f>
        <v>V/c đá dăm ( cự ly &lt;=100m)</v>
      </c>
      <c r="G232" s="422" t="str">
        <f>VLOOKUP($B232,[1]DG!A:D,4,0)</f>
        <v>m3</v>
      </c>
      <c r="H232" s="435"/>
      <c r="I232" s="435"/>
      <c r="J232" s="435"/>
      <c r="K232" s="435"/>
      <c r="L232" s="435"/>
      <c r="M232" s="435"/>
      <c r="N232" s="435"/>
      <c r="O232" s="435"/>
      <c r="P232" s="435"/>
      <c r="Q232" s="437"/>
      <c r="R232" s="437"/>
      <c r="S232" s="437"/>
      <c r="T232" s="432">
        <f t="shared" si="32"/>
        <v>0</v>
      </c>
    </row>
    <row r="233" spans="1:20" ht="22.2" hidden="1" customHeight="1">
      <c r="A233" s="379"/>
      <c r="B233" s="438" t="s">
        <v>620</v>
      </c>
      <c r="C233" s="411" t="str">
        <f t="shared" si="33"/>
        <v xml:space="preserve"> </v>
      </c>
      <c r="D233" s="445">
        <v>0.2</v>
      </c>
      <c r="E233" s="422" t="str">
        <f>VLOOKUP($B233,[1]DG!A:C,2,)</f>
        <v>02.1482</v>
      </c>
      <c r="F233" s="434" t="str">
        <f>VLOOKUP($B233,[1]DG!A:C,3,)</f>
        <v>V/c dụng cụ thi công vào vị trí (cự ly &lt;=100m)</v>
      </c>
      <c r="G233" s="422" t="str">
        <f>VLOOKUP($B233,[1]DG!A:D,4,0)</f>
        <v>tấn</v>
      </c>
      <c r="H233" s="436"/>
      <c r="I233" s="436"/>
      <c r="J233" s="436"/>
      <c r="K233" s="436"/>
      <c r="L233" s="436"/>
      <c r="M233" s="436"/>
      <c r="N233" s="436"/>
      <c r="O233" s="436"/>
      <c r="P233" s="436"/>
      <c r="Q233" s="444"/>
      <c r="R233" s="444"/>
      <c r="S233" s="444"/>
      <c r="T233" s="432">
        <f t="shared" si="32"/>
        <v>0</v>
      </c>
    </row>
    <row r="234" spans="1:20" ht="22.2" hidden="1" customHeight="1">
      <c r="A234" s="423" t="s">
        <v>692</v>
      </c>
      <c r="B234" s="424" t="s">
        <v>692</v>
      </c>
      <c r="C234" s="425" t="str">
        <f t="shared" si="33"/>
        <v xml:space="preserve"> </v>
      </c>
      <c r="D234" s="426"/>
      <c r="E234" s="427"/>
      <c r="F234" s="428" t="s">
        <v>693</v>
      </c>
      <c r="G234" s="349" t="s">
        <v>344</v>
      </c>
      <c r="H234" s="429">
        <f>SUM(I234:O234)</f>
        <v>0</v>
      </c>
      <c r="I234" s="430"/>
      <c r="J234" s="430"/>
      <c r="K234" s="430">
        <f>IFERROR(HLOOKUP(B234,[1]pp3p1m!$1:$3,3,0),0)</f>
        <v>0</v>
      </c>
      <c r="L234" s="430">
        <f>IFERROR(HLOOKUP(chitiet!B234,[1]pp1p!$1:$3,3,0),0)</f>
        <v>0</v>
      </c>
      <c r="M234" s="430"/>
      <c r="N234" s="430"/>
      <c r="O234" s="430"/>
      <c r="P234" s="430"/>
      <c r="Q234" s="431"/>
      <c r="R234" s="431"/>
      <c r="S234" s="431"/>
      <c r="T234" s="432">
        <f>IFERROR(HLOOKUP(B234,[1]pp1p!$1:$3,3,0),0)+IFERROR(HLOOKUP(B234,[1]pp3p1m!$1:$3,3,0),0)</f>
        <v>0</v>
      </c>
    </row>
    <row r="235" spans="1:20" ht="22.2" hidden="1" customHeight="1">
      <c r="A235" s="379"/>
      <c r="B235" s="410" t="s">
        <v>629</v>
      </c>
      <c r="C235" s="411" t="str">
        <f t="shared" si="33"/>
        <v xml:space="preserve"> </v>
      </c>
      <c r="D235" s="446">
        <v>2</v>
      </c>
      <c r="E235" s="422" t="str">
        <f>VLOOKUP($B235,[1]DG!A:D,[1]DG!$B$2,)</f>
        <v>04.3801</v>
      </c>
      <c r="F235" s="441" t="str">
        <f>VLOOKUP($B235,[1]DG!A:D,[1]DG!$C$2,)</f>
        <v>Đà cản BTCT 1,5m</v>
      </c>
      <c r="G235" s="422" t="str">
        <f>VLOOKUP($B235,[1]DG!A:D,[1]DG!$D$2,)</f>
        <v>cái</v>
      </c>
      <c r="H235" s="436">
        <f t="shared" ref="H235:N236" si="37">H$234*$D235</f>
        <v>0</v>
      </c>
      <c r="I235" s="436">
        <f t="shared" si="37"/>
        <v>0</v>
      </c>
      <c r="J235" s="436">
        <f t="shared" si="37"/>
        <v>0</v>
      </c>
      <c r="K235" s="436">
        <f t="shared" si="37"/>
        <v>0</v>
      </c>
      <c r="L235" s="436">
        <f t="shared" si="37"/>
        <v>0</v>
      </c>
      <c r="M235" s="436">
        <f t="shared" si="37"/>
        <v>0</v>
      </c>
      <c r="N235" s="436">
        <f t="shared" si="37"/>
        <v>0</v>
      </c>
      <c r="O235" s="436"/>
      <c r="P235" s="436"/>
      <c r="Q235" s="447"/>
      <c r="R235" s="447"/>
      <c r="S235" s="447"/>
      <c r="T235" s="432">
        <f t="shared" si="32"/>
        <v>0</v>
      </c>
    </row>
    <row r="236" spans="1:20" ht="22.2" hidden="1" customHeight="1">
      <c r="A236" s="379"/>
      <c r="B236" s="410" t="s">
        <v>687</v>
      </c>
      <c r="C236" s="411" t="str">
        <f t="shared" si="33"/>
        <v xml:space="preserve"> </v>
      </c>
      <c r="D236" s="446">
        <v>1</v>
      </c>
      <c r="E236" s="422"/>
      <c r="F236" s="441" t="str">
        <f>VLOOKUP($B236,[1]DG!A:D,[1]DG!$C$2,)</f>
        <v>Boulon 22x800+ 2 long đền vuông D24-50x50x3/Zn</v>
      </c>
      <c r="G236" s="422" t="str">
        <f>VLOOKUP($B236,[1]DG!A:D,[1]DG!$D$2,)</f>
        <v>bộ</v>
      </c>
      <c r="H236" s="436">
        <f t="shared" si="37"/>
        <v>0</v>
      </c>
      <c r="I236" s="436">
        <f t="shared" si="37"/>
        <v>0</v>
      </c>
      <c r="J236" s="436">
        <f t="shared" si="37"/>
        <v>0</v>
      </c>
      <c r="K236" s="436">
        <f t="shared" si="37"/>
        <v>0</v>
      </c>
      <c r="L236" s="436">
        <f t="shared" si="37"/>
        <v>0</v>
      </c>
      <c r="M236" s="436">
        <f t="shared" si="37"/>
        <v>0</v>
      </c>
      <c r="N236" s="436">
        <f t="shared" si="37"/>
        <v>0</v>
      </c>
      <c r="O236" s="436"/>
      <c r="P236" s="436"/>
      <c r="Q236" s="447"/>
      <c r="R236" s="447"/>
      <c r="S236" s="447"/>
      <c r="T236" s="432">
        <f t="shared" si="32"/>
        <v>0</v>
      </c>
    </row>
    <row r="237" spans="1:20" ht="22.2" hidden="1" customHeight="1">
      <c r="A237" s="379"/>
      <c r="B237" s="410" t="s">
        <v>630</v>
      </c>
      <c r="C237" s="411" t="str">
        <f t="shared" si="33"/>
        <v xml:space="preserve"> </v>
      </c>
      <c r="D237" s="433">
        <v>0.2</v>
      </c>
      <c r="E237" s="422">
        <f>VLOOKUP($B237,[1]DG!A:D,[1]DG!$B$2,)</f>
        <v>0</v>
      </c>
      <c r="F237" s="434" t="str">
        <f>VLOOKUP($B237,[1]DG!A:D,[1]DG!$C$2,)</f>
        <v>Đá 2x4</v>
      </c>
      <c r="G237" s="422" t="str">
        <f>VLOOKUP($B237,[1]DG!A:D,[1]DG!$D$2,)</f>
        <v>m3</v>
      </c>
      <c r="H237" s="435">
        <f t="shared" ref="H237:N237" si="38">H$18*$D237</f>
        <v>0</v>
      </c>
      <c r="I237" s="435">
        <f t="shared" si="38"/>
        <v>0</v>
      </c>
      <c r="J237" s="435">
        <f t="shared" si="38"/>
        <v>0</v>
      </c>
      <c r="K237" s="435">
        <f t="shared" si="38"/>
        <v>0</v>
      </c>
      <c r="L237" s="435">
        <f t="shared" si="38"/>
        <v>0</v>
      </c>
      <c r="M237" s="435">
        <f t="shared" si="38"/>
        <v>0</v>
      </c>
      <c r="N237" s="435">
        <f t="shared" si="38"/>
        <v>0</v>
      </c>
      <c r="O237" s="435"/>
      <c r="P237" s="435"/>
      <c r="Q237" s="442"/>
      <c r="R237" s="442"/>
      <c r="S237" s="442"/>
      <c r="T237" s="432">
        <f t="shared" si="32"/>
        <v>0</v>
      </c>
    </row>
    <row r="238" spans="1:20" ht="22.2" hidden="1" customHeight="1">
      <c r="A238" s="379"/>
      <c r="B238" s="410" t="s">
        <v>75</v>
      </c>
      <c r="C238" s="411" t="str">
        <f t="shared" si="33"/>
        <v xml:space="preserve"> </v>
      </c>
      <c r="D238" s="445">
        <v>2.2530000000000001</v>
      </c>
      <c r="E238" s="422" t="str">
        <f>VLOOKUP($B238,[1]DG!A:D,[1]DG!$B$2,)</f>
        <v>03.1013</v>
      </c>
      <c r="F238" s="434" t="str">
        <f>VLOOKUP($B238,[1]DG!A:D,[1]DG!$C$2,)</f>
        <v>Đào hố móng đất cấp 3 sâu &gt;1m</v>
      </c>
      <c r="G238" s="422" t="str">
        <f>VLOOKUP($B238,[1]DG!A:D,[1]DG!$D$2,)</f>
        <v>m3</v>
      </c>
      <c r="H238" s="436"/>
      <c r="I238" s="436"/>
      <c r="J238" s="436"/>
      <c r="K238" s="436"/>
      <c r="L238" s="436"/>
      <c r="M238" s="436"/>
      <c r="N238" s="436"/>
      <c r="O238" s="436"/>
      <c r="P238" s="436"/>
      <c r="Q238" s="444"/>
      <c r="R238" s="444"/>
      <c r="S238" s="444"/>
      <c r="T238" s="432">
        <f t="shared" si="32"/>
        <v>0</v>
      </c>
    </row>
    <row r="239" spans="1:20" ht="22.2" hidden="1" customHeight="1">
      <c r="A239" s="379"/>
      <c r="B239" s="410" t="s">
        <v>76</v>
      </c>
      <c r="C239" s="411" t="str">
        <f t="shared" si="33"/>
        <v xml:space="preserve"> </v>
      </c>
      <c r="D239" s="445">
        <v>2.48</v>
      </c>
      <c r="E239" s="422" t="str">
        <f>VLOOKUP($B239,[1]DG!A:D,[1]DG!$B$2,)</f>
        <v>03.4113</v>
      </c>
      <c r="F239" s="434" t="str">
        <f>VLOOKUP($B239,[1]DG!A:D,[1]DG!$C$2,)</f>
        <v>Đắp đất hố móng, độ chặt k=0,95</v>
      </c>
      <c r="G239" s="422" t="str">
        <f>VLOOKUP($B239,[1]DG!A:D,[1]DG!$D$2,)</f>
        <v>m3</v>
      </c>
      <c r="H239" s="436"/>
      <c r="I239" s="436"/>
      <c r="J239" s="436"/>
      <c r="K239" s="436"/>
      <c r="L239" s="436"/>
      <c r="M239" s="436"/>
      <c r="N239" s="436"/>
      <c r="O239" s="436"/>
      <c r="P239" s="436"/>
      <c r="Q239" s="444"/>
      <c r="R239" s="444"/>
      <c r="S239" s="444"/>
      <c r="T239" s="432">
        <f t="shared" si="32"/>
        <v>0</v>
      </c>
    </row>
    <row r="240" spans="1:20" ht="22.2" hidden="1" customHeight="1">
      <c r="A240" s="379"/>
      <c r="B240" s="410" t="s">
        <v>624</v>
      </c>
      <c r="C240" s="411" t="str">
        <f t="shared" si="33"/>
        <v xml:space="preserve"> </v>
      </c>
      <c r="D240" s="445">
        <f>0.1*2</f>
        <v>0.2</v>
      </c>
      <c r="E240" s="422" t="str">
        <f>VLOOKUP($B240,[1]DG!A:D,[1]DG!$B$2,)</f>
        <v>02.1123</v>
      </c>
      <c r="F240" s="434" t="str">
        <f>VLOOKUP($B240,[1]DG!A:D,[1]DG!$C$2,)</f>
        <v>Bốc dỡ đà cản, đế néo</v>
      </c>
      <c r="G240" s="422" t="str">
        <f>VLOOKUP($B240,[1]DG!A:D,[1]DG!$D$2,)</f>
        <v>tấn</v>
      </c>
      <c r="H240" s="436"/>
      <c r="I240" s="436"/>
      <c r="J240" s="436"/>
      <c r="K240" s="436"/>
      <c r="L240" s="436"/>
      <c r="M240" s="436"/>
      <c r="N240" s="436"/>
      <c r="O240" s="436"/>
      <c r="P240" s="436"/>
      <c r="Q240" s="447"/>
      <c r="R240" s="447"/>
      <c r="S240" s="447"/>
      <c r="T240" s="432">
        <f t="shared" si="32"/>
        <v>0</v>
      </c>
    </row>
    <row r="241" spans="1:20" ht="22.2" hidden="1" customHeight="1">
      <c r="A241" s="379"/>
      <c r="B241" s="438" t="s">
        <v>625</v>
      </c>
      <c r="C241" s="411" t="str">
        <f t="shared" si="33"/>
        <v xml:space="preserve"> </v>
      </c>
      <c r="D241" s="445">
        <f>D240</f>
        <v>0.2</v>
      </c>
      <c r="E241" s="422" t="str">
        <f>VLOOKUP($B241,[1]DG!A:C,2,)</f>
        <v>02.1451</v>
      </c>
      <c r="F241" s="434" t="str">
        <f>VLOOKUP($B241,[1]DG!A:C,3,)</f>
        <v>V/c đà cản vào vị trí (cự ly &lt;=100m)</v>
      </c>
      <c r="G241" s="422" t="str">
        <f>VLOOKUP($B241,[1]DG!A:D,4,0)</f>
        <v>tấn</v>
      </c>
      <c r="H241" s="436"/>
      <c r="I241" s="436"/>
      <c r="J241" s="436"/>
      <c r="K241" s="436"/>
      <c r="L241" s="436"/>
      <c r="M241" s="436"/>
      <c r="N241" s="436"/>
      <c r="O241" s="436"/>
      <c r="P241" s="436"/>
      <c r="Q241" s="444"/>
      <c r="R241" s="444"/>
      <c r="S241" s="444"/>
      <c r="T241" s="432">
        <f t="shared" si="32"/>
        <v>0</v>
      </c>
    </row>
    <row r="242" spans="1:20" ht="22.2" hidden="1" customHeight="1">
      <c r="A242" s="379"/>
      <c r="B242" s="438" t="s">
        <v>626</v>
      </c>
      <c r="C242" s="411" t="str">
        <f t="shared" si="33"/>
        <v xml:space="preserve"> </v>
      </c>
      <c r="D242" s="433">
        <f>D237</f>
        <v>0.2</v>
      </c>
      <c r="E242" s="422" t="str">
        <f>VLOOKUP($B242,[1]DG!A:C,2,)</f>
        <v>02.1241</v>
      </c>
      <c r="F242" s="434" t="str">
        <f>VLOOKUP($B242,[1]DG!A:C,3,)</f>
        <v>V/c đá dăm ( cự ly &lt;=100m)</v>
      </c>
      <c r="G242" s="422" t="str">
        <f>VLOOKUP($B242,[1]DG!A:D,4,0)</f>
        <v>m3</v>
      </c>
      <c r="H242" s="435"/>
      <c r="I242" s="435"/>
      <c r="J242" s="435"/>
      <c r="K242" s="435"/>
      <c r="L242" s="435"/>
      <c r="M242" s="435"/>
      <c r="N242" s="435"/>
      <c r="O242" s="435"/>
      <c r="P242" s="435"/>
      <c r="Q242" s="437"/>
      <c r="R242" s="437"/>
      <c r="S242" s="437"/>
      <c r="T242" s="432">
        <f t="shared" si="32"/>
        <v>0</v>
      </c>
    </row>
    <row r="243" spans="1:20" ht="22.2" hidden="1" customHeight="1">
      <c r="A243" s="379"/>
      <c r="B243" s="438" t="s">
        <v>620</v>
      </c>
      <c r="C243" s="411" t="str">
        <f t="shared" si="33"/>
        <v xml:space="preserve"> </v>
      </c>
      <c r="D243" s="445">
        <v>0.2</v>
      </c>
      <c r="E243" s="422" t="str">
        <f>VLOOKUP($B243,[1]DG!A:C,2,)</f>
        <v>02.1482</v>
      </c>
      <c r="F243" s="434" t="str">
        <f>VLOOKUP($B243,[1]DG!A:C,3,)</f>
        <v>V/c dụng cụ thi công vào vị trí (cự ly &lt;=100m)</v>
      </c>
      <c r="G243" s="422" t="str">
        <f>VLOOKUP($B243,[1]DG!A:D,4,0)</f>
        <v>tấn</v>
      </c>
      <c r="H243" s="436"/>
      <c r="I243" s="436"/>
      <c r="J243" s="436"/>
      <c r="K243" s="436"/>
      <c r="L243" s="436"/>
      <c r="M243" s="436"/>
      <c r="N243" s="436"/>
      <c r="O243" s="436"/>
      <c r="P243" s="436"/>
      <c r="Q243" s="444"/>
      <c r="R243" s="444"/>
      <c r="S243" s="444"/>
      <c r="T243" s="432">
        <f t="shared" si="32"/>
        <v>0</v>
      </c>
    </row>
    <row r="244" spans="1:20" ht="22.2" customHeight="1">
      <c r="A244" s="451" t="s">
        <v>694</v>
      </c>
      <c r="B244" s="424" t="s">
        <v>694</v>
      </c>
      <c r="C244" s="400" t="str">
        <f t="shared" si="33"/>
        <v>x</v>
      </c>
      <c r="D244" s="426"/>
      <c r="E244" s="427"/>
      <c r="F244" s="428" t="s">
        <v>695</v>
      </c>
      <c r="G244" s="349" t="s">
        <v>344</v>
      </c>
      <c r="H244" s="429">
        <f>SUM(I244:O244)</f>
        <v>15</v>
      </c>
      <c r="I244" s="430"/>
      <c r="J244" s="430"/>
      <c r="K244" s="430">
        <f>IFERROR(HLOOKUP(B244,[1]pp3p1m!$1:$3,3,0),0)</f>
        <v>15</v>
      </c>
      <c r="L244" s="430">
        <f>IFERROR(HLOOKUP(chitiet!B244,[1]pp1p!$1:$3,3,0),0)</f>
        <v>0</v>
      </c>
      <c r="M244" s="430"/>
      <c r="N244" s="430"/>
      <c r="O244" s="430"/>
      <c r="P244" s="429">
        <f>H244+Q244-R244</f>
        <v>15</v>
      </c>
      <c r="Q244" s="431"/>
      <c r="R244" s="431"/>
      <c r="S244" s="431"/>
      <c r="T244" s="432">
        <f>IFERROR(HLOOKUP(B244,[1]pp1p!$1:$3,3,0),0)+IFERROR(HLOOKUP(B244,[1]pp3p1m!$1:$3,3,0),0)</f>
        <v>15</v>
      </c>
    </row>
    <row r="245" spans="1:20" ht="22.2" hidden="1" customHeight="1">
      <c r="B245" s="406" t="s">
        <v>75</v>
      </c>
      <c r="C245" s="400" t="str">
        <f t="shared" si="33"/>
        <v>x</v>
      </c>
      <c r="D245" s="443">
        <v>0.35299999999999998</v>
      </c>
      <c r="E245" s="422"/>
      <c r="F245" s="434" t="str">
        <f>VLOOKUP($B245,[1]DG!A:D,[1]DG!$C$2,)</f>
        <v>Đào hố móng đất cấp 3 sâu &gt;1m</v>
      </c>
      <c r="G245" s="422" t="str">
        <f>VLOOKUP($B245,[1]DG!A:D,[1]DG!$D$2,)</f>
        <v>m3</v>
      </c>
      <c r="H245" s="436">
        <f t="shared" ref="H245:N245" si="39">H$244*$D245</f>
        <v>5.2949999999999999</v>
      </c>
      <c r="I245" s="436">
        <f t="shared" si="39"/>
        <v>0</v>
      </c>
      <c r="J245" s="436">
        <f t="shared" si="39"/>
        <v>0</v>
      </c>
      <c r="K245" s="436">
        <f t="shared" si="39"/>
        <v>5.2949999999999999</v>
      </c>
      <c r="L245" s="436">
        <f t="shared" si="39"/>
        <v>0</v>
      </c>
      <c r="M245" s="436">
        <f t="shared" si="39"/>
        <v>0</v>
      </c>
      <c r="N245" s="436">
        <f t="shared" si="39"/>
        <v>0</v>
      </c>
      <c r="O245" s="436"/>
      <c r="P245" s="436">
        <f>$P$244*D245</f>
        <v>5.2949999999999999</v>
      </c>
      <c r="Q245" s="452">
        <f>$Q$244*D245</f>
        <v>0</v>
      </c>
      <c r="R245" s="444">
        <f>$R$244*D245</f>
        <v>0</v>
      </c>
      <c r="S245" s="447"/>
      <c r="T245" s="432">
        <f t="shared" si="32"/>
        <v>0</v>
      </c>
    </row>
    <row r="246" spans="1:20" ht="22.2" hidden="1" customHeight="1">
      <c r="B246" s="406" t="s">
        <v>76</v>
      </c>
      <c r="C246" s="400" t="str">
        <f t="shared" si="33"/>
        <v>x</v>
      </c>
      <c r="D246" s="443">
        <v>0.18</v>
      </c>
      <c r="E246" s="422" t="str">
        <f>VLOOKUP($B246,[1]DG!A:D,[1]DG!$B$2,)</f>
        <v>03.4113</v>
      </c>
      <c r="F246" s="434" t="str">
        <f>VLOOKUP($B246,[1]DG!A:D,[1]DG!$C$2,)</f>
        <v>Đắp đất hố móng, độ chặt k=0,95</v>
      </c>
      <c r="G246" s="422" t="str">
        <f>VLOOKUP($B246,[1]DG!A:D,[1]DG!$D$2,)</f>
        <v>m3</v>
      </c>
      <c r="H246" s="436">
        <f>H$244*$D246</f>
        <v>2.6999999999999997</v>
      </c>
      <c r="I246" s="435">
        <f t="shared" ref="I246:N246" si="40">I$18*$D246</f>
        <v>0</v>
      </c>
      <c r="J246" s="435">
        <f t="shared" si="40"/>
        <v>0</v>
      </c>
      <c r="K246" s="435">
        <f t="shared" si="40"/>
        <v>0</v>
      </c>
      <c r="L246" s="435">
        <f t="shared" si="40"/>
        <v>0</v>
      </c>
      <c r="M246" s="435">
        <f t="shared" si="40"/>
        <v>0</v>
      </c>
      <c r="N246" s="435">
        <f t="shared" si="40"/>
        <v>0</v>
      </c>
      <c r="O246" s="435"/>
      <c r="P246" s="436">
        <f>$P$244*D246</f>
        <v>2.6999999999999997</v>
      </c>
      <c r="Q246" s="452">
        <f>$Q$244*D246</f>
        <v>0</v>
      </c>
      <c r="R246" s="444">
        <f>$R$244*D246</f>
        <v>0</v>
      </c>
      <c r="S246" s="442"/>
      <c r="T246" s="432">
        <f t="shared" si="32"/>
        <v>0</v>
      </c>
    </row>
    <row r="247" spans="1:20" ht="22.2" hidden="1" customHeight="1">
      <c r="A247" s="379"/>
      <c r="B247" s="438" t="s">
        <v>620</v>
      </c>
      <c r="C247" s="411" t="str">
        <f t="shared" si="33"/>
        <v xml:space="preserve"> </v>
      </c>
      <c r="D247" s="445"/>
      <c r="E247" s="422" t="str">
        <f>VLOOKUP($B247,[1]DG!A:C,2,)</f>
        <v>02.1482</v>
      </c>
      <c r="F247" s="434" t="str">
        <f>VLOOKUP($B247,[1]DG!A:C,3,)</f>
        <v>V/c dụng cụ thi công vào vị trí (cự ly &lt;=100m)</v>
      </c>
      <c r="G247" s="422" t="str">
        <f>VLOOKUP($B247,[1]DG!A:D,4,0)</f>
        <v>tấn</v>
      </c>
      <c r="H247" s="436"/>
      <c r="I247" s="436"/>
      <c r="J247" s="436"/>
      <c r="K247" s="436"/>
      <c r="L247" s="436"/>
      <c r="M247" s="436"/>
      <c r="N247" s="436"/>
      <c r="O247" s="436"/>
      <c r="P247" s="436"/>
      <c r="Q247" s="444"/>
      <c r="R247" s="444"/>
      <c r="S247" s="444"/>
      <c r="T247" s="432">
        <f t="shared" si="32"/>
        <v>0</v>
      </c>
    </row>
    <row r="248" spans="1:20" ht="22.2" hidden="1" customHeight="1">
      <c r="A248" s="423" t="s">
        <v>696</v>
      </c>
      <c r="B248" s="424" t="s">
        <v>696</v>
      </c>
      <c r="C248" s="425" t="str">
        <f t="shared" si="33"/>
        <v xml:space="preserve"> </v>
      </c>
      <c r="D248" s="426"/>
      <c r="E248" s="427"/>
      <c r="F248" s="428" t="s">
        <v>72</v>
      </c>
      <c r="G248" s="349" t="s">
        <v>344</v>
      </c>
      <c r="H248" s="429">
        <f>SUM(I248:O248)</f>
        <v>0</v>
      </c>
      <c r="I248" s="430"/>
      <c r="J248" s="430"/>
      <c r="K248" s="430">
        <f>IFERROR(HLOOKUP(B248,[1]pp3p1m!$1:$3,3,0),0)</f>
        <v>0</v>
      </c>
      <c r="L248" s="430">
        <f>IFERROR(HLOOKUP(chitiet!B248,[1]pp1p!$1:$3,3,0),0)</f>
        <v>0</v>
      </c>
      <c r="M248" s="430"/>
      <c r="N248" s="430"/>
      <c r="O248" s="430"/>
      <c r="P248" s="429">
        <f>H248+Q248-R248</f>
        <v>0</v>
      </c>
      <c r="Q248" s="431"/>
      <c r="R248" s="431"/>
      <c r="S248" s="431"/>
      <c r="T248" s="432">
        <f>IFERROR(HLOOKUP(B248,[1]pp1p!$1:$3,3,0),0)+IFERROR(HLOOKUP(B248,[1]pp3p1m!$1:$3,3,0),0)</f>
        <v>0</v>
      </c>
    </row>
    <row r="249" spans="1:20" ht="22.2" hidden="1" customHeight="1">
      <c r="A249" s="379"/>
      <c r="B249" s="410" t="s">
        <v>73</v>
      </c>
      <c r="C249" s="411" t="str">
        <f t="shared" si="33"/>
        <v xml:space="preserve"> </v>
      </c>
      <c r="D249" s="446">
        <v>1</v>
      </c>
      <c r="E249" s="422" t="str">
        <f>VLOOKUP($B249,[1]DG!A:D,[1]DG!$B$2,)</f>
        <v>04.4001</v>
      </c>
      <c r="F249" s="441" t="str">
        <f>VLOOKUP($B249,[1]DG!A:D,[1]DG!$C$2,)</f>
        <v>Đà cản BTCT 1,2m</v>
      </c>
      <c r="G249" s="422" t="str">
        <f>VLOOKUP($B249,[1]DG!A:D,[1]DG!$D$2,)</f>
        <v>cái</v>
      </c>
      <c r="H249" s="436">
        <f>H$248*$D249</f>
        <v>0</v>
      </c>
      <c r="I249" s="436">
        <f>I$244*$D249</f>
        <v>0</v>
      </c>
      <c r="J249" s="436">
        <f>J$244*$D249</f>
        <v>0</v>
      </c>
      <c r="K249" s="436">
        <f>K$248*$D249</f>
        <v>0</v>
      </c>
      <c r="L249" s="436">
        <f>L$248*$D249</f>
        <v>0</v>
      </c>
      <c r="M249" s="436">
        <f t="shared" ref="M249:O250" si="41">M$244*$D249</f>
        <v>0</v>
      </c>
      <c r="N249" s="436">
        <f t="shared" si="41"/>
        <v>0</v>
      </c>
      <c r="O249" s="436">
        <f t="shared" si="41"/>
        <v>0</v>
      </c>
      <c r="P249" s="435">
        <f>$P$248*D249</f>
        <v>0</v>
      </c>
      <c r="Q249" s="447"/>
      <c r="R249" s="447"/>
      <c r="S249" s="447"/>
      <c r="T249" s="432">
        <f t="shared" si="32"/>
        <v>0</v>
      </c>
    </row>
    <row r="250" spans="1:20" ht="22.2" hidden="1" customHeight="1">
      <c r="A250" s="379"/>
      <c r="B250" s="410" t="s">
        <v>697</v>
      </c>
      <c r="C250" s="411" t="str">
        <f t="shared" si="33"/>
        <v xml:space="preserve"> </v>
      </c>
      <c r="D250" s="446">
        <v>1</v>
      </c>
      <c r="E250" s="422"/>
      <c r="F250" s="441" t="str">
        <f>VLOOKUP($B250,[1]DG!A:D,[1]DG!$C$2,)</f>
        <v>Boulon 22x600+ 2 long đền vuông D24-50x50x3/Zn</v>
      </c>
      <c r="G250" s="422" t="str">
        <f>VLOOKUP($B250,[1]DG!A:D,[1]DG!$D$2,)</f>
        <v>bộ</v>
      </c>
      <c r="H250" s="436">
        <f>H$248*$D250</f>
        <v>0</v>
      </c>
      <c r="I250" s="436">
        <f>I$244*$D250</f>
        <v>0</v>
      </c>
      <c r="J250" s="436">
        <f>J$244*$D250</f>
        <v>0</v>
      </c>
      <c r="K250" s="436">
        <f>K$248*$D250</f>
        <v>0</v>
      </c>
      <c r="L250" s="436">
        <f>L$248*$D250</f>
        <v>0</v>
      </c>
      <c r="M250" s="436">
        <f t="shared" si="41"/>
        <v>0</v>
      </c>
      <c r="N250" s="436">
        <f t="shared" si="41"/>
        <v>0</v>
      </c>
      <c r="O250" s="436">
        <f t="shared" si="41"/>
        <v>0</v>
      </c>
      <c r="P250" s="435">
        <f>$P$248*D250</f>
        <v>0</v>
      </c>
      <c r="Q250" s="447"/>
      <c r="R250" s="447"/>
      <c r="S250" s="447"/>
      <c r="T250" s="432">
        <f t="shared" si="32"/>
        <v>0</v>
      </c>
    </row>
    <row r="251" spans="1:20" ht="22.2" hidden="1" customHeight="1">
      <c r="A251" s="379"/>
      <c r="B251" s="410" t="s">
        <v>75</v>
      </c>
      <c r="C251" s="411" t="str">
        <f t="shared" si="33"/>
        <v xml:space="preserve"> </v>
      </c>
      <c r="D251" s="445">
        <v>0.87</v>
      </c>
      <c r="E251" s="422" t="str">
        <f>VLOOKUP($B251,[1]DG!A:D,[1]DG!$B$2,)</f>
        <v>03.1013</v>
      </c>
      <c r="F251" s="434" t="str">
        <f>VLOOKUP($B251,[1]DG!A:D,[1]DG!$C$2,)</f>
        <v>Đào hố móng đất cấp 3 sâu &gt;1m</v>
      </c>
      <c r="G251" s="422" t="str">
        <f>VLOOKUP($B251,[1]DG!A:D,[1]DG!$D$2,)</f>
        <v>m3</v>
      </c>
      <c r="H251" s="436">
        <f>H$248*$D251</f>
        <v>0</v>
      </c>
      <c r="I251" s="436"/>
      <c r="J251" s="436"/>
      <c r="K251" s="436"/>
      <c r="L251" s="436"/>
      <c r="M251" s="436"/>
      <c r="N251" s="436"/>
      <c r="O251" s="436"/>
      <c r="P251" s="435">
        <f>$P$248*D251</f>
        <v>0</v>
      </c>
      <c r="Q251" s="444"/>
      <c r="R251" s="444"/>
      <c r="S251" s="444"/>
      <c r="T251" s="432">
        <f t="shared" si="32"/>
        <v>0</v>
      </c>
    </row>
    <row r="252" spans="1:20" ht="22.2" hidden="1" customHeight="1">
      <c r="A252" s="379"/>
      <c r="B252" s="410" t="s">
        <v>76</v>
      </c>
      <c r="C252" s="411" t="str">
        <f t="shared" si="33"/>
        <v xml:space="preserve"> </v>
      </c>
      <c r="D252" s="445">
        <v>0.79</v>
      </c>
      <c r="E252" s="422" t="str">
        <f>VLOOKUP($B252,[1]DG!A:D,[1]DG!$B$2,)</f>
        <v>03.4113</v>
      </c>
      <c r="F252" s="434" t="str">
        <f>VLOOKUP($B252,[1]DG!A:D,[1]DG!$C$2,)</f>
        <v>Đắp đất hố móng, độ chặt k=0,95</v>
      </c>
      <c r="G252" s="422" t="str">
        <f>VLOOKUP($B252,[1]DG!A:D,[1]DG!$D$2,)</f>
        <v>m3</v>
      </c>
      <c r="H252" s="436">
        <f>H$248*$D252</f>
        <v>0</v>
      </c>
      <c r="I252" s="436"/>
      <c r="J252" s="436"/>
      <c r="K252" s="436"/>
      <c r="L252" s="436"/>
      <c r="M252" s="436"/>
      <c r="N252" s="436"/>
      <c r="O252" s="436"/>
      <c r="P252" s="435">
        <f>$P$248*D252</f>
        <v>0</v>
      </c>
      <c r="Q252" s="444"/>
      <c r="R252" s="444"/>
      <c r="S252" s="444"/>
      <c r="T252" s="432">
        <f t="shared" si="32"/>
        <v>0</v>
      </c>
    </row>
    <row r="253" spans="1:20" ht="22.2" hidden="1" customHeight="1">
      <c r="A253" s="379"/>
      <c r="B253" s="410" t="s">
        <v>624</v>
      </c>
      <c r="C253" s="411" t="str">
        <f t="shared" si="33"/>
        <v xml:space="preserve"> </v>
      </c>
      <c r="D253" s="445">
        <f>0.1*0</f>
        <v>0</v>
      </c>
      <c r="E253" s="422" t="str">
        <f>VLOOKUP($B253,[1]DG!A:D,[1]DG!$B$2,)</f>
        <v>02.1123</v>
      </c>
      <c r="F253" s="434" t="str">
        <f>VLOOKUP($B253,[1]DG!A:D,[1]DG!$C$2,)</f>
        <v>Bốc dỡ đà cản, đế néo</v>
      </c>
      <c r="G253" s="422" t="str">
        <f>VLOOKUP($B253,[1]DG!A:D,[1]DG!$D$2,)</f>
        <v>tấn</v>
      </c>
      <c r="H253" s="436"/>
      <c r="I253" s="436"/>
      <c r="J253" s="436"/>
      <c r="K253" s="436"/>
      <c r="L253" s="436"/>
      <c r="M253" s="436"/>
      <c r="N253" s="436"/>
      <c r="O253" s="436"/>
      <c r="P253" s="436"/>
      <c r="Q253" s="447"/>
      <c r="R253" s="447"/>
      <c r="S253" s="447"/>
      <c r="T253" s="432">
        <f t="shared" si="32"/>
        <v>0</v>
      </c>
    </row>
    <row r="254" spans="1:20" ht="22.2" hidden="1" customHeight="1">
      <c r="A254" s="379"/>
      <c r="B254" s="438" t="s">
        <v>625</v>
      </c>
      <c r="C254" s="411" t="str">
        <f t="shared" si="33"/>
        <v xml:space="preserve"> </v>
      </c>
      <c r="D254" s="445">
        <f>D253</f>
        <v>0</v>
      </c>
      <c r="E254" s="422" t="str">
        <f>VLOOKUP($B254,[1]DG!A:C,2,)</f>
        <v>02.1451</v>
      </c>
      <c r="F254" s="434" t="str">
        <f>VLOOKUP($B254,[1]DG!A:C,3,)</f>
        <v>V/c đà cản vào vị trí (cự ly &lt;=100m)</v>
      </c>
      <c r="G254" s="422" t="str">
        <f>VLOOKUP($B254,[1]DG!A:D,4,0)</f>
        <v>tấn</v>
      </c>
      <c r="H254" s="436"/>
      <c r="I254" s="436"/>
      <c r="J254" s="436"/>
      <c r="K254" s="436"/>
      <c r="L254" s="436"/>
      <c r="M254" s="436"/>
      <c r="N254" s="436"/>
      <c r="O254" s="436"/>
      <c r="P254" s="436"/>
      <c r="Q254" s="444"/>
      <c r="R254" s="444"/>
      <c r="S254" s="444"/>
      <c r="T254" s="432">
        <f t="shared" si="32"/>
        <v>0</v>
      </c>
    </row>
    <row r="255" spans="1:20" ht="22.2" hidden="1" customHeight="1">
      <c r="A255" s="379"/>
      <c r="B255" s="438" t="s">
        <v>620</v>
      </c>
      <c r="C255" s="411" t="str">
        <f t="shared" si="33"/>
        <v xml:space="preserve"> </v>
      </c>
      <c r="D255" s="445">
        <f>0.2*0</f>
        <v>0</v>
      </c>
      <c r="E255" s="422" t="str">
        <f>VLOOKUP($B255,[1]DG!A:C,2,)</f>
        <v>02.1482</v>
      </c>
      <c r="F255" s="434" t="str">
        <f>VLOOKUP($B255,[1]DG!A:C,3,)</f>
        <v>V/c dụng cụ thi công vào vị trí (cự ly &lt;=100m)</v>
      </c>
      <c r="G255" s="422" t="str">
        <f>VLOOKUP($B255,[1]DG!A:D,4,0)</f>
        <v>tấn</v>
      </c>
      <c r="H255" s="436"/>
      <c r="I255" s="436"/>
      <c r="J255" s="436"/>
      <c r="K255" s="436"/>
      <c r="L255" s="436"/>
      <c r="M255" s="436"/>
      <c r="N255" s="436"/>
      <c r="O255" s="436"/>
      <c r="P255" s="436"/>
      <c r="Q255" s="444"/>
      <c r="R255" s="444"/>
      <c r="S255" s="444"/>
      <c r="T255" s="432">
        <f t="shared" si="32"/>
        <v>0</v>
      </c>
    </row>
    <row r="256" spans="1:20" ht="22.2" hidden="1" customHeight="1">
      <c r="A256" s="423" t="s">
        <v>698</v>
      </c>
      <c r="B256" s="424" t="s">
        <v>698</v>
      </c>
      <c r="C256" s="425" t="str">
        <f t="shared" si="33"/>
        <v xml:space="preserve"> </v>
      </c>
      <c r="D256" s="426"/>
      <c r="E256" s="427"/>
      <c r="F256" s="428" t="s">
        <v>699</v>
      </c>
      <c r="G256" s="349" t="s">
        <v>344</v>
      </c>
      <c r="H256" s="429">
        <f>SUM(I256:O256)</f>
        <v>0</v>
      </c>
      <c r="I256" s="430"/>
      <c r="J256" s="430"/>
      <c r="K256" s="430">
        <f>IFERROR(HLOOKUP(B256,[1]pp3p1m!$1:$3,3,0),0)</f>
        <v>0</v>
      </c>
      <c r="L256" s="430">
        <f>IFERROR(HLOOKUP(chitiet!B256,[1]pp1p!$1:$3,3,0),0)</f>
        <v>0</v>
      </c>
      <c r="M256" s="430"/>
      <c r="N256" s="430"/>
      <c r="O256" s="430"/>
      <c r="P256" s="430"/>
      <c r="Q256" s="431"/>
      <c r="R256" s="431"/>
      <c r="S256" s="431"/>
      <c r="T256" s="432">
        <f>IFERROR(HLOOKUP(B256,[1]pp1p!$1:$3,3,0),0)+IFERROR(HLOOKUP(B256,[1]pp3p1m!$1:$3,3,0),0)</f>
        <v>0</v>
      </c>
    </row>
    <row r="257" spans="1:20" ht="22.2" hidden="1" customHeight="1">
      <c r="A257" s="379"/>
      <c r="B257" s="410" t="s">
        <v>629</v>
      </c>
      <c r="C257" s="411" t="str">
        <f t="shared" si="33"/>
        <v xml:space="preserve"> </v>
      </c>
      <c r="D257" s="446">
        <v>1</v>
      </c>
      <c r="E257" s="422" t="str">
        <f>VLOOKUP($B257,[1]DG!A:D,[1]DG!$B$2,)</f>
        <v>04.3801</v>
      </c>
      <c r="F257" s="441" t="str">
        <f>VLOOKUP($B257,[1]DG!A:D,[1]DG!$C$2,)</f>
        <v>Đà cản BTCT 1,5m</v>
      </c>
      <c r="G257" s="422" t="str">
        <f>VLOOKUP($B257,[1]DG!A:D,[1]DG!$D$2,)</f>
        <v>cái</v>
      </c>
      <c r="H257" s="436">
        <f t="shared" ref="H257:N258" si="42">H$256*$D257</f>
        <v>0</v>
      </c>
      <c r="I257" s="436">
        <f t="shared" si="42"/>
        <v>0</v>
      </c>
      <c r="J257" s="436">
        <f t="shared" si="42"/>
        <v>0</v>
      </c>
      <c r="K257" s="436">
        <f t="shared" si="42"/>
        <v>0</v>
      </c>
      <c r="L257" s="436">
        <f t="shared" si="42"/>
        <v>0</v>
      </c>
      <c r="M257" s="436">
        <f t="shared" si="42"/>
        <v>0</v>
      </c>
      <c r="N257" s="436">
        <f t="shared" si="42"/>
        <v>0</v>
      </c>
      <c r="O257" s="436"/>
      <c r="P257" s="436"/>
      <c r="Q257" s="447"/>
      <c r="R257" s="447"/>
      <c r="S257" s="447"/>
      <c r="T257" s="432">
        <f t="shared" si="32"/>
        <v>0</v>
      </c>
    </row>
    <row r="258" spans="1:20" ht="22.2" hidden="1" customHeight="1">
      <c r="A258" s="379"/>
      <c r="B258" s="410" t="s">
        <v>74</v>
      </c>
      <c r="C258" s="411" t="str">
        <f t="shared" si="33"/>
        <v xml:space="preserve"> </v>
      </c>
      <c r="D258" s="446">
        <v>1</v>
      </c>
      <c r="E258" s="422"/>
      <c r="F258" s="441" t="str">
        <f>VLOOKUP($B258,[1]DG!A:D,[1]DG!$C$2,)</f>
        <v>Boulon 22x650+ 2 long đền vuông D24-50x50x3/Zn</v>
      </c>
      <c r="G258" s="422" t="str">
        <f>VLOOKUP($B258,[1]DG!A:D,[1]DG!$D$2,)</f>
        <v>bộ</v>
      </c>
      <c r="H258" s="436">
        <f t="shared" si="42"/>
        <v>0</v>
      </c>
      <c r="I258" s="436">
        <f t="shared" si="42"/>
        <v>0</v>
      </c>
      <c r="J258" s="436">
        <f t="shared" si="42"/>
        <v>0</v>
      </c>
      <c r="K258" s="436">
        <f t="shared" si="42"/>
        <v>0</v>
      </c>
      <c r="L258" s="436">
        <f t="shared" si="42"/>
        <v>0</v>
      </c>
      <c r="M258" s="436">
        <f t="shared" si="42"/>
        <v>0</v>
      </c>
      <c r="N258" s="436">
        <f t="shared" si="42"/>
        <v>0</v>
      </c>
      <c r="O258" s="436"/>
      <c r="P258" s="436"/>
      <c r="Q258" s="447"/>
      <c r="R258" s="447"/>
      <c r="S258" s="447"/>
      <c r="T258" s="432">
        <f t="shared" si="32"/>
        <v>0</v>
      </c>
    </row>
    <row r="259" spans="1:20" ht="22.2" hidden="1" customHeight="1">
      <c r="A259" s="379"/>
      <c r="B259" s="410" t="s">
        <v>630</v>
      </c>
      <c r="C259" s="411" t="str">
        <f t="shared" si="33"/>
        <v xml:space="preserve"> </v>
      </c>
      <c r="D259" s="433">
        <v>0.23200000000000001</v>
      </c>
      <c r="E259" s="422">
        <f>VLOOKUP($B259,[1]DG!A:D,[1]DG!$B$2,)</f>
        <v>0</v>
      </c>
      <c r="F259" s="434" t="str">
        <f>VLOOKUP($B259,[1]DG!A:D,[1]DG!$C$2,)</f>
        <v>Đá 2x4</v>
      </c>
      <c r="G259" s="422" t="str">
        <f>VLOOKUP($B259,[1]DG!A:D,[1]DG!$D$2,)</f>
        <v>m3</v>
      </c>
      <c r="H259" s="435">
        <f t="shared" ref="H259:N259" si="43">H$18*$D259</f>
        <v>0</v>
      </c>
      <c r="I259" s="435">
        <f t="shared" si="43"/>
        <v>0</v>
      </c>
      <c r="J259" s="435">
        <f t="shared" si="43"/>
        <v>0</v>
      </c>
      <c r="K259" s="435">
        <f t="shared" si="43"/>
        <v>0</v>
      </c>
      <c r="L259" s="435">
        <f t="shared" si="43"/>
        <v>0</v>
      </c>
      <c r="M259" s="435">
        <f t="shared" si="43"/>
        <v>0</v>
      </c>
      <c r="N259" s="435">
        <f t="shared" si="43"/>
        <v>0</v>
      </c>
      <c r="O259" s="435"/>
      <c r="P259" s="435"/>
      <c r="Q259" s="442"/>
      <c r="R259" s="442"/>
      <c r="S259" s="442"/>
      <c r="T259" s="432">
        <f t="shared" si="32"/>
        <v>0</v>
      </c>
    </row>
    <row r="260" spans="1:20" ht="22.2" hidden="1" customHeight="1">
      <c r="A260" s="379"/>
      <c r="B260" s="410" t="s">
        <v>75</v>
      </c>
      <c r="C260" s="411" t="str">
        <f t="shared" si="33"/>
        <v xml:space="preserve"> </v>
      </c>
      <c r="D260" s="445">
        <v>3.1030000000000002</v>
      </c>
      <c r="E260" s="422" t="str">
        <f>VLOOKUP($B260,[1]DG!A:D,[1]DG!$B$2,)</f>
        <v>03.1013</v>
      </c>
      <c r="F260" s="434" t="str">
        <f>VLOOKUP($B260,[1]DG!A:D,[1]DG!$C$2,)</f>
        <v>Đào hố móng đất cấp 3 sâu &gt;1m</v>
      </c>
      <c r="G260" s="422" t="str">
        <f>VLOOKUP($B260,[1]DG!A:D,[1]DG!$D$2,)</f>
        <v>m3</v>
      </c>
      <c r="H260" s="436"/>
      <c r="I260" s="436"/>
      <c r="J260" s="436"/>
      <c r="K260" s="436"/>
      <c r="L260" s="436"/>
      <c r="M260" s="436"/>
      <c r="N260" s="436"/>
      <c r="O260" s="436"/>
      <c r="P260" s="436"/>
      <c r="Q260" s="444"/>
      <c r="R260" s="444"/>
      <c r="S260" s="444"/>
      <c r="T260" s="432">
        <f t="shared" si="32"/>
        <v>0</v>
      </c>
    </row>
    <row r="261" spans="1:20" ht="22.2" hidden="1" customHeight="1">
      <c r="A261" s="379"/>
      <c r="B261" s="410" t="s">
        <v>76</v>
      </c>
      <c r="C261" s="411" t="str">
        <f t="shared" si="33"/>
        <v xml:space="preserve"> </v>
      </c>
      <c r="D261" s="445">
        <v>3.472</v>
      </c>
      <c r="E261" s="422" t="str">
        <f>VLOOKUP($B261,[1]DG!A:D,[1]DG!$B$2,)</f>
        <v>03.4113</v>
      </c>
      <c r="F261" s="434" t="str">
        <f>VLOOKUP($B261,[1]DG!A:D,[1]DG!$C$2,)</f>
        <v>Đắp đất hố móng, độ chặt k=0,95</v>
      </c>
      <c r="G261" s="422" t="str">
        <f>VLOOKUP($B261,[1]DG!A:D,[1]DG!$D$2,)</f>
        <v>m3</v>
      </c>
      <c r="H261" s="436"/>
      <c r="I261" s="436"/>
      <c r="J261" s="436"/>
      <c r="K261" s="436"/>
      <c r="L261" s="436"/>
      <c r="M261" s="436"/>
      <c r="N261" s="436"/>
      <c r="O261" s="436"/>
      <c r="P261" s="436"/>
      <c r="Q261" s="444"/>
      <c r="R261" s="444"/>
      <c r="S261" s="444"/>
      <c r="T261" s="432">
        <f t="shared" si="32"/>
        <v>0</v>
      </c>
    </row>
    <row r="262" spans="1:20" ht="22.2" hidden="1" customHeight="1">
      <c r="A262" s="379"/>
      <c r="B262" s="410" t="s">
        <v>624</v>
      </c>
      <c r="C262" s="411" t="str">
        <f t="shared" si="33"/>
        <v xml:space="preserve"> </v>
      </c>
      <c r="D262" s="445">
        <v>0.255</v>
      </c>
      <c r="E262" s="422" t="str">
        <f>VLOOKUP($B262,[1]DG!A:D,[1]DG!$B$2,)</f>
        <v>02.1123</v>
      </c>
      <c r="F262" s="434" t="str">
        <f>VLOOKUP($B262,[1]DG!A:D,[1]DG!$C$2,)</f>
        <v>Bốc dỡ đà cản, đế néo</v>
      </c>
      <c r="G262" s="422" t="str">
        <f>VLOOKUP($B262,[1]DG!A:D,[1]DG!$D$2,)</f>
        <v>tấn</v>
      </c>
      <c r="H262" s="436"/>
      <c r="I262" s="436"/>
      <c r="J262" s="436"/>
      <c r="K262" s="436"/>
      <c r="L262" s="436"/>
      <c r="M262" s="436"/>
      <c r="N262" s="436"/>
      <c r="O262" s="436"/>
      <c r="P262" s="436"/>
      <c r="Q262" s="447"/>
      <c r="R262" s="447"/>
      <c r="S262" s="447"/>
      <c r="T262" s="432">
        <f t="shared" si="32"/>
        <v>0</v>
      </c>
    </row>
    <row r="263" spans="1:20" ht="22.2" hidden="1" customHeight="1">
      <c r="A263" s="379"/>
      <c r="B263" s="438" t="s">
        <v>625</v>
      </c>
      <c r="C263" s="411" t="str">
        <f t="shared" si="33"/>
        <v xml:space="preserve"> </v>
      </c>
      <c r="D263" s="445">
        <f>+D262</f>
        <v>0.255</v>
      </c>
      <c r="E263" s="422" t="str">
        <f>VLOOKUP($B263,[1]DG!A:C,2,)</f>
        <v>02.1451</v>
      </c>
      <c r="F263" s="434" t="str">
        <f>VLOOKUP($B263,[1]DG!A:C,3,)</f>
        <v>V/c đà cản vào vị trí (cự ly &lt;=100m)</v>
      </c>
      <c r="G263" s="422" t="str">
        <f>VLOOKUP($B263,[1]DG!A:D,4,0)</f>
        <v>tấn</v>
      </c>
      <c r="H263" s="436"/>
      <c r="I263" s="436"/>
      <c r="J263" s="436"/>
      <c r="K263" s="436"/>
      <c r="L263" s="436"/>
      <c r="M263" s="436"/>
      <c r="N263" s="436"/>
      <c r="O263" s="436"/>
      <c r="P263" s="436"/>
      <c r="Q263" s="444"/>
      <c r="R263" s="444"/>
      <c r="S263" s="444"/>
      <c r="T263" s="432">
        <f t="shared" si="32"/>
        <v>0</v>
      </c>
    </row>
    <row r="264" spans="1:20" ht="22.2" hidden="1" customHeight="1">
      <c r="A264" s="379"/>
      <c r="B264" s="438" t="s">
        <v>626</v>
      </c>
      <c r="C264" s="411" t="str">
        <f t="shared" si="33"/>
        <v xml:space="preserve"> </v>
      </c>
      <c r="D264" s="433">
        <f>D259</f>
        <v>0.23200000000000001</v>
      </c>
      <c r="E264" s="422" t="str">
        <f>VLOOKUP($B264,[1]DG!A:C,2,)</f>
        <v>02.1241</v>
      </c>
      <c r="F264" s="434" t="str">
        <f>VLOOKUP($B264,[1]DG!A:C,3,)</f>
        <v>V/c đá dăm ( cự ly &lt;=100m)</v>
      </c>
      <c r="G264" s="422" t="str">
        <f>VLOOKUP($B264,[1]DG!A:D,4,0)</f>
        <v>m3</v>
      </c>
      <c r="H264" s="435"/>
      <c r="I264" s="435"/>
      <c r="J264" s="435"/>
      <c r="K264" s="435"/>
      <c r="L264" s="435"/>
      <c r="M264" s="435"/>
      <c r="N264" s="435"/>
      <c r="O264" s="435"/>
      <c r="P264" s="435"/>
      <c r="Q264" s="437"/>
      <c r="R264" s="437"/>
      <c r="S264" s="437"/>
      <c r="T264" s="432">
        <f t="shared" si="32"/>
        <v>0</v>
      </c>
    </row>
    <row r="265" spans="1:20" ht="22.2" hidden="1" customHeight="1">
      <c r="A265" s="379"/>
      <c r="B265" s="438" t="s">
        <v>620</v>
      </c>
      <c r="C265" s="411" t="str">
        <f t="shared" si="33"/>
        <v xml:space="preserve"> </v>
      </c>
      <c r="D265" s="445">
        <v>0.2</v>
      </c>
      <c r="E265" s="422" t="str">
        <f>VLOOKUP($B265,[1]DG!A:C,2,)</f>
        <v>02.1482</v>
      </c>
      <c r="F265" s="434" t="str">
        <f>VLOOKUP($B265,[1]DG!A:C,3,)</f>
        <v>V/c dụng cụ thi công vào vị trí (cự ly &lt;=100m)</v>
      </c>
      <c r="G265" s="422" t="str">
        <f>VLOOKUP($B265,[1]DG!A:D,4,0)</f>
        <v>tấn</v>
      </c>
      <c r="H265" s="436"/>
      <c r="I265" s="436"/>
      <c r="J265" s="436"/>
      <c r="K265" s="436"/>
      <c r="L265" s="436"/>
      <c r="M265" s="436"/>
      <c r="N265" s="436"/>
      <c r="O265" s="436"/>
      <c r="P265" s="436"/>
      <c r="Q265" s="444"/>
      <c r="R265" s="444"/>
      <c r="S265" s="444"/>
      <c r="T265" s="432">
        <f t="shared" si="32"/>
        <v>0</v>
      </c>
    </row>
    <row r="266" spans="1:20" ht="22.2" hidden="1" customHeight="1">
      <c r="A266" s="423" t="s">
        <v>700</v>
      </c>
      <c r="B266" s="424" t="s">
        <v>700</v>
      </c>
      <c r="C266" s="425" t="str">
        <f t="shared" si="33"/>
        <v xml:space="preserve"> </v>
      </c>
      <c r="D266" s="426"/>
      <c r="E266" s="427"/>
      <c r="F266" s="428" t="s">
        <v>701</v>
      </c>
      <c r="G266" s="349" t="s">
        <v>344</v>
      </c>
      <c r="H266" s="429">
        <f>SUM(I266:O266)</f>
        <v>0</v>
      </c>
      <c r="I266" s="430"/>
      <c r="J266" s="430"/>
      <c r="K266" s="430">
        <f>IFERROR(HLOOKUP(B266,[1]pp3p1m!$1:$3,3,0),0)</f>
        <v>0</v>
      </c>
      <c r="L266" s="430">
        <f>IFERROR(HLOOKUP(chitiet!B266,[1]pp1p!$1:$3,3,0),0)</f>
        <v>0</v>
      </c>
      <c r="M266" s="430"/>
      <c r="N266" s="430"/>
      <c r="O266" s="430"/>
      <c r="P266" s="430"/>
      <c r="Q266" s="431"/>
      <c r="R266" s="431"/>
      <c r="S266" s="431"/>
      <c r="T266" s="432">
        <f>IFERROR(HLOOKUP(B266,[1]pp1p!$1:$3,3,0),0)+IFERROR(HLOOKUP(B266,[1]pp3p1m!$1:$3,3,0),0)</f>
        <v>0</v>
      </c>
    </row>
    <row r="267" spans="1:20" ht="22.2" hidden="1" customHeight="1">
      <c r="A267" s="379"/>
      <c r="B267" s="410" t="s">
        <v>73</v>
      </c>
      <c r="C267" s="411" t="str">
        <f t="shared" si="33"/>
        <v xml:space="preserve"> </v>
      </c>
      <c r="D267" s="446">
        <v>2</v>
      </c>
      <c r="E267" s="422" t="str">
        <f>VLOOKUP($B267,[1]DG!A:D,[1]DG!$B$2,)</f>
        <v>04.4001</v>
      </c>
      <c r="F267" s="441" t="str">
        <f>VLOOKUP($B267,[1]DG!A:D,[1]DG!$C$2,)</f>
        <v>Đà cản BTCT 1,2m</v>
      </c>
      <c r="G267" s="422" t="str">
        <f>VLOOKUP($B267,[1]DG!A:D,[1]DG!$D$2,)</f>
        <v>cái</v>
      </c>
      <c r="H267" s="436">
        <f t="shared" ref="H267:N268" si="44">H$266*$D267</f>
        <v>0</v>
      </c>
      <c r="I267" s="436">
        <f t="shared" si="44"/>
        <v>0</v>
      </c>
      <c r="J267" s="436">
        <f t="shared" si="44"/>
        <v>0</v>
      </c>
      <c r="K267" s="436">
        <f t="shared" si="44"/>
        <v>0</v>
      </c>
      <c r="L267" s="436">
        <f t="shared" si="44"/>
        <v>0</v>
      </c>
      <c r="M267" s="436">
        <f t="shared" si="44"/>
        <v>0</v>
      </c>
      <c r="N267" s="436">
        <f t="shared" si="44"/>
        <v>0</v>
      </c>
      <c r="O267" s="436"/>
      <c r="P267" s="436"/>
      <c r="Q267" s="447"/>
      <c r="R267" s="447"/>
      <c r="S267" s="447"/>
      <c r="T267" s="432">
        <f t="shared" si="32"/>
        <v>0</v>
      </c>
    </row>
    <row r="268" spans="1:20" ht="22.2" hidden="1" customHeight="1">
      <c r="A268" s="379"/>
      <c r="B268" s="410" t="s">
        <v>687</v>
      </c>
      <c r="C268" s="411" t="str">
        <f t="shared" si="33"/>
        <v xml:space="preserve"> </v>
      </c>
      <c r="D268" s="446">
        <v>3</v>
      </c>
      <c r="E268" s="422"/>
      <c r="F268" s="441" t="str">
        <f>VLOOKUP($B268,[1]DG!A:D,[1]DG!$C$2,)</f>
        <v>Boulon 22x800+ 2 long đền vuông D24-50x50x3/Zn</v>
      </c>
      <c r="G268" s="422" t="str">
        <f>VLOOKUP($B268,[1]DG!A:D,[1]DG!$D$2,)</f>
        <v>bộ</v>
      </c>
      <c r="H268" s="436">
        <f t="shared" si="44"/>
        <v>0</v>
      </c>
      <c r="I268" s="436">
        <f t="shared" si="44"/>
        <v>0</v>
      </c>
      <c r="J268" s="436">
        <f t="shared" si="44"/>
        <v>0</v>
      </c>
      <c r="K268" s="436">
        <f t="shared" si="44"/>
        <v>0</v>
      </c>
      <c r="L268" s="436">
        <f t="shared" si="44"/>
        <v>0</v>
      </c>
      <c r="M268" s="436">
        <f t="shared" si="44"/>
        <v>0</v>
      </c>
      <c r="N268" s="436">
        <f t="shared" si="44"/>
        <v>0</v>
      </c>
      <c r="O268" s="436"/>
      <c r="P268" s="436"/>
      <c r="Q268" s="447"/>
      <c r="R268" s="447"/>
      <c r="S268" s="447"/>
      <c r="T268" s="432">
        <f t="shared" si="32"/>
        <v>0</v>
      </c>
    </row>
    <row r="269" spans="1:20" ht="22.2" hidden="1" customHeight="1">
      <c r="A269" s="379"/>
      <c r="B269" s="410" t="s">
        <v>75</v>
      </c>
      <c r="C269" s="411" t="str">
        <f t="shared" si="33"/>
        <v xml:space="preserve"> </v>
      </c>
      <c r="D269" s="445">
        <v>3.03</v>
      </c>
      <c r="E269" s="422" t="str">
        <f>VLOOKUP($B269,[1]DG!A:D,[1]DG!$B$2,)</f>
        <v>03.1013</v>
      </c>
      <c r="F269" s="434" t="str">
        <f>VLOOKUP($B269,[1]DG!A:D,[1]DG!$C$2,)</f>
        <v>Đào hố móng đất cấp 3 sâu &gt;1m</v>
      </c>
      <c r="G269" s="422" t="str">
        <f>VLOOKUP($B269,[1]DG!A:D,[1]DG!$D$2,)</f>
        <v>m3</v>
      </c>
      <c r="H269" s="436"/>
      <c r="I269" s="436"/>
      <c r="J269" s="436"/>
      <c r="K269" s="436"/>
      <c r="L269" s="436"/>
      <c r="M269" s="436"/>
      <c r="N269" s="436"/>
      <c r="O269" s="436"/>
      <c r="P269" s="436"/>
      <c r="Q269" s="444"/>
      <c r="R269" s="444"/>
      <c r="S269" s="444"/>
      <c r="T269" s="432">
        <f t="shared" si="32"/>
        <v>0</v>
      </c>
    </row>
    <row r="270" spans="1:20" ht="22.2" hidden="1" customHeight="1">
      <c r="A270" s="379"/>
      <c r="B270" s="410" t="s">
        <v>76</v>
      </c>
      <c r="C270" s="411" t="str">
        <f t="shared" si="33"/>
        <v xml:space="preserve"> </v>
      </c>
      <c r="D270" s="445">
        <v>3.02</v>
      </c>
      <c r="E270" s="422" t="str">
        <f>VLOOKUP($B270,[1]DG!A:D,[1]DG!$B$2,)</f>
        <v>03.4113</v>
      </c>
      <c r="F270" s="434" t="str">
        <f>VLOOKUP($B270,[1]DG!A:D,[1]DG!$C$2,)</f>
        <v>Đắp đất hố móng, độ chặt k=0,95</v>
      </c>
      <c r="G270" s="422" t="str">
        <f>VLOOKUP($B270,[1]DG!A:D,[1]DG!$D$2,)</f>
        <v>m3</v>
      </c>
      <c r="H270" s="436"/>
      <c r="I270" s="436"/>
      <c r="J270" s="436"/>
      <c r="K270" s="436"/>
      <c r="L270" s="436"/>
      <c r="M270" s="436"/>
      <c r="N270" s="436"/>
      <c r="O270" s="436"/>
      <c r="P270" s="436"/>
      <c r="Q270" s="444"/>
      <c r="R270" s="444"/>
      <c r="S270" s="444"/>
      <c r="T270" s="432">
        <f t="shared" ref="T270:T333" si="45">IFERROR(HLOOKUP(B270,BangKeTru,3,0),0)</f>
        <v>0</v>
      </c>
    </row>
    <row r="271" spans="1:20" ht="22.2" hidden="1" customHeight="1">
      <c r="A271" s="379"/>
      <c r="B271" s="410" t="s">
        <v>624</v>
      </c>
      <c r="C271" s="411" t="str">
        <f t="shared" ref="C271:C334" si="46">IF(OR(P271&lt;&gt;0,H271&lt;&gt;0),"x"," ")</f>
        <v xml:space="preserve"> </v>
      </c>
      <c r="D271" s="445"/>
      <c r="E271" s="422" t="str">
        <f>VLOOKUP($B271,[1]DG!A:D,[1]DG!$B$2,)</f>
        <v>02.1123</v>
      </c>
      <c r="F271" s="434" t="str">
        <f>VLOOKUP($B271,[1]DG!A:D,[1]DG!$C$2,)</f>
        <v>Bốc dỡ đà cản, đế néo</v>
      </c>
      <c r="G271" s="422" t="str">
        <f>VLOOKUP($B271,[1]DG!A:D,[1]DG!$D$2,)</f>
        <v>tấn</v>
      </c>
      <c r="H271" s="436"/>
      <c r="I271" s="436"/>
      <c r="J271" s="436"/>
      <c r="K271" s="436"/>
      <c r="L271" s="436"/>
      <c r="M271" s="436"/>
      <c r="N271" s="436"/>
      <c r="O271" s="436"/>
      <c r="P271" s="436"/>
      <c r="Q271" s="447"/>
      <c r="R271" s="447"/>
      <c r="S271" s="447"/>
      <c r="T271" s="432">
        <f t="shared" si="45"/>
        <v>0</v>
      </c>
    </row>
    <row r="272" spans="1:20" ht="22.2" hidden="1" customHeight="1">
      <c r="A272" s="379"/>
      <c r="B272" s="438" t="s">
        <v>625</v>
      </c>
      <c r="C272" s="411" t="str">
        <f t="shared" si="46"/>
        <v xml:space="preserve"> </v>
      </c>
      <c r="D272" s="445"/>
      <c r="E272" s="422" t="str">
        <f>VLOOKUP($B272,[1]DG!A:C,2,)</f>
        <v>02.1451</v>
      </c>
      <c r="F272" s="434" t="str">
        <f>VLOOKUP($B272,[1]DG!A:C,3,)</f>
        <v>V/c đà cản vào vị trí (cự ly &lt;=100m)</v>
      </c>
      <c r="G272" s="422" t="str">
        <f>VLOOKUP($B272,[1]DG!A:D,4,0)</f>
        <v>tấn</v>
      </c>
      <c r="H272" s="436"/>
      <c r="I272" s="436"/>
      <c r="J272" s="436"/>
      <c r="K272" s="436"/>
      <c r="L272" s="436"/>
      <c r="M272" s="436"/>
      <c r="N272" s="436"/>
      <c r="O272" s="436"/>
      <c r="P272" s="436"/>
      <c r="Q272" s="444"/>
      <c r="R272" s="444"/>
      <c r="S272" s="444"/>
      <c r="T272" s="432">
        <f t="shared" si="45"/>
        <v>0</v>
      </c>
    </row>
    <row r="273" spans="1:20" ht="22.2" hidden="1" customHeight="1">
      <c r="A273" s="379"/>
      <c r="B273" s="438" t="s">
        <v>620</v>
      </c>
      <c r="C273" s="411" t="str">
        <f t="shared" si="46"/>
        <v xml:space="preserve"> </v>
      </c>
      <c r="D273" s="445"/>
      <c r="E273" s="422" t="str">
        <f>VLOOKUP($B273,[1]DG!A:C,2,)</f>
        <v>02.1482</v>
      </c>
      <c r="F273" s="434" t="str">
        <f>VLOOKUP($B273,[1]DG!A:C,3,)</f>
        <v>V/c dụng cụ thi công vào vị trí (cự ly &lt;=100m)</v>
      </c>
      <c r="G273" s="422" t="str">
        <f>VLOOKUP($B273,[1]DG!A:D,4,0)</f>
        <v>tấn</v>
      </c>
      <c r="H273" s="436"/>
      <c r="I273" s="436"/>
      <c r="J273" s="436"/>
      <c r="K273" s="436"/>
      <c r="L273" s="436"/>
      <c r="M273" s="436"/>
      <c r="N273" s="436"/>
      <c r="O273" s="436"/>
      <c r="P273" s="436"/>
      <c r="Q273" s="444"/>
      <c r="R273" s="444"/>
      <c r="S273" s="444"/>
      <c r="T273" s="432">
        <f t="shared" si="45"/>
        <v>0</v>
      </c>
    </row>
    <row r="274" spans="1:20" ht="22.2" hidden="1" customHeight="1">
      <c r="A274" s="423" t="s">
        <v>702</v>
      </c>
      <c r="B274" s="424" t="s">
        <v>702</v>
      </c>
      <c r="C274" s="425" t="str">
        <f t="shared" si="46"/>
        <v xml:space="preserve"> </v>
      </c>
      <c r="D274" s="426"/>
      <c r="E274" s="427"/>
      <c r="F274" s="428" t="s">
        <v>703</v>
      </c>
      <c r="G274" s="349" t="s">
        <v>344</v>
      </c>
      <c r="H274" s="429">
        <f>SUM(I274:O274)</f>
        <v>0</v>
      </c>
      <c r="I274" s="430"/>
      <c r="J274" s="430"/>
      <c r="K274" s="430">
        <f>IFERROR(HLOOKUP(B274,[1]pp3p1m!$1:$3,3,0),0)</f>
        <v>0</v>
      </c>
      <c r="L274" s="430">
        <f>IFERROR(HLOOKUP(chitiet!B274,[1]pp1p!$1:$3,3,0),0)</f>
        <v>0</v>
      </c>
      <c r="M274" s="430"/>
      <c r="N274" s="430"/>
      <c r="O274" s="430"/>
      <c r="P274" s="430"/>
      <c r="Q274" s="431"/>
      <c r="R274" s="431"/>
      <c r="S274" s="431"/>
      <c r="T274" s="432">
        <f>IFERROR(HLOOKUP(B274,[1]pp1p!$1:$3,3,0),0)+IFERROR(HLOOKUP(B274,[1]pp3p1m!$1:$3,3,0),0)</f>
        <v>0</v>
      </c>
    </row>
    <row r="275" spans="1:20" ht="22.2" hidden="1" customHeight="1">
      <c r="A275" s="379"/>
      <c r="B275" s="410" t="s">
        <v>629</v>
      </c>
      <c r="C275" s="411" t="str">
        <f t="shared" si="46"/>
        <v xml:space="preserve"> </v>
      </c>
      <c r="D275" s="446">
        <v>1</v>
      </c>
      <c r="E275" s="422" t="str">
        <f>VLOOKUP($B275,[1]DG!A:D,[1]DG!$B$2,)</f>
        <v>04.3801</v>
      </c>
      <c r="F275" s="441" t="str">
        <f>VLOOKUP($B275,[1]DG!A:D,[1]DG!$C$2,)</f>
        <v>Đà cản BTCT 1,5m</v>
      </c>
      <c r="G275" s="422" t="str">
        <f>VLOOKUP($B275,[1]DG!A:D,[1]DG!$D$2,)</f>
        <v>cái</v>
      </c>
      <c r="H275" s="436">
        <f t="shared" ref="H275:N277" si="47">H$274*$D275</f>
        <v>0</v>
      </c>
      <c r="I275" s="436">
        <f t="shared" si="47"/>
        <v>0</v>
      </c>
      <c r="J275" s="436">
        <f t="shared" si="47"/>
        <v>0</v>
      </c>
      <c r="K275" s="436">
        <f t="shared" si="47"/>
        <v>0</v>
      </c>
      <c r="L275" s="436">
        <f t="shared" si="47"/>
        <v>0</v>
      </c>
      <c r="M275" s="436">
        <f t="shared" si="47"/>
        <v>0</v>
      </c>
      <c r="N275" s="436">
        <f t="shared" si="47"/>
        <v>0</v>
      </c>
      <c r="O275" s="436"/>
      <c r="P275" s="436"/>
      <c r="Q275" s="447"/>
      <c r="R275" s="447"/>
      <c r="S275" s="447"/>
      <c r="T275" s="432">
        <f t="shared" si="45"/>
        <v>0</v>
      </c>
    </row>
    <row r="276" spans="1:20" ht="22.2" hidden="1" customHeight="1">
      <c r="A276" s="379"/>
      <c r="B276" s="410" t="s">
        <v>73</v>
      </c>
      <c r="C276" s="411" t="str">
        <f t="shared" si="46"/>
        <v xml:space="preserve"> </v>
      </c>
      <c r="D276" s="446">
        <v>1</v>
      </c>
      <c r="E276" s="422" t="str">
        <f>VLOOKUP($B276,[1]DG!A:D,[1]DG!$B$2,)</f>
        <v>04.4001</v>
      </c>
      <c r="F276" s="441" t="str">
        <f>VLOOKUP($B276,[1]DG!A:D,[1]DG!$C$2,)</f>
        <v>Đà cản BTCT 1,2m</v>
      </c>
      <c r="G276" s="422" t="str">
        <f>VLOOKUP($B276,[1]DG!A:D,[1]DG!$D$2,)</f>
        <v>cái</v>
      </c>
      <c r="H276" s="436">
        <f t="shared" si="47"/>
        <v>0</v>
      </c>
      <c r="I276" s="436">
        <f t="shared" si="47"/>
        <v>0</v>
      </c>
      <c r="J276" s="436">
        <f t="shared" si="47"/>
        <v>0</v>
      </c>
      <c r="K276" s="436">
        <f t="shared" si="47"/>
        <v>0</v>
      </c>
      <c r="L276" s="436">
        <f t="shared" si="47"/>
        <v>0</v>
      </c>
      <c r="M276" s="436">
        <f t="shared" si="47"/>
        <v>0</v>
      </c>
      <c r="N276" s="436">
        <f t="shared" si="47"/>
        <v>0</v>
      </c>
      <c r="O276" s="436"/>
      <c r="P276" s="436"/>
      <c r="Q276" s="447"/>
      <c r="R276" s="447"/>
      <c r="S276" s="447"/>
      <c r="T276" s="432">
        <f t="shared" si="45"/>
        <v>0</v>
      </c>
    </row>
    <row r="277" spans="1:20" ht="22.2" hidden="1" customHeight="1">
      <c r="A277" s="379"/>
      <c r="B277" s="410" t="s">
        <v>74</v>
      </c>
      <c r="C277" s="411" t="str">
        <f t="shared" si="46"/>
        <v xml:space="preserve"> </v>
      </c>
      <c r="D277" s="446">
        <v>2</v>
      </c>
      <c r="E277" s="422"/>
      <c r="F277" s="441" t="str">
        <f>VLOOKUP($B277,[1]DG!A:D,[1]DG!$C$2,)</f>
        <v>Boulon 22x650+ 2 long đền vuông D24-50x50x3/Zn</v>
      </c>
      <c r="G277" s="422" t="str">
        <f>VLOOKUP($B277,[1]DG!A:D,[1]DG!$D$2,)</f>
        <v>bộ</v>
      </c>
      <c r="H277" s="436">
        <f t="shared" si="47"/>
        <v>0</v>
      </c>
      <c r="I277" s="436">
        <f t="shared" si="47"/>
        <v>0</v>
      </c>
      <c r="J277" s="436">
        <f t="shared" si="47"/>
        <v>0</v>
      </c>
      <c r="K277" s="436">
        <f t="shared" si="47"/>
        <v>0</v>
      </c>
      <c r="L277" s="436">
        <f t="shared" si="47"/>
        <v>0</v>
      </c>
      <c r="M277" s="436">
        <f t="shared" si="47"/>
        <v>0</v>
      </c>
      <c r="N277" s="436">
        <f t="shared" si="47"/>
        <v>0</v>
      </c>
      <c r="O277" s="436"/>
      <c r="P277" s="436"/>
      <c r="Q277" s="447"/>
      <c r="R277" s="447"/>
      <c r="S277" s="447"/>
      <c r="T277" s="432">
        <f t="shared" si="45"/>
        <v>0</v>
      </c>
    </row>
    <row r="278" spans="1:20" ht="22.2" hidden="1" customHeight="1">
      <c r="A278" s="379"/>
      <c r="B278" s="410" t="s">
        <v>75</v>
      </c>
      <c r="C278" s="411" t="str">
        <f t="shared" si="46"/>
        <v xml:space="preserve"> </v>
      </c>
      <c r="D278" s="445">
        <v>7.3</v>
      </c>
      <c r="E278" s="422" t="str">
        <f>VLOOKUP($B278,[1]DG!A:D,[1]DG!$B$2,)</f>
        <v>03.1013</v>
      </c>
      <c r="F278" s="434" t="str">
        <f>VLOOKUP($B278,[1]DG!A:D,[1]DG!$C$2,)</f>
        <v>Đào hố móng đất cấp 3 sâu &gt;1m</v>
      </c>
      <c r="G278" s="422" t="str">
        <f>VLOOKUP($B278,[1]DG!A:D,[1]DG!$D$2,)</f>
        <v>m3</v>
      </c>
      <c r="H278" s="436"/>
      <c r="I278" s="436"/>
      <c r="J278" s="436"/>
      <c r="K278" s="436"/>
      <c r="L278" s="436"/>
      <c r="M278" s="436"/>
      <c r="N278" s="436"/>
      <c r="O278" s="436"/>
      <c r="P278" s="436"/>
      <c r="Q278" s="444"/>
      <c r="R278" s="444"/>
      <c r="S278" s="444"/>
      <c r="T278" s="432">
        <f t="shared" si="45"/>
        <v>0</v>
      </c>
    </row>
    <row r="279" spans="1:20" ht="22.2" hidden="1" customHeight="1">
      <c r="A279" s="379"/>
      <c r="B279" s="410" t="s">
        <v>76</v>
      </c>
      <c r="C279" s="411" t="str">
        <f t="shared" si="46"/>
        <v xml:space="preserve"> </v>
      </c>
      <c r="D279" s="445">
        <v>8.51</v>
      </c>
      <c r="E279" s="422" t="str">
        <f>VLOOKUP($B279,[1]DG!A:D,[1]DG!$B$2,)</f>
        <v>03.4113</v>
      </c>
      <c r="F279" s="434" t="str">
        <f>VLOOKUP($B279,[1]DG!A:D,[1]DG!$C$2,)</f>
        <v>Đắp đất hố móng, độ chặt k=0,95</v>
      </c>
      <c r="G279" s="422" t="str">
        <f>VLOOKUP($B279,[1]DG!A:D,[1]DG!$D$2,)</f>
        <v>m3</v>
      </c>
      <c r="H279" s="436"/>
      <c r="I279" s="436"/>
      <c r="J279" s="436"/>
      <c r="K279" s="436"/>
      <c r="L279" s="436"/>
      <c r="M279" s="436"/>
      <c r="N279" s="436"/>
      <c r="O279" s="436"/>
      <c r="P279" s="436"/>
      <c r="Q279" s="444"/>
      <c r="R279" s="444"/>
      <c r="S279" s="444"/>
      <c r="T279" s="432">
        <f t="shared" si="45"/>
        <v>0</v>
      </c>
    </row>
    <row r="280" spans="1:20" ht="22.2" hidden="1" customHeight="1">
      <c r="A280" s="379"/>
      <c r="B280" s="410" t="s">
        <v>624</v>
      </c>
      <c r="C280" s="411" t="str">
        <f t="shared" si="46"/>
        <v xml:space="preserve"> </v>
      </c>
      <c r="D280" s="445">
        <f>0.255+0.1</f>
        <v>0.35499999999999998</v>
      </c>
      <c r="E280" s="422" t="str">
        <f>VLOOKUP($B280,[1]DG!A:D,[1]DG!$B$2,)</f>
        <v>02.1123</v>
      </c>
      <c r="F280" s="434" t="str">
        <f>VLOOKUP($B280,[1]DG!A:D,[1]DG!$C$2,)</f>
        <v>Bốc dỡ đà cản, đế néo</v>
      </c>
      <c r="G280" s="422" t="str">
        <f>VLOOKUP($B280,[1]DG!A:D,[1]DG!$D$2,)</f>
        <v>tấn</v>
      </c>
      <c r="H280" s="436"/>
      <c r="I280" s="436"/>
      <c r="J280" s="436"/>
      <c r="K280" s="436"/>
      <c r="L280" s="436"/>
      <c r="M280" s="436"/>
      <c r="N280" s="436"/>
      <c r="O280" s="436"/>
      <c r="P280" s="436"/>
      <c r="Q280" s="447"/>
      <c r="R280" s="447"/>
      <c r="S280" s="447"/>
      <c r="T280" s="432">
        <f t="shared" si="45"/>
        <v>0</v>
      </c>
    </row>
    <row r="281" spans="1:20" ht="22.2" hidden="1" customHeight="1">
      <c r="A281" s="379"/>
      <c r="B281" s="438" t="s">
        <v>625</v>
      </c>
      <c r="C281" s="411" t="str">
        <f t="shared" si="46"/>
        <v xml:space="preserve"> </v>
      </c>
      <c r="D281" s="445">
        <f>D280</f>
        <v>0.35499999999999998</v>
      </c>
      <c r="E281" s="422" t="str">
        <f>VLOOKUP($B281,[1]DG!A:C,2,)</f>
        <v>02.1451</v>
      </c>
      <c r="F281" s="434" t="str">
        <f>VLOOKUP($B281,[1]DG!A:C,3,)</f>
        <v>V/c đà cản vào vị trí (cự ly &lt;=100m)</v>
      </c>
      <c r="G281" s="422" t="str">
        <f>VLOOKUP($B281,[1]DG!A:D,4,0)</f>
        <v>tấn</v>
      </c>
      <c r="H281" s="436"/>
      <c r="I281" s="436"/>
      <c r="J281" s="436"/>
      <c r="K281" s="436"/>
      <c r="L281" s="436"/>
      <c r="M281" s="436"/>
      <c r="N281" s="436"/>
      <c r="O281" s="436"/>
      <c r="P281" s="436"/>
      <c r="Q281" s="444"/>
      <c r="R281" s="444"/>
      <c r="S281" s="444"/>
      <c r="T281" s="432">
        <f t="shared" si="45"/>
        <v>0</v>
      </c>
    </row>
    <row r="282" spans="1:20" ht="22.2" hidden="1" customHeight="1">
      <c r="A282" s="379"/>
      <c r="B282" s="438" t="s">
        <v>620</v>
      </c>
      <c r="C282" s="411" t="str">
        <f t="shared" si="46"/>
        <v xml:space="preserve"> </v>
      </c>
      <c r="D282" s="445">
        <v>0.2</v>
      </c>
      <c r="E282" s="422" t="str">
        <f>VLOOKUP($B282,[1]DG!A:C,2,)</f>
        <v>02.1482</v>
      </c>
      <c r="F282" s="434" t="str">
        <f>VLOOKUP($B282,[1]DG!A:C,3,)</f>
        <v>V/c dụng cụ thi công vào vị trí (cự ly &lt;=100m)</v>
      </c>
      <c r="G282" s="422" t="str">
        <f>VLOOKUP($B282,[1]DG!A:D,4,0)</f>
        <v>tấn</v>
      </c>
      <c r="H282" s="436"/>
      <c r="I282" s="436"/>
      <c r="J282" s="436"/>
      <c r="K282" s="436"/>
      <c r="L282" s="436"/>
      <c r="M282" s="436"/>
      <c r="N282" s="436"/>
      <c r="O282" s="436"/>
      <c r="P282" s="436"/>
      <c r="Q282" s="444"/>
      <c r="R282" s="444"/>
      <c r="S282" s="444"/>
      <c r="T282" s="432">
        <f t="shared" si="45"/>
        <v>0</v>
      </c>
    </row>
    <row r="283" spans="1:20" ht="22.2" hidden="1" customHeight="1">
      <c r="A283" s="423" t="s">
        <v>704</v>
      </c>
      <c r="B283" s="424" t="s">
        <v>704</v>
      </c>
      <c r="C283" s="425" t="str">
        <f t="shared" si="46"/>
        <v xml:space="preserve"> </v>
      </c>
      <c r="D283" s="426"/>
      <c r="E283" s="427"/>
      <c r="F283" s="428" t="s">
        <v>705</v>
      </c>
      <c r="G283" s="349" t="s">
        <v>344</v>
      </c>
      <c r="H283" s="429">
        <f>SUM(I283:O283)</f>
        <v>0</v>
      </c>
      <c r="I283" s="430"/>
      <c r="J283" s="430"/>
      <c r="K283" s="430">
        <f>IFERROR(HLOOKUP(B283,[1]pp3p1m!$1:$3,3,0),0)</f>
        <v>0</v>
      </c>
      <c r="L283" s="430">
        <f>IFERROR(HLOOKUP(chitiet!B283,[1]pp1p!$1:$3,3,0),0)</f>
        <v>0</v>
      </c>
      <c r="M283" s="430"/>
      <c r="N283" s="430"/>
      <c r="O283" s="430"/>
      <c r="P283" s="430"/>
      <c r="Q283" s="431"/>
      <c r="R283" s="431"/>
      <c r="S283" s="431"/>
      <c r="T283" s="432">
        <f>IFERROR(HLOOKUP(B283,[1]pp1p!$1:$3,3,0),0)+IFERROR(HLOOKUP(B283,[1]pp3p1m!$1:$3,3,0),0)</f>
        <v>0</v>
      </c>
    </row>
    <row r="284" spans="1:20" ht="22.2" hidden="1" customHeight="1">
      <c r="A284" s="379"/>
      <c r="B284" s="410" t="s">
        <v>629</v>
      </c>
      <c r="C284" s="411" t="str">
        <f t="shared" si="46"/>
        <v xml:space="preserve"> </v>
      </c>
      <c r="D284" s="446">
        <v>2</v>
      </c>
      <c r="E284" s="422" t="str">
        <f>VLOOKUP($B284,[1]DG!A:D,[1]DG!$B$2,)</f>
        <v>04.3801</v>
      </c>
      <c r="F284" s="441" t="str">
        <f>VLOOKUP($B284,[1]DG!A:D,[1]DG!$C$2,)</f>
        <v>Đà cản BTCT 1,5m</v>
      </c>
      <c r="G284" s="422" t="str">
        <f>VLOOKUP($B284,[1]DG!A:D,[1]DG!$D$2,)</f>
        <v>cái</v>
      </c>
      <c r="H284" s="436">
        <f t="shared" ref="H284:N285" si="48">H$283*$D284</f>
        <v>0</v>
      </c>
      <c r="I284" s="436">
        <f t="shared" si="48"/>
        <v>0</v>
      </c>
      <c r="J284" s="436">
        <f t="shared" si="48"/>
        <v>0</v>
      </c>
      <c r="K284" s="436">
        <f t="shared" si="48"/>
        <v>0</v>
      </c>
      <c r="L284" s="436">
        <f t="shared" si="48"/>
        <v>0</v>
      </c>
      <c r="M284" s="436">
        <f t="shared" si="48"/>
        <v>0</v>
      </c>
      <c r="N284" s="436">
        <f t="shared" si="48"/>
        <v>0</v>
      </c>
      <c r="O284" s="436"/>
      <c r="P284" s="436"/>
      <c r="Q284" s="447"/>
      <c r="R284" s="447"/>
      <c r="S284" s="447"/>
      <c r="T284" s="432">
        <f t="shared" si="45"/>
        <v>0</v>
      </c>
    </row>
    <row r="285" spans="1:20" ht="22.2" hidden="1" customHeight="1">
      <c r="A285" s="379"/>
      <c r="B285" s="410" t="s">
        <v>74</v>
      </c>
      <c r="C285" s="411" t="str">
        <f t="shared" si="46"/>
        <v xml:space="preserve"> </v>
      </c>
      <c r="D285" s="446">
        <v>2</v>
      </c>
      <c r="E285" s="422"/>
      <c r="F285" s="441" t="str">
        <f>VLOOKUP($B285,[1]DG!A:D,[1]DG!$C$2,)</f>
        <v>Boulon 22x650+ 2 long đền vuông D24-50x50x3/Zn</v>
      </c>
      <c r="G285" s="422" t="str">
        <f>VLOOKUP($B285,[1]DG!A:D,[1]DG!$D$2,)</f>
        <v>bộ</v>
      </c>
      <c r="H285" s="436">
        <f t="shared" si="48"/>
        <v>0</v>
      </c>
      <c r="I285" s="436">
        <f t="shared" si="48"/>
        <v>0</v>
      </c>
      <c r="J285" s="436">
        <f t="shared" si="48"/>
        <v>0</v>
      </c>
      <c r="K285" s="436">
        <f t="shared" si="48"/>
        <v>0</v>
      </c>
      <c r="L285" s="436">
        <f t="shared" si="48"/>
        <v>0</v>
      </c>
      <c r="M285" s="436">
        <f t="shared" si="48"/>
        <v>0</v>
      </c>
      <c r="N285" s="436">
        <f t="shared" si="48"/>
        <v>0</v>
      </c>
      <c r="O285" s="436"/>
      <c r="P285" s="436"/>
      <c r="Q285" s="447"/>
      <c r="R285" s="447"/>
      <c r="S285" s="447"/>
      <c r="T285" s="432">
        <f t="shared" si="45"/>
        <v>0</v>
      </c>
    </row>
    <row r="286" spans="1:20" ht="22.2" hidden="1" customHeight="1">
      <c r="A286" s="379"/>
      <c r="B286" s="410" t="s">
        <v>75</v>
      </c>
      <c r="C286" s="411" t="str">
        <f t="shared" si="46"/>
        <v xml:space="preserve"> </v>
      </c>
      <c r="D286" s="445">
        <v>9.48</v>
      </c>
      <c r="E286" s="422" t="str">
        <f>VLOOKUP($B286,[1]DG!A:D,[1]DG!$B$2,)</f>
        <v>03.1013</v>
      </c>
      <c r="F286" s="434" t="str">
        <f>VLOOKUP($B286,[1]DG!A:D,[1]DG!$C$2,)</f>
        <v>Đào hố móng đất cấp 3 sâu &gt;1m</v>
      </c>
      <c r="G286" s="422" t="str">
        <f>VLOOKUP($B286,[1]DG!A:D,[1]DG!$D$2,)</f>
        <v>m3</v>
      </c>
      <c r="H286" s="436"/>
      <c r="I286" s="436"/>
      <c r="J286" s="436"/>
      <c r="K286" s="436"/>
      <c r="L286" s="436"/>
      <c r="M286" s="436"/>
      <c r="N286" s="436"/>
      <c r="O286" s="436"/>
      <c r="P286" s="436"/>
      <c r="Q286" s="444"/>
      <c r="R286" s="444"/>
      <c r="S286" s="444"/>
      <c r="T286" s="432">
        <f t="shared" si="45"/>
        <v>0</v>
      </c>
    </row>
    <row r="287" spans="1:20" ht="22.2" hidden="1" customHeight="1">
      <c r="A287" s="379"/>
      <c r="B287" s="410" t="s">
        <v>76</v>
      </c>
      <c r="C287" s="411" t="str">
        <f t="shared" si="46"/>
        <v xml:space="preserve"> </v>
      </c>
      <c r="D287" s="445">
        <v>10.94</v>
      </c>
      <c r="E287" s="422" t="str">
        <f>VLOOKUP($B287,[1]DG!A:D,[1]DG!$B$2,)</f>
        <v>03.4113</v>
      </c>
      <c r="F287" s="434" t="str">
        <f>VLOOKUP($B287,[1]DG!A:D,[1]DG!$C$2,)</f>
        <v>Đắp đất hố móng, độ chặt k=0,95</v>
      </c>
      <c r="G287" s="422" t="str">
        <f>VLOOKUP($B287,[1]DG!A:D,[1]DG!$D$2,)</f>
        <v>m3</v>
      </c>
      <c r="H287" s="436"/>
      <c r="I287" s="436"/>
      <c r="J287" s="436"/>
      <c r="K287" s="436"/>
      <c r="L287" s="436"/>
      <c r="M287" s="436"/>
      <c r="N287" s="436"/>
      <c r="O287" s="436"/>
      <c r="P287" s="436"/>
      <c r="Q287" s="444"/>
      <c r="R287" s="444"/>
      <c r="S287" s="444"/>
      <c r="T287" s="432">
        <f t="shared" si="45"/>
        <v>0</v>
      </c>
    </row>
    <row r="288" spans="1:20" ht="22.2" hidden="1" customHeight="1">
      <c r="A288" s="379"/>
      <c r="B288" s="410" t="s">
        <v>624</v>
      </c>
      <c r="C288" s="411" t="str">
        <f t="shared" si="46"/>
        <v xml:space="preserve"> </v>
      </c>
      <c r="D288" s="445">
        <f>0.255*2</f>
        <v>0.51</v>
      </c>
      <c r="E288" s="422" t="str">
        <f>VLOOKUP($B288,[1]DG!A:D,[1]DG!$B$2,)</f>
        <v>02.1123</v>
      </c>
      <c r="F288" s="434" t="str">
        <f>VLOOKUP($B288,[1]DG!A:D,[1]DG!$C$2,)</f>
        <v>Bốc dỡ đà cản, đế néo</v>
      </c>
      <c r="G288" s="422" t="str">
        <f>VLOOKUP($B288,[1]DG!A:D,[1]DG!$D$2,)</f>
        <v>tấn</v>
      </c>
      <c r="H288" s="436"/>
      <c r="I288" s="436"/>
      <c r="J288" s="436"/>
      <c r="K288" s="436"/>
      <c r="L288" s="436"/>
      <c r="M288" s="436"/>
      <c r="N288" s="436"/>
      <c r="O288" s="436"/>
      <c r="P288" s="436"/>
      <c r="Q288" s="447"/>
      <c r="R288" s="447"/>
      <c r="S288" s="447"/>
      <c r="T288" s="432">
        <f t="shared" si="45"/>
        <v>0</v>
      </c>
    </row>
    <row r="289" spans="1:20" ht="22.2" hidden="1" customHeight="1">
      <c r="A289" s="379"/>
      <c r="B289" s="438" t="s">
        <v>625</v>
      </c>
      <c r="C289" s="411" t="str">
        <f t="shared" si="46"/>
        <v xml:space="preserve"> </v>
      </c>
      <c r="D289" s="445">
        <f>D288</f>
        <v>0.51</v>
      </c>
      <c r="E289" s="422" t="str">
        <f>VLOOKUP($B289,[1]DG!A:C,2,)</f>
        <v>02.1451</v>
      </c>
      <c r="F289" s="434" t="str">
        <f>VLOOKUP($B289,[1]DG!A:C,3,)</f>
        <v>V/c đà cản vào vị trí (cự ly &lt;=100m)</v>
      </c>
      <c r="G289" s="422" t="str">
        <f>VLOOKUP($B289,[1]DG!A:D,4,0)</f>
        <v>tấn</v>
      </c>
      <c r="H289" s="436"/>
      <c r="I289" s="436"/>
      <c r="J289" s="436"/>
      <c r="K289" s="436"/>
      <c r="L289" s="436"/>
      <c r="M289" s="436"/>
      <c r="N289" s="436"/>
      <c r="O289" s="436"/>
      <c r="P289" s="436"/>
      <c r="Q289" s="444"/>
      <c r="R289" s="444"/>
      <c r="S289" s="444"/>
      <c r="T289" s="432">
        <f t="shared" si="45"/>
        <v>0</v>
      </c>
    </row>
    <row r="290" spans="1:20" ht="22.2" hidden="1" customHeight="1">
      <c r="A290" s="379"/>
      <c r="B290" s="438" t="s">
        <v>620</v>
      </c>
      <c r="C290" s="411" t="str">
        <f t="shared" si="46"/>
        <v xml:space="preserve"> </v>
      </c>
      <c r="D290" s="445">
        <v>0.2</v>
      </c>
      <c r="E290" s="422" t="str">
        <f>VLOOKUP($B290,[1]DG!A:C,2,)</f>
        <v>02.1482</v>
      </c>
      <c r="F290" s="434" t="str">
        <f>VLOOKUP($B290,[1]DG!A:C,3,)</f>
        <v>V/c dụng cụ thi công vào vị trí (cự ly &lt;=100m)</v>
      </c>
      <c r="G290" s="422" t="str">
        <f>VLOOKUP($B290,[1]DG!A:D,4,0)</f>
        <v>tấn</v>
      </c>
      <c r="H290" s="436"/>
      <c r="I290" s="436"/>
      <c r="J290" s="436"/>
      <c r="K290" s="436"/>
      <c r="L290" s="436"/>
      <c r="M290" s="436"/>
      <c r="N290" s="436"/>
      <c r="O290" s="436"/>
      <c r="P290" s="436"/>
      <c r="Q290" s="444"/>
      <c r="R290" s="444"/>
      <c r="S290" s="444"/>
      <c r="T290" s="432">
        <f t="shared" si="45"/>
        <v>0</v>
      </c>
    </row>
    <row r="291" spans="1:20" ht="22.2" hidden="1" customHeight="1">
      <c r="A291" s="423" t="s">
        <v>706</v>
      </c>
      <c r="B291" s="424" t="s">
        <v>706</v>
      </c>
      <c r="C291" s="425" t="str">
        <f t="shared" si="46"/>
        <v xml:space="preserve"> </v>
      </c>
      <c r="D291" s="426"/>
      <c r="E291" s="427"/>
      <c r="F291" s="428" t="s">
        <v>707</v>
      </c>
      <c r="G291" s="349" t="s">
        <v>344</v>
      </c>
      <c r="H291" s="429">
        <f>SUM(I291:O291)</f>
        <v>0</v>
      </c>
      <c r="I291" s="430"/>
      <c r="J291" s="430"/>
      <c r="K291" s="430">
        <f>IFERROR(HLOOKUP(B291,[1]pp3p1m!$1:$3,3,0),0)</f>
        <v>0</v>
      </c>
      <c r="L291" s="430">
        <f>IFERROR(HLOOKUP(chitiet!B291,[1]pp1p!$1:$3,3,0),0)</f>
        <v>0</v>
      </c>
      <c r="M291" s="430"/>
      <c r="N291" s="430"/>
      <c r="O291" s="430"/>
      <c r="P291" s="430"/>
      <c r="Q291" s="431"/>
      <c r="R291" s="431"/>
      <c r="S291" s="431"/>
      <c r="T291" s="432">
        <f>IFERROR(HLOOKUP(B291,[1]pp1p!$1:$3,3,0),0)+IFERROR(HLOOKUP(B291,[1]pp3p1m!$1:$3,3,0),0)</f>
        <v>0</v>
      </c>
    </row>
    <row r="292" spans="1:20" ht="22.2" hidden="1" customHeight="1">
      <c r="A292" s="379"/>
      <c r="B292" s="410" t="s">
        <v>686</v>
      </c>
      <c r="C292" s="411" t="str">
        <f t="shared" si="46"/>
        <v xml:space="preserve"> </v>
      </c>
      <c r="D292" s="446">
        <v>42</v>
      </c>
      <c r="E292" s="422" t="str">
        <f>VLOOKUP($B292,[1]DG!A:D,[1]DG!$B$2,)</f>
        <v>04.5142</v>
      </c>
      <c r="F292" s="441" t="str">
        <f>VLOOKUP($B292,[1]DG!A:D,[1]DG!$C$2,)</f>
        <v>Cừ tràm 5m</v>
      </c>
      <c r="G292" s="422" t="str">
        <f>VLOOKUP($B292,[1]DG!A:D,[1]DG!$D$2,)</f>
        <v>cây</v>
      </c>
      <c r="H292" s="436">
        <f t="shared" ref="H292:N294" si="49">H$291*$D292</f>
        <v>0</v>
      </c>
      <c r="I292" s="436">
        <f t="shared" si="49"/>
        <v>0</v>
      </c>
      <c r="J292" s="436">
        <f t="shared" si="49"/>
        <v>0</v>
      </c>
      <c r="K292" s="436">
        <f t="shared" si="49"/>
        <v>0</v>
      </c>
      <c r="L292" s="436">
        <f t="shared" si="49"/>
        <v>0</v>
      </c>
      <c r="M292" s="436">
        <f t="shared" si="49"/>
        <v>0</v>
      </c>
      <c r="N292" s="436">
        <f t="shared" si="49"/>
        <v>0</v>
      </c>
      <c r="O292" s="436"/>
      <c r="P292" s="436"/>
      <c r="Q292" s="447"/>
      <c r="R292" s="447"/>
      <c r="S292" s="447"/>
      <c r="T292" s="432">
        <f t="shared" si="45"/>
        <v>0</v>
      </c>
    </row>
    <row r="293" spans="1:20" ht="22.2" hidden="1" customHeight="1">
      <c r="A293" s="379"/>
      <c r="B293" s="410" t="s">
        <v>629</v>
      </c>
      <c r="C293" s="411" t="str">
        <f t="shared" si="46"/>
        <v xml:space="preserve"> </v>
      </c>
      <c r="D293" s="446">
        <v>2</v>
      </c>
      <c r="E293" s="422" t="str">
        <f>VLOOKUP($B293,[1]DG!A:D,[1]DG!$B$2,)</f>
        <v>04.3801</v>
      </c>
      <c r="F293" s="441" t="str">
        <f>VLOOKUP($B293,[1]DG!A:D,[1]DG!$C$2,)</f>
        <v>Đà cản BTCT 1,5m</v>
      </c>
      <c r="G293" s="422" t="str">
        <f>VLOOKUP($B293,[1]DG!A:D,[1]DG!$D$2,)</f>
        <v>cái</v>
      </c>
      <c r="H293" s="436">
        <f t="shared" si="49"/>
        <v>0</v>
      </c>
      <c r="I293" s="436">
        <f t="shared" si="49"/>
        <v>0</v>
      </c>
      <c r="J293" s="436">
        <f t="shared" si="49"/>
        <v>0</v>
      </c>
      <c r="K293" s="436">
        <f t="shared" si="49"/>
        <v>0</v>
      </c>
      <c r="L293" s="436">
        <f t="shared" si="49"/>
        <v>0</v>
      </c>
      <c r="M293" s="436">
        <f t="shared" si="49"/>
        <v>0</v>
      </c>
      <c r="N293" s="436">
        <f t="shared" si="49"/>
        <v>0</v>
      </c>
      <c r="O293" s="436"/>
      <c r="P293" s="436"/>
      <c r="Q293" s="447"/>
      <c r="R293" s="447"/>
      <c r="S293" s="447"/>
      <c r="T293" s="432">
        <f t="shared" si="45"/>
        <v>0</v>
      </c>
    </row>
    <row r="294" spans="1:20" ht="22.2" hidden="1" customHeight="1">
      <c r="A294" s="379"/>
      <c r="B294" s="410" t="s">
        <v>708</v>
      </c>
      <c r="C294" s="411" t="str">
        <f t="shared" si="46"/>
        <v xml:space="preserve"> </v>
      </c>
      <c r="D294" s="446">
        <v>1</v>
      </c>
      <c r="E294" s="422"/>
      <c r="F294" s="441" t="str">
        <f>VLOOKUP($B294,[1]DG!A:D,[1]DG!$C$2,)</f>
        <v>Boulon 22x850+ 2 long đền vuông D24-50x50x3/Zn</v>
      </c>
      <c r="G294" s="422" t="str">
        <f>VLOOKUP($B294,[1]DG!A:D,[1]DG!$D$2,)</f>
        <v>bộ</v>
      </c>
      <c r="H294" s="436">
        <f t="shared" si="49"/>
        <v>0</v>
      </c>
      <c r="I294" s="436">
        <f t="shared" si="49"/>
        <v>0</v>
      </c>
      <c r="J294" s="436">
        <f t="shared" si="49"/>
        <v>0</v>
      </c>
      <c r="K294" s="436">
        <f t="shared" si="49"/>
        <v>0</v>
      </c>
      <c r="L294" s="436">
        <f t="shared" si="49"/>
        <v>0</v>
      </c>
      <c r="M294" s="436">
        <f t="shared" si="49"/>
        <v>0</v>
      </c>
      <c r="N294" s="436">
        <f t="shared" si="49"/>
        <v>0</v>
      </c>
      <c r="O294" s="436"/>
      <c r="P294" s="436"/>
      <c r="Q294" s="447"/>
      <c r="R294" s="447"/>
      <c r="S294" s="447"/>
      <c r="T294" s="432">
        <f t="shared" si="45"/>
        <v>0</v>
      </c>
    </row>
    <row r="295" spans="1:20" ht="22.2" hidden="1" customHeight="1">
      <c r="A295" s="379"/>
      <c r="B295" s="410" t="s">
        <v>75</v>
      </c>
      <c r="C295" s="411" t="str">
        <f t="shared" si="46"/>
        <v xml:space="preserve"> </v>
      </c>
      <c r="D295" s="445">
        <v>3.88</v>
      </c>
      <c r="E295" s="422" t="str">
        <f>VLOOKUP($B295,[1]DG!A:D,[1]DG!$B$2,)</f>
        <v>03.1013</v>
      </c>
      <c r="F295" s="434" t="str">
        <f>VLOOKUP($B295,[1]DG!A:D,[1]DG!$C$2,)</f>
        <v>Đào hố móng đất cấp 3 sâu &gt;1m</v>
      </c>
      <c r="G295" s="422" t="str">
        <f>VLOOKUP($B295,[1]DG!A:D,[1]DG!$D$2,)</f>
        <v>m3</v>
      </c>
      <c r="H295" s="436"/>
      <c r="I295" s="436"/>
      <c r="J295" s="436"/>
      <c r="K295" s="436"/>
      <c r="L295" s="436"/>
      <c r="M295" s="436"/>
      <c r="N295" s="436"/>
      <c r="O295" s="436"/>
      <c r="P295" s="436"/>
      <c r="Q295" s="444"/>
      <c r="R295" s="444"/>
      <c r="S295" s="444"/>
      <c r="T295" s="432">
        <f t="shared" si="45"/>
        <v>0</v>
      </c>
    </row>
    <row r="296" spans="1:20" ht="22.2" hidden="1" customHeight="1">
      <c r="A296" s="379"/>
      <c r="B296" s="410" t="s">
        <v>76</v>
      </c>
      <c r="C296" s="411" t="str">
        <f t="shared" si="46"/>
        <v xml:space="preserve"> </v>
      </c>
      <c r="D296" s="445">
        <v>4.34</v>
      </c>
      <c r="E296" s="422" t="str">
        <f>VLOOKUP($B296,[1]DG!A:D,[1]DG!$B$2,)</f>
        <v>03.4113</v>
      </c>
      <c r="F296" s="434" t="str">
        <f>VLOOKUP($B296,[1]DG!A:D,[1]DG!$C$2,)</f>
        <v>Đắp đất hố móng, độ chặt k=0,95</v>
      </c>
      <c r="G296" s="422" t="str">
        <f>VLOOKUP($B296,[1]DG!A:D,[1]DG!$D$2,)</f>
        <v>m3</v>
      </c>
      <c r="H296" s="436"/>
      <c r="I296" s="436"/>
      <c r="J296" s="436"/>
      <c r="K296" s="436"/>
      <c r="L296" s="436"/>
      <c r="M296" s="436"/>
      <c r="N296" s="436"/>
      <c r="O296" s="436"/>
      <c r="P296" s="436"/>
      <c r="Q296" s="444"/>
      <c r="R296" s="444"/>
      <c r="S296" s="444"/>
      <c r="T296" s="432">
        <f t="shared" si="45"/>
        <v>0</v>
      </c>
    </row>
    <row r="297" spans="1:20" ht="22.2" hidden="1" customHeight="1">
      <c r="A297" s="379"/>
      <c r="B297" s="410" t="s">
        <v>624</v>
      </c>
      <c r="C297" s="411" t="str">
        <f t="shared" si="46"/>
        <v xml:space="preserve"> </v>
      </c>
      <c r="D297" s="445">
        <f>0.255*2</f>
        <v>0.51</v>
      </c>
      <c r="E297" s="422" t="str">
        <f>VLOOKUP($B297,[1]DG!A:D,[1]DG!$B$2,)</f>
        <v>02.1123</v>
      </c>
      <c r="F297" s="434" t="str">
        <f>VLOOKUP($B297,[1]DG!A:D,[1]DG!$C$2,)</f>
        <v>Bốc dỡ đà cản, đế néo</v>
      </c>
      <c r="G297" s="422" t="str">
        <f>VLOOKUP($B297,[1]DG!A:D,[1]DG!$D$2,)</f>
        <v>tấn</v>
      </c>
      <c r="H297" s="436"/>
      <c r="I297" s="436"/>
      <c r="J297" s="436"/>
      <c r="K297" s="436"/>
      <c r="L297" s="436"/>
      <c r="M297" s="436"/>
      <c r="N297" s="436"/>
      <c r="O297" s="436"/>
      <c r="P297" s="436"/>
      <c r="Q297" s="444"/>
      <c r="R297" s="444"/>
      <c r="S297" s="444"/>
      <c r="T297" s="432">
        <f t="shared" si="45"/>
        <v>0</v>
      </c>
    </row>
    <row r="298" spans="1:20" ht="22.2" hidden="1" customHeight="1">
      <c r="A298" s="379"/>
      <c r="B298" s="410" t="s">
        <v>688</v>
      </c>
      <c r="C298" s="411" t="str">
        <f t="shared" si="46"/>
        <v xml:space="preserve"> </v>
      </c>
      <c r="D298" s="446">
        <f>D292</f>
        <v>42</v>
      </c>
      <c r="E298" s="422" t="str">
        <f>VLOOKUP($B298,[1]DG!A:D,[1]DG!$B$2,)</f>
        <v>02.1119</v>
      </c>
      <c r="F298" s="434" t="str">
        <f>VLOOKUP($B298,[1]DG!A:D,[1]DG!$C$2,)</f>
        <v>Bốc dỡ cừ tràm 5m</v>
      </c>
      <c r="G298" s="422" t="str">
        <f>VLOOKUP($B298,[1]DG!A:D,[1]DG!$D$2,)</f>
        <v>cây</v>
      </c>
      <c r="H298" s="436"/>
      <c r="I298" s="436"/>
      <c r="J298" s="436"/>
      <c r="K298" s="436"/>
      <c r="L298" s="436"/>
      <c r="M298" s="436"/>
      <c r="N298" s="436"/>
      <c r="O298" s="436"/>
      <c r="P298" s="436"/>
      <c r="Q298" s="444"/>
      <c r="R298" s="444"/>
      <c r="S298" s="444"/>
      <c r="T298" s="432">
        <f t="shared" si="45"/>
        <v>0</v>
      </c>
    </row>
    <row r="299" spans="1:20" ht="22.2" hidden="1" customHeight="1">
      <c r="A299" s="379"/>
      <c r="B299" s="380" t="s">
        <v>689</v>
      </c>
      <c r="C299" s="411" t="str">
        <f t="shared" si="46"/>
        <v xml:space="preserve"> </v>
      </c>
      <c r="D299" s="446">
        <f>D292</f>
        <v>42</v>
      </c>
      <c r="E299" s="422" t="str">
        <f>VLOOKUP($B299,[1]DG!A:C,2,)</f>
        <v>02.1411</v>
      </c>
      <c r="F299" s="434" t="str">
        <f>VLOOKUP($B299,[1]DG!A:C,3,)</f>
        <v>V/c cừ tràm 5m ( cự ly &lt;=100m)</v>
      </c>
      <c r="G299" s="422" t="str">
        <f>VLOOKUP($B299,[1]DG!A:D,4,0)</f>
        <v>cây</v>
      </c>
      <c r="H299" s="436"/>
      <c r="I299" s="436"/>
      <c r="J299" s="436"/>
      <c r="K299" s="436"/>
      <c r="L299" s="436"/>
      <c r="M299" s="436"/>
      <c r="N299" s="436"/>
      <c r="O299" s="436"/>
      <c r="P299" s="436"/>
      <c r="Q299" s="444"/>
      <c r="R299" s="444"/>
      <c r="S299" s="444"/>
      <c r="T299" s="432">
        <f t="shared" si="45"/>
        <v>0</v>
      </c>
    </row>
    <row r="300" spans="1:20" ht="22.2" hidden="1" customHeight="1">
      <c r="A300" s="379"/>
      <c r="B300" s="438" t="s">
        <v>625</v>
      </c>
      <c r="C300" s="411" t="str">
        <f t="shared" si="46"/>
        <v xml:space="preserve"> </v>
      </c>
      <c r="D300" s="445">
        <f>D297</f>
        <v>0.51</v>
      </c>
      <c r="E300" s="422" t="str">
        <f>VLOOKUP($B300,[1]DG!A:C,2,)</f>
        <v>02.1451</v>
      </c>
      <c r="F300" s="434" t="str">
        <f>VLOOKUP($B300,[1]DG!A:C,3,)</f>
        <v>V/c đà cản vào vị trí (cự ly &lt;=100m)</v>
      </c>
      <c r="G300" s="422" t="str">
        <f>VLOOKUP($B300,[1]DG!A:D,4,0)</f>
        <v>tấn</v>
      </c>
      <c r="H300" s="436"/>
      <c r="I300" s="436"/>
      <c r="J300" s="436"/>
      <c r="K300" s="436"/>
      <c r="L300" s="436"/>
      <c r="M300" s="436"/>
      <c r="N300" s="436"/>
      <c r="O300" s="436"/>
      <c r="P300" s="436"/>
      <c r="Q300" s="444"/>
      <c r="R300" s="444"/>
      <c r="S300" s="444"/>
      <c r="T300" s="432">
        <f t="shared" si="45"/>
        <v>0</v>
      </c>
    </row>
    <row r="301" spans="1:20" ht="22.2" hidden="1" customHeight="1">
      <c r="A301" s="379"/>
      <c r="B301" s="438" t="s">
        <v>620</v>
      </c>
      <c r="C301" s="411" t="str">
        <f t="shared" si="46"/>
        <v xml:space="preserve"> </v>
      </c>
      <c r="D301" s="445">
        <v>0.2</v>
      </c>
      <c r="E301" s="422" t="str">
        <f>VLOOKUP($B301,[1]DG!A:C,2,)</f>
        <v>02.1482</v>
      </c>
      <c r="F301" s="434" t="str">
        <f>VLOOKUP($B301,[1]DG!A:C,3,)</f>
        <v>V/c dụng cụ thi công vào vị trí (cự ly &lt;=100m)</v>
      </c>
      <c r="G301" s="422" t="str">
        <f>VLOOKUP($B301,[1]DG!A:D,4,0)</f>
        <v>tấn</v>
      </c>
      <c r="H301" s="436"/>
      <c r="I301" s="436"/>
      <c r="J301" s="436"/>
      <c r="K301" s="436"/>
      <c r="L301" s="436"/>
      <c r="M301" s="436"/>
      <c r="N301" s="436"/>
      <c r="O301" s="436"/>
      <c r="P301" s="436"/>
      <c r="Q301" s="444"/>
      <c r="R301" s="444"/>
      <c r="S301" s="444"/>
      <c r="T301" s="432">
        <f t="shared" si="45"/>
        <v>0</v>
      </c>
    </row>
    <row r="302" spans="1:20" ht="22.2" hidden="1" customHeight="1" collapsed="1">
      <c r="A302" s="423" t="s">
        <v>709</v>
      </c>
      <c r="B302" s="424" t="s">
        <v>709</v>
      </c>
      <c r="C302" s="425" t="str">
        <f t="shared" si="46"/>
        <v xml:space="preserve"> </v>
      </c>
      <c r="D302" s="426"/>
      <c r="E302" s="427"/>
      <c r="F302" s="428" t="s">
        <v>710</v>
      </c>
      <c r="G302" s="349" t="s">
        <v>344</v>
      </c>
      <c r="H302" s="429">
        <f>SUM(I302:O302)</f>
        <v>0</v>
      </c>
      <c r="I302" s="430"/>
      <c r="J302" s="430"/>
      <c r="K302" s="430">
        <f>IFERROR(HLOOKUP(B302,[1]pp3p1m!$1:$3,3,0),0)</f>
        <v>0</v>
      </c>
      <c r="L302" s="430">
        <f>IFERROR(HLOOKUP(chitiet!B302,[1]pp1p!$1:$3,3,0),0)</f>
        <v>0</v>
      </c>
      <c r="M302" s="430"/>
      <c r="N302" s="430"/>
      <c r="O302" s="430"/>
      <c r="P302" s="430"/>
      <c r="Q302" s="431"/>
      <c r="R302" s="431"/>
      <c r="S302" s="431"/>
      <c r="T302" s="432">
        <f>IFERROR(HLOOKUP(B302,[1]pp1p!$1:$3,3,0),0)+IFERROR(HLOOKUP(B302,[1]pp3p1m!$1:$3,3,0),0)</f>
        <v>0</v>
      </c>
    </row>
    <row r="303" spans="1:20" ht="22.2" hidden="1" customHeight="1">
      <c r="A303" s="379"/>
      <c r="B303" s="410" t="s">
        <v>73</v>
      </c>
      <c r="C303" s="411" t="str">
        <f t="shared" si="46"/>
        <v xml:space="preserve"> </v>
      </c>
      <c r="D303" s="446">
        <v>2</v>
      </c>
      <c r="E303" s="422" t="str">
        <f>VLOOKUP($B303,[1]DG!A:D,[1]DG!$B$2,)</f>
        <v>04.4001</v>
      </c>
      <c r="F303" s="441" t="str">
        <f>VLOOKUP($B303,[1]DG!A:D,[1]DG!$C$2,)</f>
        <v>Đà cản BTCT 1,2m</v>
      </c>
      <c r="G303" s="422" t="str">
        <f>VLOOKUP($B303,[1]DG!A:D,[1]DG!$D$2,)</f>
        <v>cái</v>
      </c>
      <c r="H303" s="436">
        <f t="shared" ref="H303:N304" si="50">H$302*$D303</f>
        <v>0</v>
      </c>
      <c r="I303" s="436">
        <f t="shared" si="50"/>
        <v>0</v>
      </c>
      <c r="J303" s="436">
        <f t="shared" si="50"/>
        <v>0</v>
      </c>
      <c r="K303" s="436">
        <f t="shared" si="50"/>
        <v>0</v>
      </c>
      <c r="L303" s="436">
        <f t="shared" si="50"/>
        <v>0</v>
      </c>
      <c r="M303" s="436">
        <f t="shared" si="50"/>
        <v>0</v>
      </c>
      <c r="N303" s="436">
        <f t="shared" si="50"/>
        <v>0</v>
      </c>
      <c r="O303" s="436"/>
      <c r="P303" s="436"/>
      <c r="Q303" s="447"/>
      <c r="R303" s="447"/>
      <c r="S303" s="447"/>
      <c r="T303" s="432">
        <f t="shared" si="45"/>
        <v>0</v>
      </c>
    </row>
    <row r="304" spans="1:20" ht="22.2" hidden="1" customHeight="1">
      <c r="A304" s="379"/>
      <c r="B304" s="410" t="s">
        <v>708</v>
      </c>
      <c r="C304" s="411" t="str">
        <f t="shared" si="46"/>
        <v xml:space="preserve"> </v>
      </c>
      <c r="D304" s="446">
        <v>1</v>
      </c>
      <c r="E304" s="422"/>
      <c r="F304" s="441" t="str">
        <f>VLOOKUP($B304,[1]DG!A:D,[1]DG!$C$2,)</f>
        <v>Boulon 22x850+ 2 long đền vuông D24-50x50x3/Zn</v>
      </c>
      <c r="G304" s="422" t="str">
        <f>VLOOKUP($B304,[1]DG!A:D,[1]DG!$D$2,)</f>
        <v>bộ</v>
      </c>
      <c r="H304" s="436">
        <f>$H$302*D304</f>
        <v>0</v>
      </c>
      <c r="I304" s="436">
        <f t="shared" si="50"/>
        <v>0</v>
      </c>
      <c r="J304" s="436">
        <f t="shared" si="50"/>
        <v>0</v>
      </c>
      <c r="K304" s="436">
        <f t="shared" si="50"/>
        <v>0</v>
      </c>
      <c r="L304" s="436">
        <f t="shared" si="50"/>
        <v>0</v>
      </c>
      <c r="M304" s="436">
        <f t="shared" si="50"/>
        <v>0</v>
      </c>
      <c r="N304" s="436">
        <f t="shared" si="50"/>
        <v>0</v>
      </c>
      <c r="O304" s="436"/>
      <c r="P304" s="436"/>
      <c r="Q304" s="447"/>
      <c r="R304" s="447"/>
      <c r="S304" s="447"/>
      <c r="T304" s="432">
        <f t="shared" si="45"/>
        <v>0</v>
      </c>
    </row>
    <row r="305" spans="1:20" ht="22.2" hidden="1" customHeight="1">
      <c r="A305" s="379"/>
      <c r="B305" s="410" t="s">
        <v>75</v>
      </c>
      <c r="C305" s="411" t="str">
        <f t="shared" si="46"/>
        <v xml:space="preserve"> </v>
      </c>
      <c r="D305" s="445">
        <v>1.0900000000000001</v>
      </c>
      <c r="E305" s="422" t="str">
        <f>VLOOKUP($B305,[1]DG!A:D,[1]DG!$B$2,)</f>
        <v>03.1013</v>
      </c>
      <c r="F305" s="434" t="str">
        <f>VLOOKUP($B305,[1]DG!A:D,[1]DG!$C$2,)</f>
        <v>Đào hố móng đất cấp 3 sâu &gt;1m</v>
      </c>
      <c r="G305" s="422" t="str">
        <f>VLOOKUP($B305,[1]DG!A:D,[1]DG!$D$2,)</f>
        <v>m3</v>
      </c>
      <c r="H305" s="436"/>
      <c r="I305" s="436"/>
      <c r="J305" s="436"/>
      <c r="K305" s="436"/>
      <c r="L305" s="436"/>
      <c r="M305" s="436"/>
      <c r="N305" s="436"/>
      <c r="O305" s="436"/>
      <c r="P305" s="436"/>
      <c r="Q305" s="444"/>
      <c r="R305" s="444"/>
      <c r="S305" s="444"/>
      <c r="T305" s="432">
        <f t="shared" si="45"/>
        <v>0</v>
      </c>
    </row>
    <row r="306" spans="1:20" ht="22.2" hidden="1" customHeight="1">
      <c r="A306" s="379"/>
      <c r="B306" s="410" t="s">
        <v>76</v>
      </c>
      <c r="C306" s="411" t="str">
        <f t="shared" si="46"/>
        <v xml:space="preserve"> </v>
      </c>
      <c r="D306" s="445">
        <v>1.02</v>
      </c>
      <c r="E306" s="422" t="str">
        <f>VLOOKUP($B306,[1]DG!A:D,[1]DG!$B$2,)</f>
        <v>03.4113</v>
      </c>
      <c r="F306" s="434" t="str">
        <f>VLOOKUP($B306,[1]DG!A:D,[1]DG!$C$2,)</f>
        <v>Đắp đất hố móng, độ chặt k=0,95</v>
      </c>
      <c r="G306" s="422" t="str">
        <f>VLOOKUP($B306,[1]DG!A:D,[1]DG!$D$2,)</f>
        <v>m3</v>
      </c>
      <c r="H306" s="436"/>
      <c r="I306" s="436"/>
      <c r="J306" s="436"/>
      <c r="K306" s="436"/>
      <c r="L306" s="436"/>
      <c r="M306" s="436"/>
      <c r="N306" s="436"/>
      <c r="O306" s="436"/>
      <c r="P306" s="436"/>
      <c r="Q306" s="444"/>
      <c r="R306" s="444"/>
      <c r="S306" s="444"/>
      <c r="T306" s="432">
        <f t="shared" si="45"/>
        <v>0</v>
      </c>
    </row>
    <row r="307" spans="1:20" ht="22.2" hidden="1" customHeight="1">
      <c r="A307" s="423" t="s">
        <v>711</v>
      </c>
      <c r="B307" s="424" t="s">
        <v>711</v>
      </c>
      <c r="C307" s="425" t="str">
        <f t="shared" si="46"/>
        <v xml:space="preserve"> </v>
      </c>
      <c r="D307" s="426"/>
      <c r="E307" s="427"/>
      <c r="F307" s="428" t="s">
        <v>712</v>
      </c>
      <c r="G307" s="349" t="s">
        <v>344</v>
      </c>
      <c r="H307" s="429">
        <f>SUM(I307:O307)</f>
        <v>0</v>
      </c>
      <c r="I307" s="430"/>
      <c r="J307" s="430"/>
      <c r="K307" s="430">
        <f>IFERROR(HLOOKUP(B307,[1]pp3p1m!$1:$3,3,0),0)</f>
        <v>0</v>
      </c>
      <c r="L307" s="430">
        <f>IFERROR(HLOOKUP(chitiet!B307,[1]pp1p!$1:$3,3,0),0)</f>
        <v>0</v>
      </c>
      <c r="M307" s="430"/>
      <c r="N307" s="430"/>
      <c r="O307" s="430"/>
      <c r="P307" s="430"/>
      <c r="Q307" s="431"/>
      <c r="R307" s="431"/>
      <c r="S307" s="431"/>
      <c r="T307" s="432">
        <f>IFERROR(HLOOKUP(B307,[1]pp1p!$1:$3,3,0),0)+IFERROR(HLOOKUP(B307,[1]pp3p1m!$1:$3,3,0),0)</f>
        <v>0</v>
      </c>
    </row>
    <row r="308" spans="1:20" ht="22.2" hidden="1" customHeight="1">
      <c r="A308" s="379"/>
      <c r="B308" s="410" t="s">
        <v>629</v>
      </c>
      <c r="C308" s="411" t="str">
        <f t="shared" si="46"/>
        <v xml:space="preserve"> </v>
      </c>
      <c r="D308" s="446">
        <v>2</v>
      </c>
      <c r="E308" s="422" t="str">
        <f>VLOOKUP($B308,[1]DG!A:D,[1]DG!$B$2,)</f>
        <v>04.3801</v>
      </c>
      <c r="F308" s="441" t="str">
        <f>VLOOKUP($B308,[1]DG!A:D,[1]DG!$C$2,)</f>
        <v>Đà cản BTCT 1,5m</v>
      </c>
      <c r="G308" s="422" t="str">
        <f>VLOOKUP($B308,[1]DG!A:D,[1]DG!$D$2,)</f>
        <v>cái</v>
      </c>
      <c r="H308" s="436">
        <f>H$307*$D308</f>
        <v>0</v>
      </c>
      <c r="I308" s="436">
        <f>I$307*$D308</f>
        <v>0</v>
      </c>
      <c r="J308" s="436">
        <f t="shared" ref="J308:N309" si="51">J$302*$D308</f>
        <v>0</v>
      </c>
      <c r="K308" s="436">
        <f t="shared" si="51"/>
        <v>0</v>
      </c>
      <c r="L308" s="436">
        <f t="shared" si="51"/>
        <v>0</v>
      </c>
      <c r="M308" s="436">
        <f t="shared" si="51"/>
        <v>0</v>
      </c>
      <c r="N308" s="436">
        <f t="shared" si="51"/>
        <v>0</v>
      </c>
      <c r="O308" s="436"/>
      <c r="P308" s="436"/>
      <c r="Q308" s="447"/>
      <c r="R308" s="447"/>
      <c r="S308" s="447"/>
      <c r="T308" s="432">
        <f t="shared" si="45"/>
        <v>0</v>
      </c>
    </row>
    <row r="309" spans="1:20" ht="22.2" hidden="1" customHeight="1">
      <c r="A309" s="379"/>
      <c r="B309" s="410" t="s">
        <v>708</v>
      </c>
      <c r="C309" s="411" t="str">
        <f t="shared" si="46"/>
        <v xml:space="preserve"> </v>
      </c>
      <c r="D309" s="446">
        <v>1</v>
      </c>
      <c r="E309" s="422"/>
      <c r="F309" s="441" t="str">
        <f>VLOOKUP($B309,[1]DG!A:D,[1]DG!$C$2,)</f>
        <v>Boulon 22x850+ 2 long đền vuông D24-50x50x3/Zn</v>
      </c>
      <c r="G309" s="422" t="str">
        <f>VLOOKUP($B309,[1]DG!A:D,[1]DG!$D$2,)</f>
        <v>bộ</v>
      </c>
      <c r="H309" s="436">
        <f>H$307*$D309</f>
        <v>0</v>
      </c>
      <c r="I309" s="436">
        <f>I$307*$D309</f>
        <v>0</v>
      </c>
      <c r="J309" s="436">
        <f t="shared" si="51"/>
        <v>0</v>
      </c>
      <c r="K309" s="436">
        <f t="shared" si="51"/>
        <v>0</v>
      </c>
      <c r="L309" s="436">
        <f t="shared" si="51"/>
        <v>0</v>
      </c>
      <c r="M309" s="436">
        <f t="shared" si="51"/>
        <v>0</v>
      </c>
      <c r="N309" s="436">
        <f t="shared" si="51"/>
        <v>0</v>
      </c>
      <c r="O309" s="436"/>
      <c r="P309" s="436"/>
      <c r="Q309" s="447"/>
      <c r="R309" s="447"/>
      <c r="S309" s="447"/>
      <c r="T309" s="432">
        <f t="shared" si="45"/>
        <v>0</v>
      </c>
    </row>
    <row r="310" spans="1:20" ht="22.2" hidden="1" customHeight="1">
      <c r="A310" s="379"/>
      <c r="B310" s="410" t="s">
        <v>630</v>
      </c>
      <c r="C310" s="411" t="str">
        <f t="shared" si="46"/>
        <v xml:space="preserve"> </v>
      </c>
      <c r="D310" s="433">
        <v>0.23200000000000001</v>
      </c>
      <c r="E310" s="422">
        <f>VLOOKUP($B310,[1]DG!A:D,[1]DG!$B$2,)</f>
        <v>0</v>
      </c>
      <c r="F310" s="434" t="str">
        <f>VLOOKUP($B310,[1]DG!A:D,[1]DG!$C$2,)</f>
        <v>Đá 2x4</v>
      </c>
      <c r="G310" s="422" t="str">
        <f>VLOOKUP($B310,[1]DG!A:D,[1]DG!$D$2,)</f>
        <v>m3</v>
      </c>
      <c r="H310" s="435">
        <f t="shared" ref="H310:N310" si="52">H$18*$D310</f>
        <v>0</v>
      </c>
      <c r="I310" s="435">
        <f t="shared" si="52"/>
        <v>0</v>
      </c>
      <c r="J310" s="435">
        <f t="shared" si="52"/>
        <v>0</v>
      </c>
      <c r="K310" s="435">
        <f t="shared" si="52"/>
        <v>0</v>
      </c>
      <c r="L310" s="435">
        <f t="shared" si="52"/>
        <v>0</v>
      </c>
      <c r="M310" s="435">
        <f t="shared" si="52"/>
        <v>0</v>
      </c>
      <c r="N310" s="435">
        <f t="shared" si="52"/>
        <v>0</v>
      </c>
      <c r="O310" s="435"/>
      <c r="P310" s="435"/>
      <c r="Q310" s="442"/>
      <c r="R310" s="442"/>
      <c r="S310" s="442"/>
      <c r="T310" s="432">
        <f t="shared" si="45"/>
        <v>0</v>
      </c>
    </row>
    <row r="311" spans="1:20" ht="22.2" hidden="1" customHeight="1">
      <c r="A311" s="379"/>
      <c r="B311" s="410" t="s">
        <v>75</v>
      </c>
      <c r="C311" s="411" t="str">
        <f t="shared" si="46"/>
        <v xml:space="preserve"> </v>
      </c>
      <c r="D311" s="445">
        <v>3.88</v>
      </c>
      <c r="E311" s="422" t="str">
        <f>VLOOKUP($B311,[1]DG!A:D,[1]DG!$B$2,)</f>
        <v>03.1013</v>
      </c>
      <c r="F311" s="434" t="str">
        <f>VLOOKUP($B311,[1]DG!A:D,[1]DG!$C$2,)</f>
        <v>Đào hố móng đất cấp 3 sâu &gt;1m</v>
      </c>
      <c r="G311" s="422" t="str">
        <f>VLOOKUP($B311,[1]DG!A:D,[1]DG!$D$2,)</f>
        <v>m3</v>
      </c>
      <c r="H311" s="436"/>
      <c r="I311" s="436"/>
      <c r="J311" s="436"/>
      <c r="K311" s="436"/>
      <c r="L311" s="436"/>
      <c r="M311" s="436"/>
      <c r="N311" s="436"/>
      <c r="O311" s="436"/>
      <c r="P311" s="436"/>
      <c r="Q311" s="444"/>
      <c r="R311" s="444"/>
      <c r="S311" s="444"/>
      <c r="T311" s="432">
        <f t="shared" si="45"/>
        <v>0</v>
      </c>
    </row>
    <row r="312" spans="1:20" ht="22.2" hidden="1" customHeight="1">
      <c r="A312" s="379"/>
      <c r="B312" s="410" t="s">
        <v>76</v>
      </c>
      <c r="C312" s="411" t="str">
        <f t="shared" si="46"/>
        <v xml:space="preserve"> </v>
      </c>
      <c r="D312" s="445">
        <v>4.34</v>
      </c>
      <c r="E312" s="422" t="str">
        <f>VLOOKUP($B312,[1]DG!A:D,[1]DG!$B$2,)</f>
        <v>03.4113</v>
      </c>
      <c r="F312" s="434" t="str">
        <f>VLOOKUP($B312,[1]DG!A:D,[1]DG!$C$2,)</f>
        <v>Đắp đất hố móng, độ chặt k=0,95</v>
      </c>
      <c r="G312" s="422" t="str">
        <f>VLOOKUP($B312,[1]DG!A:D,[1]DG!$D$2,)</f>
        <v>m3</v>
      </c>
      <c r="H312" s="436"/>
      <c r="I312" s="436"/>
      <c r="J312" s="436"/>
      <c r="K312" s="436"/>
      <c r="L312" s="436"/>
      <c r="M312" s="436"/>
      <c r="N312" s="436"/>
      <c r="O312" s="436"/>
      <c r="P312" s="436"/>
      <c r="Q312" s="444"/>
      <c r="R312" s="444"/>
      <c r="S312" s="444"/>
      <c r="T312" s="432">
        <f t="shared" si="45"/>
        <v>0</v>
      </c>
    </row>
    <row r="313" spans="1:20" ht="22.2" hidden="1" customHeight="1">
      <c r="A313" s="379"/>
      <c r="B313" s="410" t="s">
        <v>624</v>
      </c>
      <c r="C313" s="411" t="str">
        <f t="shared" si="46"/>
        <v xml:space="preserve"> </v>
      </c>
      <c r="D313" s="445">
        <f>0.255*D308</f>
        <v>0.51</v>
      </c>
      <c r="E313" s="422" t="str">
        <f>VLOOKUP($B313,[1]DG!A:D,[1]DG!$B$2,)</f>
        <v>02.1123</v>
      </c>
      <c r="F313" s="434" t="str">
        <f>VLOOKUP($B313,[1]DG!A:D,[1]DG!$C$2,)</f>
        <v>Bốc dỡ đà cản, đế néo</v>
      </c>
      <c r="G313" s="422" t="str">
        <f>VLOOKUP($B313,[1]DG!A:D,[1]DG!$D$2,)</f>
        <v>tấn</v>
      </c>
      <c r="H313" s="436"/>
      <c r="I313" s="436"/>
      <c r="J313" s="436"/>
      <c r="K313" s="436"/>
      <c r="L313" s="436"/>
      <c r="M313" s="436"/>
      <c r="N313" s="436"/>
      <c r="O313" s="436"/>
      <c r="P313" s="436"/>
      <c r="Q313" s="447"/>
      <c r="R313" s="447"/>
      <c r="S313" s="447"/>
      <c r="T313" s="432">
        <f t="shared" si="45"/>
        <v>0</v>
      </c>
    </row>
    <row r="314" spans="1:20" ht="22.2" hidden="1" customHeight="1">
      <c r="A314" s="379"/>
      <c r="B314" s="438" t="s">
        <v>625</v>
      </c>
      <c r="C314" s="411" t="str">
        <f t="shared" si="46"/>
        <v xml:space="preserve"> </v>
      </c>
      <c r="D314" s="445">
        <f>D313</f>
        <v>0.51</v>
      </c>
      <c r="E314" s="422" t="str">
        <f>VLOOKUP($B314,[1]DG!A:C,2,)</f>
        <v>02.1451</v>
      </c>
      <c r="F314" s="434" t="str">
        <f>VLOOKUP($B314,[1]DG!A:C,3,)</f>
        <v>V/c đà cản vào vị trí (cự ly &lt;=100m)</v>
      </c>
      <c r="G314" s="422" t="str">
        <f>VLOOKUP($B314,[1]DG!A:D,4,0)</f>
        <v>tấn</v>
      </c>
      <c r="H314" s="436"/>
      <c r="I314" s="436"/>
      <c r="J314" s="436"/>
      <c r="K314" s="436"/>
      <c r="L314" s="436"/>
      <c r="M314" s="436"/>
      <c r="N314" s="436"/>
      <c r="O314" s="436"/>
      <c r="P314" s="436"/>
      <c r="Q314" s="444"/>
      <c r="R314" s="444"/>
      <c r="S314" s="444"/>
      <c r="T314" s="432">
        <f t="shared" si="45"/>
        <v>0</v>
      </c>
    </row>
    <row r="315" spans="1:20" ht="22.2" hidden="1" customHeight="1">
      <c r="A315" s="379"/>
      <c r="B315" s="438" t="s">
        <v>626</v>
      </c>
      <c r="C315" s="411" t="str">
        <f t="shared" si="46"/>
        <v xml:space="preserve"> </v>
      </c>
      <c r="D315" s="433">
        <f>D310</f>
        <v>0.23200000000000001</v>
      </c>
      <c r="E315" s="422" t="str">
        <f>VLOOKUP($B315,[1]DG!A:C,2,)</f>
        <v>02.1241</v>
      </c>
      <c r="F315" s="434" t="str">
        <f>VLOOKUP($B315,[1]DG!A:C,3,)</f>
        <v>V/c đá dăm ( cự ly &lt;=100m)</v>
      </c>
      <c r="G315" s="422" t="str">
        <f>VLOOKUP($B315,[1]DG!A:D,4,0)</f>
        <v>m3</v>
      </c>
      <c r="H315" s="435"/>
      <c r="I315" s="435"/>
      <c r="J315" s="435"/>
      <c r="K315" s="435"/>
      <c r="L315" s="435"/>
      <c r="M315" s="435"/>
      <c r="N315" s="435"/>
      <c r="O315" s="435"/>
      <c r="P315" s="435"/>
      <c r="Q315" s="437"/>
      <c r="R315" s="437"/>
      <c r="S315" s="437"/>
      <c r="T315" s="432">
        <f t="shared" si="45"/>
        <v>0</v>
      </c>
    </row>
    <row r="316" spans="1:20" ht="22.2" hidden="1" customHeight="1">
      <c r="A316" s="379"/>
      <c r="B316" s="438" t="s">
        <v>620</v>
      </c>
      <c r="C316" s="411" t="str">
        <f t="shared" si="46"/>
        <v xml:space="preserve"> </v>
      </c>
      <c r="D316" s="445">
        <v>0.2</v>
      </c>
      <c r="E316" s="422" t="str">
        <f>VLOOKUP($B316,[1]DG!A:C,2,)</f>
        <v>02.1482</v>
      </c>
      <c r="F316" s="434" t="str">
        <f>VLOOKUP($B316,[1]DG!A:C,3,)</f>
        <v>V/c dụng cụ thi công vào vị trí (cự ly &lt;=100m)</v>
      </c>
      <c r="G316" s="422" t="str">
        <f>VLOOKUP($B316,[1]DG!A:D,4,0)</f>
        <v>tấn</v>
      </c>
      <c r="H316" s="436"/>
      <c r="I316" s="436"/>
      <c r="J316" s="436"/>
      <c r="K316" s="436"/>
      <c r="L316" s="436"/>
      <c r="M316" s="436"/>
      <c r="N316" s="436"/>
      <c r="O316" s="436"/>
      <c r="P316" s="436"/>
      <c r="Q316" s="444"/>
      <c r="R316" s="444"/>
      <c r="S316" s="444"/>
      <c r="T316" s="432">
        <f t="shared" si="45"/>
        <v>0</v>
      </c>
    </row>
    <row r="317" spans="1:20" ht="22.2" hidden="1" customHeight="1">
      <c r="A317" s="423" t="s">
        <v>713</v>
      </c>
      <c r="B317" s="424" t="s">
        <v>713</v>
      </c>
      <c r="C317" s="425" t="str">
        <f t="shared" si="46"/>
        <v xml:space="preserve"> </v>
      </c>
      <c r="D317" s="426"/>
      <c r="E317" s="427"/>
      <c r="F317" s="428" t="s">
        <v>714</v>
      </c>
      <c r="G317" s="349" t="s">
        <v>344</v>
      </c>
      <c r="H317" s="429">
        <f>SUM(I317:O317)</f>
        <v>0</v>
      </c>
      <c r="I317" s="430"/>
      <c r="J317" s="430"/>
      <c r="K317" s="430">
        <f>IFERROR(HLOOKUP(B317,[1]pp3p1m!$1:$3,3,0),0)</f>
        <v>0</v>
      </c>
      <c r="L317" s="430">
        <f>IFERROR(HLOOKUP(chitiet!B317,[1]pp1p!$1:$3,3,0),0)</f>
        <v>0</v>
      </c>
      <c r="M317" s="430"/>
      <c r="N317" s="430"/>
      <c r="O317" s="430"/>
      <c r="P317" s="430"/>
      <c r="Q317" s="431"/>
      <c r="R317" s="431"/>
      <c r="S317" s="431"/>
      <c r="T317" s="432">
        <f>IFERROR(HLOOKUP(B317,[1]pp1p!$1:$3,3,0),0)+IFERROR(HLOOKUP(B317,[1]pp3p1m!$1:$3,3,0),0)</f>
        <v>0</v>
      </c>
    </row>
    <row r="318" spans="1:20" ht="22.2" hidden="1" customHeight="1">
      <c r="A318" s="379"/>
      <c r="B318" s="410" t="s">
        <v>629</v>
      </c>
      <c r="C318" s="411" t="str">
        <f t="shared" si="46"/>
        <v xml:space="preserve"> </v>
      </c>
      <c r="D318" s="446">
        <v>1</v>
      </c>
      <c r="E318" s="422" t="str">
        <f>VLOOKUP($B318,[1]DG!A:D,[1]DG!$B$2,)</f>
        <v>04.3801</v>
      </c>
      <c r="F318" s="441" t="str">
        <f>VLOOKUP($B318,[1]DG!A:D,[1]DG!$C$2,)</f>
        <v>Đà cản BTCT 1,5m</v>
      </c>
      <c r="G318" s="422" t="str">
        <f>VLOOKUP($B318,[1]DG!A:D,[1]DG!$D$2,)</f>
        <v>cái</v>
      </c>
      <c r="H318" s="436">
        <f t="shared" ref="H318:N320" si="53">H$317*$D318</f>
        <v>0</v>
      </c>
      <c r="I318" s="436">
        <f t="shared" si="53"/>
        <v>0</v>
      </c>
      <c r="J318" s="436">
        <f t="shared" si="53"/>
        <v>0</v>
      </c>
      <c r="K318" s="436">
        <f t="shared" si="53"/>
        <v>0</v>
      </c>
      <c r="L318" s="436">
        <f t="shared" si="53"/>
        <v>0</v>
      </c>
      <c r="M318" s="436">
        <f t="shared" si="53"/>
        <v>0</v>
      </c>
      <c r="N318" s="436">
        <f t="shared" si="53"/>
        <v>0</v>
      </c>
      <c r="O318" s="436"/>
      <c r="P318" s="436"/>
      <c r="Q318" s="447"/>
      <c r="R318" s="447"/>
      <c r="S318" s="447"/>
      <c r="T318" s="432">
        <f t="shared" si="45"/>
        <v>0</v>
      </c>
    </row>
    <row r="319" spans="1:20" ht="22.2" hidden="1" customHeight="1">
      <c r="A319" s="379"/>
      <c r="B319" s="410" t="s">
        <v>73</v>
      </c>
      <c r="C319" s="411" t="str">
        <f t="shared" si="46"/>
        <v xml:space="preserve"> </v>
      </c>
      <c r="D319" s="446">
        <v>2</v>
      </c>
      <c r="E319" s="422" t="str">
        <f>VLOOKUP($B319,[1]DG!A:D,[1]DG!$B$2,)</f>
        <v>04.4001</v>
      </c>
      <c r="F319" s="441" t="str">
        <f>VLOOKUP($B319,[1]DG!A:D,[1]DG!$C$2,)&amp;" hieän höõu"</f>
        <v>Đà cản BTCT 1,2m hieän höõu</v>
      </c>
      <c r="G319" s="422" t="str">
        <f>VLOOKUP($B319,[1]DG!A:D,[1]DG!$D$2,)</f>
        <v>cái</v>
      </c>
      <c r="H319" s="436">
        <f t="shared" si="53"/>
        <v>0</v>
      </c>
      <c r="I319" s="436">
        <f t="shared" si="53"/>
        <v>0</v>
      </c>
      <c r="J319" s="436">
        <f t="shared" si="53"/>
        <v>0</v>
      </c>
      <c r="K319" s="436">
        <f t="shared" si="53"/>
        <v>0</v>
      </c>
      <c r="L319" s="436">
        <f t="shared" si="53"/>
        <v>0</v>
      </c>
      <c r="M319" s="436">
        <f t="shared" si="53"/>
        <v>0</v>
      </c>
      <c r="N319" s="436">
        <f t="shared" si="53"/>
        <v>0</v>
      </c>
      <c r="O319" s="436"/>
      <c r="P319" s="436"/>
      <c r="Q319" s="447"/>
      <c r="R319" s="447"/>
      <c r="S319" s="447"/>
      <c r="T319" s="432">
        <f t="shared" si="45"/>
        <v>0</v>
      </c>
    </row>
    <row r="320" spans="1:20" ht="22.2" hidden="1" customHeight="1">
      <c r="A320" s="379"/>
      <c r="B320" s="410" t="s">
        <v>715</v>
      </c>
      <c r="C320" s="411" t="str">
        <f t="shared" si="46"/>
        <v xml:space="preserve"> </v>
      </c>
      <c r="D320" s="446">
        <v>1</v>
      </c>
      <c r="E320" s="422"/>
      <c r="F320" s="441" t="str">
        <f>VLOOKUP($B320,[1]DG!A:D,[1]DG!$C$2,)</f>
        <v>Boulon 22x700+ 2 long đền vuông D24-50x50x3/Zn</v>
      </c>
      <c r="G320" s="422" t="str">
        <f>VLOOKUP($B320,[1]DG!A:D,[1]DG!$D$2,)</f>
        <v>bộ</v>
      </c>
      <c r="H320" s="436">
        <f t="shared" si="53"/>
        <v>0</v>
      </c>
      <c r="I320" s="436">
        <f t="shared" si="53"/>
        <v>0</v>
      </c>
      <c r="J320" s="436">
        <f t="shared" si="53"/>
        <v>0</v>
      </c>
      <c r="K320" s="436">
        <f t="shared" si="53"/>
        <v>0</v>
      </c>
      <c r="L320" s="436">
        <f t="shared" si="53"/>
        <v>0</v>
      </c>
      <c r="M320" s="436">
        <f t="shared" si="53"/>
        <v>0</v>
      </c>
      <c r="N320" s="436">
        <f t="shared" si="53"/>
        <v>0</v>
      </c>
      <c r="O320" s="436"/>
      <c r="P320" s="436"/>
      <c r="Q320" s="447"/>
      <c r="R320" s="447"/>
      <c r="S320" s="447"/>
      <c r="T320" s="432">
        <f t="shared" si="45"/>
        <v>0</v>
      </c>
    </row>
    <row r="321" spans="1:20" ht="22.2" hidden="1" customHeight="1">
      <c r="A321" s="379"/>
      <c r="B321" s="410" t="s">
        <v>75</v>
      </c>
      <c r="C321" s="411" t="str">
        <f t="shared" si="46"/>
        <v xml:space="preserve"> </v>
      </c>
      <c r="D321" s="445">
        <v>2.17</v>
      </c>
      <c r="E321" s="422" t="str">
        <f>VLOOKUP($B321,[1]DG!A:D,[1]DG!$B$2,)</f>
        <v>03.1013</v>
      </c>
      <c r="F321" s="434" t="str">
        <f>VLOOKUP($B321,[1]DG!A:D,[1]DG!$C$2,)</f>
        <v>Đào hố móng đất cấp 3 sâu &gt;1m</v>
      </c>
      <c r="G321" s="422" t="str">
        <f>VLOOKUP($B321,[1]DG!A:D,[1]DG!$D$2,)</f>
        <v>m3</v>
      </c>
      <c r="H321" s="436"/>
      <c r="I321" s="436"/>
      <c r="J321" s="436"/>
      <c r="K321" s="436"/>
      <c r="L321" s="436"/>
      <c r="M321" s="436"/>
      <c r="N321" s="436"/>
      <c r="O321" s="436"/>
      <c r="P321" s="436"/>
      <c r="Q321" s="444"/>
      <c r="R321" s="444"/>
      <c r="S321" s="444"/>
      <c r="T321" s="432">
        <f t="shared" si="45"/>
        <v>0</v>
      </c>
    </row>
    <row r="322" spans="1:20" ht="22.2" hidden="1" customHeight="1">
      <c r="A322" s="379"/>
      <c r="B322" s="410" t="s">
        <v>76</v>
      </c>
      <c r="C322" s="411" t="str">
        <f t="shared" si="46"/>
        <v xml:space="preserve"> </v>
      </c>
      <c r="D322" s="445">
        <v>2.3199999999999998</v>
      </c>
      <c r="E322" s="422" t="str">
        <f>VLOOKUP($B322,[1]DG!A:D,[1]DG!$B$2,)</f>
        <v>03.4113</v>
      </c>
      <c r="F322" s="434" t="str">
        <f>VLOOKUP($B322,[1]DG!A:D,[1]DG!$C$2,)</f>
        <v>Đắp đất hố móng, độ chặt k=0,95</v>
      </c>
      <c r="G322" s="422" t="str">
        <f>VLOOKUP($B322,[1]DG!A:D,[1]DG!$D$2,)</f>
        <v>m3</v>
      </c>
      <c r="H322" s="436"/>
      <c r="I322" s="436"/>
      <c r="J322" s="436"/>
      <c r="K322" s="436"/>
      <c r="L322" s="436"/>
      <c r="M322" s="436"/>
      <c r="N322" s="436"/>
      <c r="O322" s="436"/>
      <c r="P322" s="436"/>
      <c r="Q322" s="444"/>
      <c r="R322" s="444"/>
      <c r="S322" s="444"/>
      <c r="T322" s="432">
        <f t="shared" si="45"/>
        <v>0</v>
      </c>
    </row>
    <row r="323" spans="1:20" ht="22.2" hidden="1" customHeight="1">
      <c r="A323" s="379"/>
      <c r="B323" s="410" t="s">
        <v>624</v>
      </c>
      <c r="C323" s="411" t="str">
        <f t="shared" si="46"/>
        <v xml:space="preserve"> </v>
      </c>
      <c r="D323" s="445">
        <f>0.255*D318</f>
        <v>0.255</v>
      </c>
      <c r="E323" s="422" t="str">
        <f>VLOOKUP($B323,[1]DG!A:D,[1]DG!$B$2,)</f>
        <v>02.1123</v>
      </c>
      <c r="F323" s="434" t="str">
        <f>VLOOKUP($B323,[1]DG!A:D,[1]DG!$C$2,)</f>
        <v>Bốc dỡ đà cản, đế néo</v>
      </c>
      <c r="G323" s="422" t="str">
        <f>VLOOKUP($B323,[1]DG!A:D,[1]DG!$D$2,)</f>
        <v>tấn</v>
      </c>
      <c r="H323" s="436"/>
      <c r="I323" s="436"/>
      <c r="J323" s="436"/>
      <c r="K323" s="436"/>
      <c r="L323" s="436"/>
      <c r="M323" s="436"/>
      <c r="N323" s="436"/>
      <c r="O323" s="436"/>
      <c r="P323" s="436"/>
      <c r="Q323" s="447"/>
      <c r="R323" s="447"/>
      <c r="S323" s="447"/>
      <c r="T323" s="432">
        <f t="shared" si="45"/>
        <v>0</v>
      </c>
    </row>
    <row r="324" spans="1:20" ht="22.2" hidden="1" customHeight="1">
      <c r="A324" s="379"/>
      <c r="B324" s="438" t="s">
        <v>625</v>
      </c>
      <c r="C324" s="411" t="str">
        <f t="shared" si="46"/>
        <v xml:space="preserve"> </v>
      </c>
      <c r="D324" s="445">
        <f>D323</f>
        <v>0.255</v>
      </c>
      <c r="E324" s="422" t="str">
        <f>VLOOKUP($B324,[1]DG!A:C,2,)</f>
        <v>02.1451</v>
      </c>
      <c r="F324" s="434" t="str">
        <f>VLOOKUP($B324,[1]DG!A:C,3,)</f>
        <v>V/c đà cản vào vị trí (cự ly &lt;=100m)</v>
      </c>
      <c r="G324" s="422" t="str">
        <f>VLOOKUP($B324,[1]DG!A:D,4,0)</f>
        <v>tấn</v>
      </c>
      <c r="H324" s="436"/>
      <c r="I324" s="436"/>
      <c r="J324" s="436"/>
      <c r="K324" s="436"/>
      <c r="L324" s="436"/>
      <c r="M324" s="436"/>
      <c r="N324" s="436"/>
      <c r="O324" s="436"/>
      <c r="P324" s="436"/>
      <c r="Q324" s="444"/>
      <c r="R324" s="444"/>
      <c r="S324" s="444"/>
      <c r="T324" s="432">
        <f t="shared" si="45"/>
        <v>0</v>
      </c>
    </row>
    <row r="325" spans="1:20" ht="22.2" hidden="1" customHeight="1">
      <c r="A325" s="379"/>
      <c r="B325" s="438" t="s">
        <v>620</v>
      </c>
      <c r="C325" s="411" t="str">
        <f t="shared" si="46"/>
        <v xml:space="preserve"> </v>
      </c>
      <c r="D325" s="445">
        <v>0.2</v>
      </c>
      <c r="E325" s="422" t="str">
        <f>VLOOKUP($B325,[1]DG!A:C,2,)</f>
        <v>02.1482</v>
      </c>
      <c r="F325" s="434" t="str">
        <f>VLOOKUP($B325,[1]DG!A:C,3,)</f>
        <v>V/c dụng cụ thi công vào vị trí (cự ly &lt;=100m)</v>
      </c>
      <c r="G325" s="422" t="str">
        <f>VLOOKUP($B325,[1]DG!A:D,4,0)</f>
        <v>tấn</v>
      </c>
      <c r="H325" s="436"/>
      <c r="I325" s="436"/>
      <c r="J325" s="436"/>
      <c r="K325" s="436"/>
      <c r="L325" s="436"/>
      <c r="M325" s="436"/>
      <c r="N325" s="436"/>
      <c r="O325" s="436"/>
      <c r="P325" s="436"/>
      <c r="Q325" s="444"/>
      <c r="R325" s="444"/>
      <c r="S325" s="444"/>
      <c r="T325" s="432">
        <f t="shared" si="45"/>
        <v>0</v>
      </c>
    </row>
    <row r="326" spans="1:20" ht="22.2" hidden="1" customHeight="1">
      <c r="A326" s="423" t="s">
        <v>716</v>
      </c>
      <c r="B326" s="424" t="s">
        <v>716</v>
      </c>
      <c r="C326" s="425" t="str">
        <f t="shared" si="46"/>
        <v xml:space="preserve"> </v>
      </c>
      <c r="D326" s="426"/>
      <c r="E326" s="427"/>
      <c r="F326" s="428" t="s">
        <v>717</v>
      </c>
      <c r="G326" s="349" t="s">
        <v>344</v>
      </c>
      <c r="H326" s="429">
        <f>SUM(I326:O326)</f>
        <v>0</v>
      </c>
      <c r="I326" s="430"/>
      <c r="J326" s="430"/>
      <c r="K326" s="430">
        <f>IFERROR(HLOOKUP(B326,[1]pp3p1m!$1:$3,3,0),0)</f>
        <v>0</v>
      </c>
      <c r="L326" s="430">
        <f>IFERROR(HLOOKUP(chitiet!B326,[1]pp1p!$1:$3,3,0),0)</f>
        <v>0</v>
      </c>
      <c r="M326" s="430"/>
      <c r="N326" s="430"/>
      <c r="O326" s="430"/>
      <c r="P326" s="430"/>
      <c r="Q326" s="431"/>
      <c r="R326" s="431"/>
      <c r="S326" s="431"/>
      <c r="T326" s="432">
        <f>IFERROR(HLOOKUP(B326,[1]pp1p!$1:$3,3,0),0)+IFERROR(HLOOKUP(B326,[1]pp3p1m!$1:$3,3,0),0)</f>
        <v>0</v>
      </c>
    </row>
    <row r="327" spans="1:20" ht="22.2" hidden="1" customHeight="1">
      <c r="A327" s="379"/>
      <c r="B327" s="410" t="s">
        <v>629</v>
      </c>
      <c r="C327" s="411" t="str">
        <f t="shared" si="46"/>
        <v xml:space="preserve"> </v>
      </c>
      <c r="D327" s="446">
        <v>1</v>
      </c>
      <c r="E327" s="422" t="str">
        <f>VLOOKUP($B327,[1]DG!A:D,[1]DG!$B$2,)</f>
        <v>04.3801</v>
      </c>
      <c r="F327" s="441" t="str">
        <f>VLOOKUP($B327,[1]DG!A:D,[1]DG!$C$2,)</f>
        <v>Đà cản BTCT 1,5m</v>
      </c>
      <c r="G327" s="422" t="str">
        <f>VLOOKUP($B327,[1]DG!A:D,[1]DG!$D$2,)</f>
        <v>cái</v>
      </c>
      <c r="H327" s="436">
        <f t="shared" ref="H327:N329" si="54">H$326*$D327</f>
        <v>0</v>
      </c>
      <c r="I327" s="436">
        <f t="shared" si="54"/>
        <v>0</v>
      </c>
      <c r="J327" s="436">
        <f t="shared" si="54"/>
        <v>0</v>
      </c>
      <c r="K327" s="436">
        <f t="shared" si="54"/>
        <v>0</v>
      </c>
      <c r="L327" s="436">
        <f t="shared" si="54"/>
        <v>0</v>
      </c>
      <c r="M327" s="436">
        <f t="shared" si="54"/>
        <v>0</v>
      </c>
      <c r="N327" s="436">
        <f t="shared" si="54"/>
        <v>0</v>
      </c>
      <c r="O327" s="436"/>
      <c r="P327" s="436"/>
      <c r="Q327" s="447"/>
      <c r="R327" s="447"/>
      <c r="S327" s="447"/>
      <c r="T327" s="432">
        <f t="shared" si="45"/>
        <v>0</v>
      </c>
    </row>
    <row r="328" spans="1:20" ht="22.2" hidden="1" customHeight="1">
      <c r="A328" s="379"/>
      <c r="B328" s="410" t="s">
        <v>73</v>
      </c>
      <c r="C328" s="411" t="str">
        <f t="shared" si="46"/>
        <v xml:space="preserve"> </v>
      </c>
      <c r="D328" s="446">
        <v>2</v>
      </c>
      <c r="E328" s="422" t="str">
        <f>VLOOKUP($B328,[1]DG!A:D,[1]DG!$B$2,)</f>
        <v>04.4001</v>
      </c>
      <c r="F328" s="441" t="str">
        <f>VLOOKUP($B328,[1]DG!A:D,[1]DG!$C$2,)&amp;" hieän höõu"</f>
        <v>Đà cản BTCT 1,2m hieän höõu</v>
      </c>
      <c r="G328" s="422" t="str">
        <f>VLOOKUP($B328,[1]DG!A:D,[1]DG!$D$2,)</f>
        <v>cái</v>
      </c>
      <c r="H328" s="436">
        <f t="shared" si="54"/>
        <v>0</v>
      </c>
      <c r="I328" s="436">
        <f t="shared" si="54"/>
        <v>0</v>
      </c>
      <c r="J328" s="436">
        <f t="shared" si="54"/>
        <v>0</v>
      </c>
      <c r="K328" s="436">
        <f t="shared" si="54"/>
        <v>0</v>
      </c>
      <c r="L328" s="436">
        <f t="shared" si="54"/>
        <v>0</v>
      </c>
      <c r="M328" s="436">
        <f t="shared" si="54"/>
        <v>0</v>
      </c>
      <c r="N328" s="436">
        <f t="shared" si="54"/>
        <v>0</v>
      </c>
      <c r="O328" s="436"/>
      <c r="P328" s="436"/>
      <c r="Q328" s="447"/>
      <c r="R328" s="447"/>
      <c r="S328" s="447"/>
      <c r="T328" s="432">
        <f t="shared" si="45"/>
        <v>0</v>
      </c>
    </row>
    <row r="329" spans="1:20" ht="22.2" hidden="1" customHeight="1">
      <c r="A329" s="379"/>
      <c r="B329" s="410" t="s">
        <v>715</v>
      </c>
      <c r="C329" s="411" t="str">
        <f t="shared" si="46"/>
        <v xml:space="preserve"> </v>
      </c>
      <c r="D329" s="446">
        <v>2</v>
      </c>
      <c r="E329" s="422"/>
      <c r="F329" s="441" t="str">
        <f>VLOOKUP($B329,[1]DG!A:D,[1]DG!$C$2,)</f>
        <v>Boulon 22x700+ 2 long đền vuông D24-50x50x3/Zn</v>
      </c>
      <c r="G329" s="422" t="str">
        <f>VLOOKUP($B329,[1]DG!A:D,[1]DG!$D$2,)</f>
        <v>bộ</v>
      </c>
      <c r="H329" s="436">
        <f t="shared" si="54"/>
        <v>0</v>
      </c>
      <c r="I329" s="436">
        <f t="shared" si="54"/>
        <v>0</v>
      </c>
      <c r="J329" s="436">
        <f t="shared" si="54"/>
        <v>0</v>
      </c>
      <c r="K329" s="436">
        <f t="shared" si="54"/>
        <v>0</v>
      </c>
      <c r="L329" s="436">
        <f t="shared" si="54"/>
        <v>0</v>
      </c>
      <c r="M329" s="436">
        <f t="shared" si="54"/>
        <v>0</v>
      </c>
      <c r="N329" s="436">
        <f t="shared" si="54"/>
        <v>0</v>
      </c>
      <c r="O329" s="436"/>
      <c r="P329" s="436"/>
      <c r="Q329" s="447"/>
      <c r="R329" s="447"/>
      <c r="S329" s="447"/>
      <c r="T329" s="432">
        <f t="shared" si="45"/>
        <v>0</v>
      </c>
    </row>
    <row r="330" spans="1:20" ht="22.2" hidden="1" customHeight="1">
      <c r="A330" s="379"/>
      <c r="B330" s="410" t="s">
        <v>75</v>
      </c>
      <c r="C330" s="411" t="str">
        <f t="shared" si="46"/>
        <v xml:space="preserve"> </v>
      </c>
      <c r="D330" s="445">
        <v>4.63</v>
      </c>
      <c r="E330" s="422" t="str">
        <f>VLOOKUP($B330,[1]DG!A:D,[1]DG!$B$2,)</f>
        <v>03.1013</v>
      </c>
      <c r="F330" s="434" t="str">
        <f>VLOOKUP($B330,[1]DG!A:D,[1]DG!$C$2,)</f>
        <v>Đào hố móng đất cấp 3 sâu &gt;1m</v>
      </c>
      <c r="G330" s="422" t="str">
        <f>VLOOKUP($B330,[1]DG!A:D,[1]DG!$D$2,)</f>
        <v>m3</v>
      </c>
      <c r="H330" s="436"/>
      <c r="I330" s="436"/>
      <c r="J330" s="436"/>
      <c r="K330" s="436"/>
      <c r="L330" s="436"/>
      <c r="M330" s="436"/>
      <c r="N330" s="436"/>
      <c r="O330" s="436"/>
      <c r="P330" s="436"/>
      <c r="Q330" s="444"/>
      <c r="R330" s="444"/>
      <c r="S330" s="444"/>
      <c r="T330" s="432">
        <f t="shared" si="45"/>
        <v>0</v>
      </c>
    </row>
    <row r="331" spans="1:20" ht="22.2" hidden="1" customHeight="1">
      <c r="A331" s="379"/>
      <c r="B331" s="410" t="s">
        <v>76</v>
      </c>
      <c r="C331" s="411" t="str">
        <f t="shared" si="46"/>
        <v xml:space="preserve"> </v>
      </c>
      <c r="D331" s="445">
        <v>4.95</v>
      </c>
      <c r="E331" s="422" t="str">
        <f>VLOOKUP($B331,[1]DG!A:D,[1]DG!$B$2,)</f>
        <v>03.4113</v>
      </c>
      <c r="F331" s="434" t="str">
        <f>VLOOKUP($B331,[1]DG!A:D,[1]DG!$C$2,)</f>
        <v>Đắp đất hố móng, độ chặt k=0,95</v>
      </c>
      <c r="G331" s="422" t="str">
        <f>VLOOKUP($B331,[1]DG!A:D,[1]DG!$D$2,)</f>
        <v>m3</v>
      </c>
      <c r="H331" s="436"/>
      <c r="I331" s="436"/>
      <c r="J331" s="436"/>
      <c r="K331" s="436"/>
      <c r="L331" s="436"/>
      <c r="M331" s="436"/>
      <c r="N331" s="436"/>
      <c r="O331" s="436"/>
      <c r="P331" s="436"/>
      <c r="Q331" s="444"/>
      <c r="R331" s="444"/>
      <c r="S331" s="444"/>
      <c r="T331" s="432">
        <f t="shared" si="45"/>
        <v>0</v>
      </c>
    </row>
    <row r="332" spans="1:20" ht="22.2" hidden="1" customHeight="1">
      <c r="A332" s="379"/>
      <c r="B332" s="410" t="s">
        <v>624</v>
      </c>
      <c r="C332" s="411" t="str">
        <f t="shared" si="46"/>
        <v xml:space="preserve"> </v>
      </c>
      <c r="D332" s="445">
        <f>0.1*D327</f>
        <v>0.1</v>
      </c>
      <c r="E332" s="422" t="str">
        <f>VLOOKUP($B332,[1]DG!A:D,[1]DG!$B$2,)</f>
        <v>02.1123</v>
      </c>
      <c r="F332" s="434" t="str">
        <f>VLOOKUP($B332,[1]DG!A:D,[1]DG!$C$2,)</f>
        <v>Bốc dỡ đà cản, đế néo</v>
      </c>
      <c r="G332" s="422" t="str">
        <f>VLOOKUP($B332,[1]DG!A:D,[1]DG!$D$2,)</f>
        <v>tấn</v>
      </c>
      <c r="H332" s="436"/>
      <c r="I332" s="436"/>
      <c r="J332" s="436"/>
      <c r="K332" s="436"/>
      <c r="L332" s="436"/>
      <c r="M332" s="436"/>
      <c r="N332" s="436"/>
      <c r="O332" s="436"/>
      <c r="P332" s="436"/>
      <c r="Q332" s="447"/>
      <c r="R332" s="447"/>
      <c r="S332" s="447"/>
      <c r="T332" s="432">
        <f t="shared" si="45"/>
        <v>0</v>
      </c>
    </row>
    <row r="333" spans="1:20" ht="22.2" hidden="1" customHeight="1">
      <c r="A333" s="379"/>
      <c r="B333" s="438" t="s">
        <v>625</v>
      </c>
      <c r="C333" s="411" t="str">
        <f t="shared" si="46"/>
        <v xml:space="preserve"> </v>
      </c>
      <c r="D333" s="445">
        <f>D332</f>
        <v>0.1</v>
      </c>
      <c r="E333" s="422" t="str">
        <f>VLOOKUP($B333,[1]DG!A:C,2,)</f>
        <v>02.1451</v>
      </c>
      <c r="F333" s="434" t="str">
        <f>VLOOKUP($B333,[1]DG!A:C,3,)</f>
        <v>V/c đà cản vào vị trí (cự ly &lt;=100m)</v>
      </c>
      <c r="G333" s="422" t="str">
        <f>VLOOKUP($B333,[1]DG!A:D,4,0)</f>
        <v>tấn</v>
      </c>
      <c r="H333" s="436"/>
      <c r="I333" s="436"/>
      <c r="J333" s="436"/>
      <c r="K333" s="436"/>
      <c r="L333" s="436"/>
      <c r="M333" s="436"/>
      <c r="N333" s="436"/>
      <c r="O333" s="436"/>
      <c r="P333" s="436"/>
      <c r="Q333" s="444"/>
      <c r="R333" s="444"/>
      <c r="S333" s="444"/>
      <c r="T333" s="432">
        <f t="shared" si="45"/>
        <v>0</v>
      </c>
    </row>
    <row r="334" spans="1:20" ht="22.2" hidden="1" customHeight="1">
      <c r="A334" s="379"/>
      <c r="B334" s="438" t="s">
        <v>620</v>
      </c>
      <c r="C334" s="411" t="str">
        <f t="shared" si="46"/>
        <v xml:space="preserve"> </v>
      </c>
      <c r="D334" s="445">
        <v>0.2</v>
      </c>
      <c r="E334" s="422" t="str">
        <f>VLOOKUP($B334,[1]DG!A:C,2,)</f>
        <v>02.1482</v>
      </c>
      <c r="F334" s="434" t="str">
        <f>VLOOKUP($B334,[1]DG!A:C,3,)</f>
        <v>V/c dụng cụ thi công vào vị trí (cự ly &lt;=100m)</v>
      </c>
      <c r="G334" s="422" t="str">
        <f>VLOOKUP($B334,[1]DG!A:D,4,0)</f>
        <v>tấn</v>
      </c>
      <c r="H334" s="436"/>
      <c r="I334" s="436"/>
      <c r="J334" s="436"/>
      <c r="K334" s="436"/>
      <c r="L334" s="436"/>
      <c r="M334" s="436"/>
      <c r="N334" s="436"/>
      <c r="O334" s="436"/>
      <c r="P334" s="436"/>
      <c r="Q334" s="444"/>
      <c r="R334" s="444"/>
      <c r="S334" s="444"/>
      <c r="T334" s="432">
        <f t="shared" ref="T334:T400" si="55">IFERROR(HLOOKUP(B334,BangKeTru,3,0),0)</f>
        <v>0</v>
      </c>
    </row>
    <row r="335" spans="1:20" ht="22.2" hidden="1" customHeight="1">
      <c r="A335" s="423" t="s">
        <v>718</v>
      </c>
      <c r="B335" s="424" t="s">
        <v>718</v>
      </c>
      <c r="C335" s="425" t="str">
        <f t="shared" ref="C335:C401" si="56">IF(OR(P335&lt;&gt;0,H335&lt;&gt;0),"x"," ")</f>
        <v xml:space="preserve"> </v>
      </c>
      <c r="D335" s="426"/>
      <c r="E335" s="427"/>
      <c r="F335" s="428" t="s">
        <v>719</v>
      </c>
      <c r="G335" s="349" t="s">
        <v>344</v>
      </c>
      <c r="H335" s="429">
        <f>SUM(I335:O335)</f>
        <v>0</v>
      </c>
      <c r="I335" s="430"/>
      <c r="J335" s="430"/>
      <c r="K335" s="430">
        <f>IFERROR(HLOOKUP(B335,[1]pp3p1m!$1:$3,3,0),0)</f>
        <v>0</v>
      </c>
      <c r="L335" s="430">
        <f>IFERROR(HLOOKUP(chitiet!B335,[1]pp1p!$1:$3,3,0),0)</f>
        <v>0</v>
      </c>
      <c r="M335" s="430"/>
      <c r="N335" s="430"/>
      <c r="O335" s="430"/>
      <c r="P335" s="430"/>
      <c r="Q335" s="431"/>
      <c r="R335" s="431"/>
      <c r="S335" s="431"/>
      <c r="T335" s="432">
        <f>IFERROR(HLOOKUP(B335,[1]pp1p!$1:$3,3,0),0)+IFERROR(HLOOKUP(B335,[1]pp3p1m!$1:$3,3,0),0)</f>
        <v>0</v>
      </c>
    </row>
    <row r="336" spans="1:20" ht="22.2" hidden="1" customHeight="1">
      <c r="A336" s="379"/>
      <c r="B336" s="410" t="s">
        <v>720</v>
      </c>
      <c r="C336" s="411" t="str">
        <f t="shared" si="56"/>
        <v xml:space="preserve"> </v>
      </c>
      <c r="D336" s="445">
        <v>0.33</v>
      </c>
      <c r="E336" s="422" t="str">
        <f>VLOOKUP($B336,[1]DG!A:D,[1]DG!$B$2,)</f>
        <v>03.1103</v>
      </c>
      <c r="F336" s="434" t="str">
        <f>VLOOKUP($B336,[1]DG!A:D,[1]DG!$C$2,)</f>
        <v>Đào hố móng đất cấp 3 sâu &lt;=1m</v>
      </c>
      <c r="G336" s="422" t="str">
        <f>VLOOKUP($B336,[1]DG!A:D,[1]DG!$D$2,)</f>
        <v>m3</v>
      </c>
      <c r="H336" s="436"/>
      <c r="I336" s="436"/>
      <c r="J336" s="436"/>
      <c r="K336" s="436"/>
      <c r="L336" s="436"/>
      <c r="M336" s="436"/>
      <c r="N336" s="436"/>
      <c r="O336" s="436"/>
      <c r="P336" s="436"/>
      <c r="Q336" s="444"/>
      <c r="R336" s="444"/>
      <c r="S336" s="444"/>
      <c r="T336" s="432">
        <f t="shared" si="55"/>
        <v>0</v>
      </c>
    </row>
    <row r="337" spans="1:20" ht="22.2" hidden="1" customHeight="1">
      <c r="A337" s="379"/>
      <c r="B337" s="410" t="s">
        <v>721</v>
      </c>
      <c r="C337" s="411" t="str">
        <f t="shared" si="56"/>
        <v xml:space="preserve"> </v>
      </c>
      <c r="D337" s="445">
        <v>1.65</v>
      </c>
      <c r="E337" s="422" t="str">
        <f>VLOOKUP($B337,[1]DG!A:D,[1]DG!$B$2,)</f>
        <v>03.8133</v>
      </c>
      <c r="F337" s="434" t="str">
        <f>VLOOKUP($B337,[1]DG!A:D,[1]DG!$C$2,)</f>
        <v>Phá đá chân hố móng, đá cấp I</v>
      </c>
      <c r="G337" s="422" t="str">
        <f>VLOOKUP($B337,[1]DG!A:D,[1]DG!$D$2,)</f>
        <v>m3</v>
      </c>
      <c r="H337" s="436"/>
      <c r="I337" s="436"/>
      <c r="J337" s="436"/>
      <c r="K337" s="436"/>
      <c r="L337" s="436"/>
      <c r="M337" s="436"/>
      <c r="N337" s="436"/>
      <c r="O337" s="436"/>
      <c r="P337" s="436"/>
      <c r="Q337" s="444"/>
      <c r="R337" s="444"/>
      <c r="S337" s="444"/>
      <c r="T337" s="432">
        <f t="shared" si="55"/>
        <v>0</v>
      </c>
    </row>
    <row r="338" spans="1:20" ht="22.2" hidden="1" customHeight="1">
      <c r="A338" s="379"/>
      <c r="B338" s="410" t="s">
        <v>722</v>
      </c>
      <c r="C338" s="411" t="str">
        <f t="shared" si="56"/>
        <v xml:space="preserve"> </v>
      </c>
      <c r="D338" s="445">
        <v>2.0499999999999998</v>
      </c>
      <c r="E338" s="422" t="str">
        <f>VLOOKUP($B338,[1]DG!A:D,[1]DG!$B$2,)</f>
        <v>03.2203</v>
      </c>
      <c r="F338" s="434" t="str">
        <f>VLOOKUP($B338,[1]DG!A:D,[1]DG!$C$2,)</f>
        <v>Đắp đất hố móng, đất cấp 4</v>
      </c>
      <c r="G338" s="422" t="str">
        <f>VLOOKUP($B338,[1]DG!A:D,[1]DG!$D$2,)</f>
        <v>m3</v>
      </c>
      <c r="H338" s="436"/>
      <c r="I338" s="436"/>
      <c r="J338" s="436"/>
      <c r="K338" s="436"/>
      <c r="L338" s="436"/>
      <c r="M338" s="436"/>
      <c r="N338" s="436"/>
      <c r="O338" s="436"/>
      <c r="P338" s="436"/>
      <c r="Q338" s="447"/>
      <c r="R338" s="447"/>
      <c r="S338" s="447"/>
      <c r="T338" s="432">
        <f t="shared" si="55"/>
        <v>0</v>
      </c>
    </row>
    <row r="339" spans="1:20" ht="22.2" hidden="1" customHeight="1">
      <c r="A339" s="451" t="s">
        <v>723</v>
      </c>
      <c r="B339" s="424" t="s">
        <v>723</v>
      </c>
      <c r="C339" s="411" t="str">
        <f t="shared" si="56"/>
        <v xml:space="preserve"> </v>
      </c>
      <c r="D339" s="426"/>
      <c r="E339" s="427"/>
      <c r="F339" s="428" t="s">
        <v>724</v>
      </c>
      <c r="G339" s="349" t="s">
        <v>344</v>
      </c>
      <c r="H339" s="429">
        <f>SUM(I339:O339)</f>
        <v>0</v>
      </c>
      <c r="I339" s="430"/>
      <c r="J339" s="430"/>
      <c r="K339" s="430">
        <f>IFERROR(HLOOKUP(B339,[1]pp3p1m!$1:$3,3,0),0)</f>
        <v>0</v>
      </c>
      <c r="L339" s="430">
        <f>IFERROR(HLOOKUP(chitiet!B339,[1]pp1p!$1:$3,3,0),0)</f>
        <v>0</v>
      </c>
      <c r="M339" s="430"/>
      <c r="N339" s="430"/>
      <c r="O339" s="430"/>
      <c r="P339" s="429">
        <f>H339+Q339-R339</f>
        <v>0</v>
      </c>
      <c r="Q339" s="431"/>
      <c r="R339" s="431"/>
      <c r="S339" s="431"/>
      <c r="T339" s="432">
        <f>IFERROR(HLOOKUP(B339,[1]pp1p!$1:$3,3,0),0)+IFERROR(HLOOKUP(B339,[1]pp3p1m!$1:$3,3,0),0)</f>
        <v>0</v>
      </c>
    </row>
    <row r="340" spans="1:20" ht="22.2" hidden="1" customHeight="1">
      <c r="B340" s="438" t="s">
        <v>643</v>
      </c>
      <c r="C340" s="411" t="str">
        <f t="shared" si="56"/>
        <v xml:space="preserve"> </v>
      </c>
      <c r="D340" s="448">
        <v>252</v>
      </c>
      <c r="E340" s="422">
        <f>VLOOKUP($B340,[1]DG!A:D,[1]DG!$B$2,)</f>
        <v>0</v>
      </c>
      <c r="F340" s="441" t="str">
        <f>VLOOKUP($B340,[1]DG!A:D,[1]DG!$C$2,)</f>
        <v>Ximăng (PC40)</v>
      </c>
      <c r="G340" s="422" t="str">
        <f>VLOOKUP($B340,[1]DG!A:D,[1]DG!$D$2,)</f>
        <v>kg</v>
      </c>
      <c r="H340" s="436">
        <f t="shared" ref="H340:O355" si="57">H$339*$D340</f>
        <v>0</v>
      </c>
      <c r="I340" s="436">
        <f t="shared" si="57"/>
        <v>0</v>
      </c>
      <c r="J340" s="436">
        <f t="shared" si="57"/>
        <v>0</v>
      </c>
      <c r="K340" s="436">
        <f t="shared" si="57"/>
        <v>0</v>
      </c>
      <c r="L340" s="436">
        <f t="shared" si="57"/>
        <v>0</v>
      </c>
      <c r="M340" s="436">
        <f t="shared" si="57"/>
        <v>0</v>
      </c>
      <c r="N340" s="436">
        <f t="shared" si="57"/>
        <v>0</v>
      </c>
      <c r="O340" s="436">
        <f t="shared" si="57"/>
        <v>0</v>
      </c>
      <c r="P340" s="436">
        <f>$P$339*D340</f>
        <v>0</v>
      </c>
      <c r="Q340" s="447"/>
      <c r="R340" s="447"/>
      <c r="S340" s="447"/>
      <c r="T340" s="432">
        <f t="shared" si="55"/>
        <v>0</v>
      </c>
    </row>
    <row r="341" spans="1:20" ht="22.2" hidden="1" customHeight="1">
      <c r="B341" s="449" t="s">
        <v>389</v>
      </c>
      <c r="C341" s="411" t="str">
        <f t="shared" si="56"/>
        <v xml:space="preserve"> </v>
      </c>
      <c r="D341" s="443">
        <v>0.56499999999999995</v>
      </c>
      <c r="E341" s="422">
        <f>VLOOKUP($B341,[1]DG!A:D,[1]DG!$B$2,)</f>
        <v>0</v>
      </c>
      <c r="F341" s="441" t="str">
        <f>VLOOKUP($B341,[1]DG!A:D,[1]DG!$C$2,)</f>
        <v>Cát vàng</v>
      </c>
      <c r="G341" s="422" t="str">
        <f>VLOOKUP($B341,[1]DG!A:D,[1]DG!$D$2,)</f>
        <v>m3</v>
      </c>
      <c r="H341" s="436">
        <f t="shared" si="57"/>
        <v>0</v>
      </c>
      <c r="I341" s="436">
        <f t="shared" si="57"/>
        <v>0</v>
      </c>
      <c r="J341" s="436">
        <f t="shared" si="57"/>
        <v>0</v>
      </c>
      <c r="K341" s="436">
        <f t="shared" si="57"/>
        <v>0</v>
      </c>
      <c r="L341" s="436">
        <f t="shared" si="57"/>
        <v>0</v>
      </c>
      <c r="M341" s="436">
        <f t="shared" si="57"/>
        <v>0</v>
      </c>
      <c r="N341" s="436">
        <f t="shared" si="57"/>
        <v>0</v>
      </c>
      <c r="O341" s="436">
        <f t="shared" si="57"/>
        <v>0</v>
      </c>
      <c r="P341" s="436">
        <f>$P$339*D341</f>
        <v>0</v>
      </c>
      <c r="Q341" s="444"/>
      <c r="R341" s="444"/>
      <c r="S341" s="444"/>
      <c r="T341" s="432">
        <f t="shared" si="55"/>
        <v>0</v>
      </c>
    </row>
    <row r="342" spans="1:20" ht="22.2" hidden="1" customHeight="1">
      <c r="A342" s="393" t="s">
        <v>38</v>
      </c>
      <c r="B342" s="438" t="s">
        <v>580</v>
      </c>
      <c r="C342" s="411" t="str">
        <f t="shared" si="56"/>
        <v xml:space="preserve"> </v>
      </c>
      <c r="D342" s="443">
        <v>1.0489999999999999</v>
      </c>
      <c r="E342" s="422">
        <f>VLOOKUP($B342,[1]DG!A:D,[1]DG!$B$2,)</f>
        <v>0</v>
      </c>
      <c r="F342" s="441" t="str">
        <f>VLOOKUP($B342,[1]DG!A:D,[1]DG!$C$2,)</f>
        <v>Đá 1x2</v>
      </c>
      <c r="G342" s="422" t="str">
        <f>VLOOKUP($B342,[1]DG!A:D,[1]DG!$D$2,)</f>
        <v>m3</v>
      </c>
      <c r="H342" s="436">
        <f t="shared" si="57"/>
        <v>0</v>
      </c>
      <c r="I342" s="436">
        <f t="shared" si="57"/>
        <v>0</v>
      </c>
      <c r="J342" s="436">
        <f t="shared" si="57"/>
        <v>0</v>
      </c>
      <c r="K342" s="436">
        <f t="shared" si="57"/>
        <v>0</v>
      </c>
      <c r="L342" s="436">
        <f t="shared" si="57"/>
        <v>0</v>
      </c>
      <c r="M342" s="436">
        <f t="shared" si="57"/>
        <v>0</v>
      </c>
      <c r="N342" s="436">
        <f t="shared" si="57"/>
        <v>0</v>
      </c>
      <c r="O342" s="436">
        <f t="shared" si="57"/>
        <v>0</v>
      </c>
      <c r="P342" s="436">
        <f>$P$339*D342</f>
        <v>0</v>
      </c>
      <c r="Q342" s="444"/>
      <c r="R342" s="444"/>
      <c r="S342" s="444"/>
      <c r="T342" s="432">
        <f t="shared" si="55"/>
        <v>0</v>
      </c>
    </row>
    <row r="343" spans="1:20" ht="22.2" hidden="1" customHeight="1">
      <c r="A343" s="379"/>
      <c r="B343" s="438" t="s">
        <v>181</v>
      </c>
      <c r="C343" s="411" t="str">
        <f t="shared" si="56"/>
        <v xml:space="preserve"> </v>
      </c>
      <c r="D343" s="443"/>
      <c r="E343" s="422">
        <f>VLOOKUP($B343,[1]DG!A:D,[1]DG!$B$2,)</f>
        <v>0</v>
      </c>
      <c r="F343" s="441" t="str">
        <f>VLOOKUP($B343,[1]DG!A:D,[1]DG!$C$2,)</f>
        <v>Sắt Ø10</v>
      </c>
      <c r="G343" s="422" t="str">
        <f>VLOOKUP($B343,[1]DG!A:D,[1]DG!$D$2,)</f>
        <v>kg</v>
      </c>
      <c r="H343" s="436">
        <f t="shared" si="57"/>
        <v>0</v>
      </c>
      <c r="I343" s="436">
        <f t="shared" si="57"/>
        <v>0</v>
      </c>
      <c r="J343" s="436">
        <f t="shared" si="57"/>
        <v>0</v>
      </c>
      <c r="K343" s="436">
        <f t="shared" si="57"/>
        <v>0</v>
      </c>
      <c r="L343" s="436">
        <f t="shared" si="57"/>
        <v>0</v>
      </c>
      <c r="M343" s="436">
        <f t="shared" si="57"/>
        <v>0</v>
      </c>
      <c r="N343" s="436">
        <f t="shared" si="57"/>
        <v>0</v>
      </c>
      <c r="O343" s="436">
        <f t="shared" si="57"/>
        <v>0</v>
      </c>
      <c r="P343" s="436"/>
      <c r="Q343" s="444"/>
      <c r="R343" s="444"/>
      <c r="S343" s="444"/>
      <c r="T343" s="432">
        <f t="shared" si="55"/>
        <v>0</v>
      </c>
    </row>
    <row r="344" spans="1:20" ht="22.2" hidden="1" customHeight="1">
      <c r="A344" s="379" t="s">
        <v>38</v>
      </c>
      <c r="B344" s="438" t="s">
        <v>725</v>
      </c>
      <c r="C344" s="411" t="str">
        <f t="shared" si="56"/>
        <v xml:space="preserve"> </v>
      </c>
      <c r="D344" s="443"/>
      <c r="E344" s="422">
        <f>VLOOKUP($B344,[1]DG!A:D,[1]DG!$B$2,)</f>
        <v>0</v>
      </c>
      <c r="F344" s="441" t="str">
        <f>VLOOKUP($B344,[1]DG!A:D,[1]DG!$C$2,)</f>
        <v>Kẽm</v>
      </c>
      <c r="G344" s="422" t="str">
        <f>VLOOKUP($B344,[1]DG!A:D,[1]DG!$D$2,)</f>
        <v>kg</v>
      </c>
      <c r="H344" s="436">
        <f t="shared" si="57"/>
        <v>0</v>
      </c>
      <c r="I344" s="436">
        <f t="shared" si="57"/>
        <v>0</v>
      </c>
      <c r="J344" s="436">
        <f t="shared" si="57"/>
        <v>0</v>
      </c>
      <c r="K344" s="436">
        <f t="shared" si="57"/>
        <v>0</v>
      </c>
      <c r="L344" s="436">
        <f t="shared" si="57"/>
        <v>0</v>
      </c>
      <c r="M344" s="436">
        <f t="shared" si="57"/>
        <v>0</v>
      </c>
      <c r="N344" s="436">
        <f t="shared" si="57"/>
        <v>0</v>
      </c>
      <c r="O344" s="436">
        <f t="shared" si="57"/>
        <v>0</v>
      </c>
      <c r="P344" s="436"/>
      <c r="Q344" s="444"/>
      <c r="R344" s="444"/>
      <c r="S344" s="444"/>
      <c r="T344" s="432">
        <f t="shared" si="55"/>
        <v>0</v>
      </c>
    </row>
    <row r="345" spans="1:20" ht="22.2" hidden="1" customHeight="1">
      <c r="B345" s="410" t="s">
        <v>75</v>
      </c>
      <c r="C345" s="411" t="str">
        <f t="shared" si="56"/>
        <v xml:space="preserve"> </v>
      </c>
      <c r="D345" s="443">
        <v>1.28</v>
      </c>
      <c r="E345" s="422" t="str">
        <f>VLOOKUP($B345,[1]DG!A:D,[1]DG!$B$2,)</f>
        <v>03.1013</v>
      </c>
      <c r="F345" s="434" t="str">
        <f>VLOOKUP($B345,[1]DG!A:D,[1]DG!$C$2,)</f>
        <v>Đào hố móng đất cấp 3 sâu &gt;1m</v>
      </c>
      <c r="G345" s="422" t="str">
        <f>VLOOKUP($B345,[1]DG!A:D,[1]DG!$D$2,)</f>
        <v>m3</v>
      </c>
      <c r="H345" s="436"/>
      <c r="I345" s="436">
        <f t="shared" si="57"/>
        <v>0</v>
      </c>
      <c r="J345" s="436">
        <f t="shared" si="57"/>
        <v>0</v>
      </c>
      <c r="K345" s="436">
        <f t="shared" si="57"/>
        <v>0</v>
      </c>
      <c r="L345" s="436">
        <f t="shared" si="57"/>
        <v>0</v>
      </c>
      <c r="M345" s="436">
        <f t="shared" si="57"/>
        <v>0</v>
      </c>
      <c r="N345" s="436">
        <f t="shared" si="57"/>
        <v>0</v>
      </c>
      <c r="O345" s="436">
        <f t="shared" si="57"/>
        <v>0</v>
      </c>
      <c r="P345" s="436"/>
      <c r="Q345" s="444"/>
      <c r="R345" s="444"/>
      <c r="S345" s="444"/>
      <c r="T345" s="432">
        <f t="shared" si="55"/>
        <v>0</v>
      </c>
    </row>
    <row r="346" spans="1:20" ht="22.2" hidden="1" customHeight="1">
      <c r="A346" s="379"/>
      <c r="B346" s="438" t="s">
        <v>76</v>
      </c>
      <c r="C346" s="411" t="str">
        <f t="shared" si="56"/>
        <v xml:space="preserve"> </v>
      </c>
      <c r="D346" s="443">
        <v>1.28</v>
      </c>
      <c r="E346" s="422" t="str">
        <f>VLOOKUP($B346,[1]DG!A:D,[1]DG!$B$2,)</f>
        <v>03.4113</v>
      </c>
      <c r="F346" s="434" t="str">
        <f>VLOOKUP($B346,[1]DG!A:D,[1]DG!$C$2,)</f>
        <v>Đắp đất hố móng, độ chặt k=0,95</v>
      </c>
      <c r="G346" s="422" t="str">
        <f>VLOOKUP($B346,[1]DG!A:D,[1]DG!$D$2,)</f>
        <v>m3</v>
      </c>
      <c r="H346" s="436">
        <f>H$339*$D346</f>
        <v>0</v>
      </c>
      <c r="I346" s="436">
        <f t="shared" si="57"/>
        <v>0</v>
      </c>
      <c r="J346" s="436">
        <f t="shared" si="57"/>
        <v>0</v>
      </c>
      <c r="K346" s="436">
        <f t="shared" si="57"/>
        <v>0</v>
      </c>
      <c r="L346" s="436">
        <f t="shared" si="57"/>
        <v>0</v>
      </c>
      <c r="M346" s="436">
        <f t="shared" si="57"/>
        <v>0</v>
      </c>
      <c r="N346" s="436">
        <f t="shared" si="57"/>
        <v>0</v>
      </c>
      <c r="O346" s="436">
        <f t="shared" si="57"/>
        <v>0</v>
      </c>
      <c r="P346" s="436">
        <f>$P$339*D346</f>
        <v>0</v>
      </c>
      <c r="Q346" s="444"/>
      <c r="R346" s="444"/>
      <c r="S346" s="444"/>
      <c r="T346" s="432">
        <f t="shared" si="55"/>
        <v>0</v>
      </c>
    </row>
    <row r="347" spans="1:20" ht="22.2" hidden="1" customHeight="1">
      <c r="A347" s="379"/>
      <c r="B347" s="438" t="s">
        <v>646</v>
      </c>
      <c r="C347" s="411" t="str">
        <f t="shared" si="56"/>
        <v xml:space="preserve"> </v>
      </c>
      <c r="D347" s="443"/>
      <c r="E347" s="422" t="str">
        <f>VLOOKUP($B347,[1]DG!A:D,[1]DG!$B$2,)</f>
        <v>02.1101</v>
      </c>
      <c r="F347" s="434" t="str">
        <f>VLOOKUP($B347,[1]DG!A:D,[1]DG!$C$2,)</f>
        <v>Bốc dỡ xi măng</v>
      </c>
      <c r="G347" s="422" t="str">
        <f>VLOOKUP($B347,[1]DG!A:D,[1]DG!$D$2,)</f>
        <v>tấn</v>
      </c>
      <c r="H347" s="436">
        <f t="shared" ref="H347:H355" si="58">H$339*$D347</f>
        <v>0</v>
      </c>
      <c r="I347" s="436">
        <f t="shared" si="57"/>
        <v>0</v>
      </c>
      <c r="J347" s="436">
        <f t="shared" si="57"/>
        <v>0</v>
      </c>
      <c r="K347" s="436">
        <f t="shared" si="57"/>
        <v>0</v>
      </c>
      <c r="L347" s="436">
        <f t="shared" si="57"/>
        <v>0</v>
      </c>
      <c r="M347" s="436">
        <f t="shared" si="57"/>
        <v>0</v>
      </c>
      <c r="N347" s="436">
        <f t="shared" si="57"/>
        <v>0</v>
      </c>
      <c r="O347" s="436">
        <f t="shared" si="57"/>
        <v>0</v>
      </c>
      <c r="P347" s="436">
        <f t="shared" ref="P347:P355" si="59">$P$339*D347</f>
        <v>0</v>
      </c>
      <c r="Q347" s="444"/>
      <c r="R347" s="444"/>
      <c r="S347" s="444"/>
      <c r="T347" s="432">
        <f t="shared" si="55"/>
        <v>0</v>
      </c>
    </row>
    <row r="348" spans="1:20" ht="22.2" hidden="1" customHeight="1">
      <c r="A348" s="379"/>
      <c r="B348" s="438" t="s">
        <v>647</v>
      </c>
      <c r="C348" s="411" t="str">
        <f t="shared" si="56"/>
        <v xml:space="preserve"> </v>
      </c>
      <c r="D348" s="443"/>
      <c r="E348" s="422" t="str">
        <f>VLOOKUP($B348,[1]DG!A:D,[1]DG!$B$2,)</f>
        <v>02.1103</v>
      </c>
      <c r="F348" s="434" t="str">
        <f>VLOOKUP($B348,[1]DG!A:D,[1]DG!$C$2,)</f>
        <v>Bốc dỡ cát</v>
      </c>
      <c r="G348" s="422" t="str">
        <f>VLOOKUP($B348,[1]DG!A:D,[1]DG!$D$2,)</f>
        <v>m3</v>
      </c>
      <c r="H348" s="436">
        <f t="shared" si="58"/>
        <v>0</v>
      </c>
      <c r="I348" s="436">
        <f t="shared" si="57"/>
        <v>0</v>
      </c>
      <c r="J348" s="436">
        <f t="shared" si="57"/>
        <v>0</v>
      </c>
      <c r="K348" s="436">
        <f t="shared" si="57"/>
        <v>0</v>
      </c>
      <c r="L348" s="436">
        <f t="shared" si="57"/>
        <v>0</v>
      </c>
      <c r="M348" s="436">
        <f t="shared" si="57"/>
        <v>0</v>
      </c>
      <c r="N348" s="436">
        <f t="shared" si="57"/>
        <v>0</v>
      </c>
      <c r="O348" s="436">
        <f t="shared" si="57"/>
        <v>0</v>
      </c>
      <c r="P348" s="436">
        <f t="shared" si="59"/>
        <v>0</v>
      </c>
      <c r="Q348" s="444"/>
      <c r="R348" s="444"/>
      <c r="S348" s="444"/>
      <c r="T348" s="432">
        <f t="shared" si="55"/>
        <v>0</v>
      </c>
    </row>
    <row r="349" spans="1:20" ht="22.2" hidden="1" customHeight="1">
      <c r="A349" s="379"/>
      <c r="B349" s="438" t="s">
        <v>648</v>
      </c>
      <c r="C349" s="411" t="str">
        <f t="shared" si="56"/>
        <v xml:space="preserve"> </v>
      </c>
      <c r="D349" s="443"/>
      <c r="E349" s="422" t="str">
        <f>VLOOKUP($B349,[1]DG!A:D,[1]DG!$B$2,)</f>
        <v>02.1104</v>
      </c>
      <c r="F349" s="434" t="str">
        <f>VLOOKUP($B349,[1]DG!A:D,[1]DG!$C$2,)</f>
        <v>Bốc dỡ đá dăm</v>
      </c>
      <c r="G349" s="422" t="str">
        <f>VLOOKUP($B349,[1]DG!A:D,[1]DG!$D$2,)</f>
        <v>m3</v>
      </c>
      <c r="H349" s="436">
        <f t="shared" si="58"/>
        <v>0</v>
      </c>
      <c r="I349" s="436">
        <f t="shared" si="57"/>
        <v>0</v>
      </c>
      <c r="J349" s="436">
        <f t="shared" si="57"/>
        <v>0</v>
      </c>
      <c r="K349" s="436">
        <f t="shared" si="57"/>
        <v>0</v>
      </c>
      <c r="L349" s="436">
        <f t="shared" si="57"/>
        <v>0</v>
      </c>
      <c r="M349" s="436">
        <f t="shared" si="57"/>
        <v>0</v>
      </c>
      <c r="N349" s="436">
        <f t="shared" si="57"/>
        <v>0</v>
      </c>
      <c r="O349" s="436">
        <f t="shared" si="57"/>
        <v>0</v>
      </c>
      <c r="P349" s="436">
        <f t="shared" si="59"/>
        <v>0</v>
      </c>
      <c r="Q349" s="444"/>
      <c r="R349" s="444"/>
      <c r="S349" s="444"/>
      <c r="T349" s="432">
        <f t="shared" si="55"/>
        <v>0</v>
      </c>
    </row>
    <row r="350" spans="1:20" ht="22.2" hidden="1" customHeight="1">
      <c r="A350" s="379"/>
      <c r="B350" s="438" t="s">
        <v>650</v>
      </c>
      <c r="C350" s="411" t="str">
        <f t="shared" si="56"/>
        <v xml:space="preserve"> </v>
      </c>
      <c r="D350" s="443"/>
      <c r="E350" s="422" t="str">
        <f>VLOOKUP($B350,[1]DG!A:D,[1]DG!$B$2,)</f>
        <v>02.1211</v>
      </c>
      <c r="F350" s="434" t="str">
        <f>VLOOKUP($B350,[1]DG!A:D,[1]DG!$C$2,)</f>
        <v>V/c xi măng ( cự ly &lt;=100m)</v>
      </c>
      <c r="G350" s="422" t="str">
        <f>VLOOKUP($B350,[1]DG!A:D,[1]DG!$D$2,)</f>
        <v>tấn</v>
      </c>
      <c r="H350" s="436">
        <f t="shared" si="58"/>
        <v>0</v>
      </c>
      <c r="I350" s="436">
        <f t="shared" si="57"/>
        <v>0</v>
      </c>
      <c r="J350" s="436">
        <f t="shared" si="57"/>
        <v>0</v>
      </c>
      <c r="K350" s="436">
        <f t="shared" si="57"/>
        <v>0</v>
      </c>
      <c r="L350" s="436">
        <f t="shared" si="57"/>
        <v>0</v>
      </c>
      <c r="M350" s="436">
        <f t="shared" si="57"/>
        <v>0</v>
      </c>
      <c r="N350" s="436">
        <f t="shared" si="57"/>
        <v>0</v>
      </c>
      <c r="O350" s="436">
        <f t="shared" si="57"/>
        <v>0</v>
      </c>
      <c r="P350" s="436">
        <f t="shared" si="59"/>
        <v>0</v>
      </c>
      <c r="Q350" s="444"/>
      <c r="R350" s="444"/>
      <c r="S350" s="444"/>
      <c r="T350" s="432">
        <f t="shared" si="55"/>
        <v>0</v>
      </c>
    </row>
    <row r="351" spans="1:20" ht="22.2" hidden="1" customHeight="1">
      <c r="A351" s="379"/>
      <c r="B351" s="438" t="s">
        <v>651</v>
      </c>
      <c r="C351" s="411" t="str">
        <f t="shared" si="56"/>
        <v xml:space="preserve"> </v>
      </c>
      <c r="D351" s="443"/>
      <c r="E351" s="422" t="str">
        <f>VLOOKUP($B351,[1]DG!A:D,[1]DG!$B$2,)</f>
        <v>02.1231</v>
      </c>
      <c r="F351" s="434" t="str">
        <f>VLOOKUP($B351,[1]DG!A:D,[1]DG!$C$2,)</f>
        <v>V/c cát vàng cự ly &lt;=100m</v>
      </c>
      <c r="G351" s="422" t="str">
        <f>VLOOKUP($B351,[1]DG!A:D,[1]DG!$D$2,)</f>
        <v>m3</v>
      </c>
      <c r="H351" s="436">
        <f t="shared" si="58"/>
        <v>0</v>
      </c>
      <c r="I351" s="436">
        <f t="shared" si="57"/>
        <v>0</v>
      </c>
      <c r="J351" s="436">
        <f t="shared" si="57"/>
        <v>0</v>
      </c>
      <c r="K351" s="436">
        <f t="shared" si="57"/>
        <v>0</v>
      </c>
      <c r="L351" s="436">
        <f t="shared" si="57"/>
        <v>0</v>
      </c>
      <c r="M351" s="436">
        <f t="shared" si="57"/>
        <v>0</v>
      </c>
      <c r="N351" s="436">
        <f t="shared" si="57"/>
        <v>0</v>
      </c>
      <c r="O351" s="436">
        <f t="shared" si="57"/>
        <v>0</v>
      </c>
      <c r="P351" s="436">
        <f t="shared" si="59"/>
        <v>0</v>
      </c>
      <c r="Q351" s="444"/>
      <c r="R351" s="444"/>
      <c r="S351" s="444"/>
      <c r="T351" s="432">
        <f t="shared" si="55"/>
        <v>0</v>
      </c>
    </row>
    <row r="352" spans="1:20" ht="22.2" hidden="1" customHeight="1">
      <c r="A352" s="379"/>
      <c r="B352" s="438" t="s">
        <v>652</v>
      </c>
      <c r="C352" s="411" t="str">
        <f t="shared" si="56"/>
        <v xml:space="preserve"> </v>
      </c>
      <c r="D352" s="443"/>
      <c r="E352" s="422" t="str">
        <f>VLOOKUP($B352,[1]DG!A:D,[1]DG!$B$2,)</f>
        <v>02.1241</v>
      </c>
      <c r="F352" s="434" t="str">
        <f>VLOOKUP($B352,[1]DG!A:D,[1]DG!$C$2,)</f>
        <v>V/c đá dăm ( cự ly &lt;=100m)</v>
      </c>
      <c r="G352" s="422" t="str">
        <f>VLOOKUP($B352,[1]DG!A:D,[1]DG!$D$2,)</f>
        <v>m3</v>
      </c>
      <c r="H352" s="436">
        <f t="shared" si="58"/>
        <v>0</v>
      </c>
      <c r="I352" s="436">
        <f t="shared" si="57"/>
        <v>0</v>
      </c>
      <c r="J352" s="436">
        <f t="shared" si="57"/>
        <v>0</v>
      </c>
      <c r="K352" s="436">
        <f t="shared" si="57"/>
        <v>0</v>
      </c>
      <c r="L352" s="436">
        <f t="shared" si="57"/>
        <v>0</v>
      </c>
      <c r="M352" s="436">
        <f t="shared" si="57"/>
        <v>0</v>
      </c>
      <c r="N352" s="436">
        <f t="shared" si="57"/>
        <v>0</v>
      </c>
      <c r="O352" s="436">
        <f t="shared" si="57"/>
        <v>0</v>
      </c>
      <c r="P352" s="436">
        <f t="shared" si="59"/>
        <v>0</v>
      </c>
      <c r="Q352" s="444"/>
      <c r="R352" s="444"/>
      <c r="S352" s="444"/>
      <c r="T352" s="432">
        <f t="shared" si="55"/>
        <v>0</v>
      </c>
    </row>
    <row r="353" spans="1:20" ht="22.2" hidden="1" customHeight="1">
      <c r="A353" s="379"/>
      <c r="B353" s="438" t="s">
        <v>653</v>
      </c>
      <c r="C353" s="411" t="str">
        <f t="shared" si="56"/>
        <v xml:space="preserve"> </v>
      </c>
      <c r="D353" s="443"/>
      <c r="E353" s="422" t="str">
        <f>VLOOKUP($B353,[1]DG!A:D,[1]DG!$B$2,)</f>
        <v>02.1482</v>
      </c>
      <c r="F353" s="434" t="str">
        <f>VLOOKUP($B353,[1]DG!A:D,[1]DG!$C$2,)</f>
        <v>V/c dụng cụ thi công ( cự ly &lt;=100m)</v>
      </c>
      <c r="G353" s="422" t="str">
        <f>VLOOKUP($B353,[1]DG!A:D,[1]DG!$D$2,)</f>
        <v>tấn</v>
      </c>
      <c r="H353" s="436">
        <f t="shared" si="58"/>
        <v>0</v>
      </c>
      <c r="I353" s="436">
        <f t="shared" si="57"/>
        <v>0</v>
      </c>
      <c r="J353" s="436">
        <f t="shared" si="57"/>
        <v>0</v>
      </c>
      <c r="K353" s="436">
        <f t="shared" si="57"/>
        <v>0</v>
      </c>
      <c r="L353" s="436">
        <f t="shared" si="57"/>
        <v>0</v>
      </c>
      <c r="M353" s="436">
        <f t="shared" si="57"/>
        <v>0</v>
      </c>
      <c r="N353" s="436">
        <f t="shared" si="57"/>
        <v>0</v>
      </c>
      <c r="O353" s="436">
        <f t="shared" si="57"/>
        <v>0</v>
      </c>
      <c r="P353" s="436">
        <f t="shared" si="59"/>
        <v>0</v>
      </c>
      <c r="Q353" s="444"/>
      <c r="R353" s="444"/>
      <c r="S353" s="444"/>
      <c r="T353" s="432">
        <f t="shared" si="55"/>
        <v>0</v>
      </c>
    </row>
    <row r="354" spans="1:20" ht="22.2" hidden="1" customHeight="1">
      <c r="A354" s="379"/>
      <c r="B354" s="438" t="s">
        <v>726</v>
      </c>
      <c r="C354" s="411" t="str">
        <f t="shared" si="56"/>
        <v xml:space="preserve"> </v>
      </c>
      <c r="D354" s="443">
        <f>D343*0</f>
        <v>0</v>
      </c>
      <c r="E354" s="422" t="str">
        <f>VLOOKUP($B354,[1]DG!A:D,[1]DG!$B$2,)</f>
        <v>04.5101</v>
      </c>
      <c r="F354" s="434" t="str">
        <f>VLOOKUP($B354,[1]DG!A:D,[1]DG!$C$2,)</f>
        <v>Gia công và lắp dựng cốt thép D&lt;=10</v>
      </c>
      <c r="G354" s="422" t="str">
        <f>VLOOKUP($B354,[1]DG!A:D,[1]DG!$D$2,)</f>
        <v>kg</v>
      </c>
      <c r="H354" s="436">
        <f t="shared" si="58"/>
        <v>0</v>
      </c>
      <c r="I354" s="436">
        <f t="shared" si="57"/>
        <v>0</v>
      </c>
      <c r="J354" s="436">
        <f t="shared" si="57"/>
        <v>0</v>
      </c>
      <c r="K354" s="436">
        <f t="shared" si="57"/>
        <v>0</v>
      </c>
      <c r="L354" s="436">
        <f t="shared" si="57"/>
        <v>0</v>
      </c>
      <c r="M354" s="436">
        <f t="shared" si="57"/>
        <v>0</v>
      </c>
      <c r="N354" s="436">
        <f t="shared" si="57"/>
        <v>0</v>
      </c>
      <c r="O354" s="436">
        <f t="shared" si="57"/>
        <v>0</v>
      </c>
      <c r="P354" s="436">
        <f t="shared" si="59"/>
        <v>0</v>
      </c>
      <c r="Q354" s="444"/>
      <c r="R354" s="444"/>
      <c r="S354" s="444"/>
      <c r="T354" s="432">
        <f t="shared" si="55"/>
        <v>0</v>
      </c>
    </row>
    <row r="355" spans="1:20" ht="22.2" hidden="1" customHeight="1">
      <c r="A355" s="379"/>
      <c r="B355" s="438" t="s">
        <v>676</v>
      </c>
      <c r="C355" s="411" t="str">
        <f t="shared" si="56"/>
        <v xml:space="preserve"> </v>
      </c>
      <c r="D355" s="443">
        <v>1.19</v>
      </c>
      <c r="E355" s="422" t="str">
        <f>VLOOKUP($B355,[1]DG!A:D,[1]DG!$B$2,)</f>
        <v>04.1203b</v>
      </c>
      <c r="F355" s="434" t="str">
        <f>VLOOKUP($B355,[1]DG!A:D,[1]DG!$C$2,)</f>
        <v>Đổ bê tông mác M150 đá 1x2</v>
      </c>
      <c r="G355" s="422" t="str">
        <f>VLOOKUP($B355,[1]DG!A:D,[1]DG!$D$2,)</f>
        <v>m3</v>
      </c>
      <c r="H355" s="436">
        <f t="shared" si="58"/>
        <v>0</v>
      </c>
      <c r="I355" s="436">
        <f t="shared" si="57"/>
        <v>0</v>
      </c>
      <c r="J355" s="436">
        <f t="shared" si="57"/>
        <v>0</v>
      </c>
      <c r="K355" s="436">
        <f t="shared" si="57"/>
        <v>0</v>
      </c>
      <c r="L355" s="436">
        <f t="shared" si="57"/>
        <v>0</v>
      </c>
      <c r="M355" s="436">
        <f t="shared" si="57"/>
        <v>0</v>
      </c>
      <c r="N355" s="436">
        <f t="shared" si="57"/>
        <v>0</v>
      </c>
      <c r="O355" s="436">
        <f t="shared" si="57"/>
        <v>0</v>
      </c>
      <c r="P355" s="436">
        <f t="shared" si="59"/>
        <v>0</v>
      </c>
      <c r="Q355" s="444"/>
      <c r="R355" s="444"/>
      <c r="S355" s="444"/>
      <c r="T355" s="432">
        <f t="shared" si="55"/>
        <v>0</v>
      </c>
    </row>
    <row r="356" spans="1:20" ht="22.2" customHeight="1">
      <c r="A356" s="451" t="s">
        <v>727</v>
      </c>
      <c r="B356" s="424" t="s">
        <v>727</v>
      </c>
      <c r="C356" s="400" t="str">
        <f t="shared" si="56"/>
        <v>x</v>
      </c>
      <c r="D356" s="426"/>
      <c r="E356" s="427"/>
      <c r="F356" s="428" t="s">
        <v>728</v>
      </c>
      <c r="G356" s="349" t="s">
        <v>344</v>
      </c>
      <c r="H356" s="429">
        <f>SUM(I356:O356)</f>
        <v>5</v>
      </c>
      <c r="I356" s="430"/>
      <c r="J356" s="430"/>
      <c r="K356" s="430">
        <f>IFERROR(HLOOKUP(B356,[1]pp3p1m!$1:$3,3,0),0)</f>
        <v>5</v>
      </c>
      <c r="L356" s="430">
        <f>IFERROR(HLOOKUP(chitiet!B356,[1]pp1p!$1:$3,3,0),0)</f>
        <v>0</v>
      </c>
      <c r="M356" s="430"/>
      <c r="N356" s="430"/>
      <c r="O356" s="430"/>
      <c r="P356" s="429">
        <f>H356+Q356-R356</f>
        <v>5</v>
      </c>
      <c r="Q356" s="431"/>
      <c r="R356" s="431"/>
      <c r="S356" s="431"/>
      <c r="T356" s="432">
        <f>IFERROR(HLOOKUP(B356,[1]pp1p!$1:$3,3,0),0)+IFERROR(HLOOKUP(B356,[1]pp3p1m!$1:$3,3,0),0)</f>
        <v>5</v>
      </c>
    </row>
    <row r="357" spans="1:20" ht="22.2" hidden="1" customHeight="1">
      <c r="B357" s="449" t="s">
        <v>643</v>
      </c>
      <c r="C357" s="400" t="str">
        <f t="shared" si="56"/>
        <v>x</v>
      </c>
      <c r="D357" s="448">
        <v>352</v>
      </c>
      <c r="E357" s="422">
        <f>VLOOKUP($B357,[1]DG!A:D,[1]DG!$B$2,)</f>
        <v>0</v>
      </c>
      <c r="F357" s="434" t="str">
        <f>VLOOKUP($B357,[1]DG!A:D,[1]DG!$C$2,)</f>
        <v>Ximăng (PC40)</v>
      </c>
      <c r="G357" s="422" t="str">
        <f>VLOOKUP($B357,[1]DG!A:D,[1]DG!$D$2,)</f>
        <v>kg</v>
      </c>
      <c r="H357" s="436">
        <f t="shared" ref="H357:H375" si="60">$H$356*$D357</f>
        <v>1760</v>
      </c>
      <c r="I357" s="436">
        <f>I$494*$D357</f>
        <v>0</v>
      </c>
      <c r="J357" s="436">
        <f>J$494*$D357</f>
        <v>0</v>
      </c>
      <c r="K357" s="436">
        <f t="shared" ref="K357:K364" si="61">K$356*$D357</f>
        <v>1760</v>
      </c>
      <c r="L357" s="436">
        <f>L$494*$D357</f>
        <v>0</v>
      </c>
      <c r="M357" s="436">
        <f>M$494*$D357</f>
        <v>0</v>
      </c>
      <c r="N357" s="436">
        <f>N$494*$D357</f>
        <v>0</v>
      </c>
      <c r="O357" s="436"/>
      <c r="P357" s="436">
        <f t="shared" ref="P357:P375" si="62">$P$356*D357</f>
        <v>1760</v>
      </c>
      <c r="Q357" s="447">
        <f>$Q$356*D357</f>
        <v>0</v>
      </c>
      <c r="R357" s="447"/>
      <c r="S357" s="447"/>
      <c r="T357" s="432">
        <f t="shared" si="55"/>
        <v>0</v>
      </c>
    </row>
    <row r="358" spans="1:20" ht="22.2" hidden="1" customHeight="1">
      <c r="B358" s="449" t="s">
        <v>469</v>
      </c>
      <c r="C358" s="400" t="str">
        <f t="shared" si="56"/>
        <v>x</v>
      </c>
      <c r="D358" s="443">
        <v>0.70899999999999996</v>
      </c>
      <c r="E358" s="422">
        <f>VLOOKUP($B358,[1]DG!A:D,[1]DG!$B$2,)</f>
        <v>0</v>
      </c>
      <c r="F358" s="434" t="str">
        <f>VLOOKUP($B358,[1]DG!A:D,[1]DG!$C$2,)</f>
        <v>Cát vàng</v>
      </c>
      <c r="G358" s="422" t="str">
        <f>VLOOKUP($B358,[1]DG!A:D,[1]DG!$D$2,)</f>
        <v>m3</v>
      </c>
      <c r="H358" s="436">
        <f t="shared" si="60"/>
        <v>3.5449999999999999</v>
      </c>
      <c r="I358" s="436"/>
      <c r="J358" s="436"/>
      <c r="K358" s="436">
        <f t="shared" si="61"/>
        <v>3.5449999999999999</v>
      </c>
      <c r="L358" s="436"/>
      <c r="M358" s="436"/>
      <c r="N358" s="436"/>
      <c r="O358" s="436"/>
      <c r="P358" s="436">
        <f t="shared" si="62"/>
        <v>3.5449999999999999</v>
      </c>
      <c r="Q358" s="444">
        <f>$Q$356*D358</f>
        <v>0</v>
      </c>
      <c r="R358" s="452"/>
      <c r="S358" s="452"/>
      <c r="T358" s="432">
        <f t="shared" si="55"/>
        <v>0</v>
      </c>
    </row>
    <row r="359" spans="1:20" ht="22.2" hidden="1" customHeight="1">
      <c r="B359" s="449" t="s">
        <v>580</v>
      </c>
      <c r="C359" s="400" t="str">
        <f t="shared" si="56"/>
        <v>x</v>
      </c>
      <c r="D359" s="443">
        <v>1.276</v>
      </c>
      <c r="E359" s="422">
        <f>VLOOKUP($B359,[1]DG!A:D,[1]DG!$B$2,)</f>
        <v>0</v>
      </c>
      <c r="F359" s="434" t="str">
        <f>VLOOKUP($B359,[1]DG!A:D,[1]DG!$C$2,)</f>
        <v>Đá 1x2</v>
      </c>
      <c r="G359" s="422" t="str">
        <f>VLOOKUP($B359,[1]DG!A:D,[1]DG!$D$2,)</f>
        <v>m3</v>
      </c>
      <c r="H359" s="436">
        <f t="shared" si="60"/>
        <v>6.38</v>
      </c>
      <c r="I359" s="436"/>
      <c r="J359" s="436"/>
      <c r="K359" s="436">
        <f t="shared" si="61"/>
        <v>6.38</v>
      </c>
      <c r="L359" s="436"/>
      <c r="M359" s="436"/>
      <c r="N359" s="436"/>
      <c r="O359" s="436"/>
      <c r="P359" s="436">
        <f t="shared" si="62"/>
        <v>6.38</v>
      </c>
      <c r="Q359" s="444">
        <f>$Q$356*D359</f>
        <v>0</v>
      </c>
      <c r="R359" s="452"/>
      <c r="S359" s="452"/>
      <c r="T359" s="432">
        <f t="shared" si="55"/>
        <v>0</v>
      </c>
    </row>
    <row r="360" spans="1:20" ht="22.2" hidden="1" customHeight="1">
      <c r="A360" s="379"/>
      <c r="B360" s="438" t="s">
        <v>729</v>
      </c>
      <c r="C360" s="411" t="str">
        <f t="shared" si="56"/>
        <v>x</v>
      </c>
      <c r="D360" s="445">
        <v>0.75</v>
      </c>
      <c r="E360" s="422">
        <f>VLOOKUP($B360,[1]DG!A:D,[1]DG!$B$2,)</f>
        <v>0</v>
      </c>
      <c r="F360" s="434" t="str">
        <f>VLOOKUP($B360,[1]DG!A:D,[1]DG!$C$2,)</f>
        <v>Đinh các loại</v>
      </c>
      <c r="G360" s="422" t="str">
        <f>VLOOKUP($B360,[1]DG!A:D,[1]DG!$D$2,)</f>
        <v>kg</v>
      </c>
      <c r="H360" s="436">
        <f t="shared" si="60"/>
        <v>3.75</v>
      </c>
      <c r="I360" s="436"/>
      <c r="J360" s="436"/>
      <c r="K360" s="436">
        <f t="shared" si="61"/>
        <v>3.75</v>
      </c>
      <c r="L360" s="436"/>
      <c r="M360" s="436"/>
      <c r="N360" s="436"/>
      <c r="O360" s="436"/>
      <c r="P360" s="436">
        <f t="shared" si="62"/>
        <v>3.75</v>
      </c>
      <c r="Q360" s="452"/>
      <c r="R360" s="452"/>
      <c r="S360" s="452"/>
      <c r="T360" s="432">
        <f t="shared" ref="T360:T361" si="63">IFERROR(HLOOKUP(B360,BangKeTru,3,0),0)</f>
        <v>0</v>
      </c>
    </row>
    <row r="361" spans="1:20" ht="22.2" hidden="1" customHeight="1">
      <c r="A361" s="379"/>
      <c r="B361" s="438" t="s">
        <v>725</v>
      </c>
      <c r="C361" s="411" t="str">
        <f t="shared" si="56"/>
        <v xml:space="preserve"> </v>
      </c>
      <c r="D361" s="445"/>
      <c r="E361" s="422">
        <f>VLOOKUP($B361,[1]DG!A:D,[1]DG!$B$2,)</f>
        <v>0</v>
      </c>
      <c r="F361" s="434" t="str">
        <f>VLOOKUP($B361,[1]DG!A:D,[1]DG!$C$2,)</f>
        <v>Kẽm</v>
      </c>
      <c r="G361" s="422" t="str">
        <f>VLOOKUP($B361,[1]DG!A:D,[1]DG!$D$2,)</f>
        <v>kg</v>
      </c>
      <c r="H361" s="436">
        <f t="shared" si="60"/>
        <v>0</v>
      </c>
      <c r="I361" s="436"/>
      <c r="J361" s="436"/>
      <c r="K361" s="436">
        <f t="shared" si="61"/>
        <v>0</v>
      </c>
      <c r="L361" s="436"/>
      <c r="M361" s="436"/>
      <c r="N361" s="436"/>
      <c r="O361" s="436"/>
      <c r="P361" s="436">
        <f t="shared" si="62"/>
        <v>0</v>
      </c>
      <c r="Q361" s="452"/>
      <c r="R361" s="452"/>
      <c r="S361" s="452"/>
      <c r="T361" s="432">
        <f t="shared" si="63"/>
        <v>0</v>
      </c>
    </row>
    <row r="362" spans="1:20" ht="22.2" hidden="1" customHeight="1">
      <c r="A362" s="379"/>
      <c r="B362" s="438" t="s">
        <v>730</v>
      </c>
      <c r="C362" s="411" t="str">
        <f t="shared" si="56"/>
        <v>x</v>
      </c>
      <c r="D362" s="445">
        <v>1.6800000000000001E-3</v>
      </c>
      <c r="E362" s="422">
        <f>VLOOKUP($B362,[1]DG!A:D,[1]DG!$B$2,)</f>
        <v>0</v>
      </c>
      <c r="F362" s="434" t="str">
        <f>VLOOKUP($B362,[1]DG!A:D,[1]DG!$C$2,)</f>
        <v>Gỗ chống</v>
      </c>
      <c r="G362" s="422" t="str">
        <f>VLOOKUP($B362,[1]DG!A:D,[1]DG!$D$2,)</f>
        <v>m3</v>
      </c>
      <c r="H362" s="436">
        <f t="shared" si="60"/>
        <v>8.4000000000000012E-3</v>
      </c>
      <c r="I362" s="436"/>
      <c r="J362" s="436"/>
      <c r="K362" s="436">
        <f t="shared" si="61"/>
        <v>8.4000000000000012E-3</v>
      </c>
      <c r="L362" s="436"/>
      <c r="M362" s="436"/>
      <c r="N362" s="436"/>
      <c r="O362" s="436"/>
      <c r="P362" s="436">
        <f t="shared" si="62"/>
        <v>8.4000000000000012E-3</v>
      </c>
      <c r="Q362" s="452"/>
      <c r="R362" s="452"/>
      <c r="S362" s="452"/>
      <c r="T362" s="432">
        <f t="shared" si="55"/>
        <v>0</v>
      </c>
    </row>
    <row r="363" spans="1:20" ht="22.2" hidden="1" customHeight="1">
      <c r="A363" s="379"/>
      <c r="B363" s="438" t="s">
        <v>731</v>
      </c>
      <c r="C363" s="411" t="str">
        <f t="shared" si="56"/>
        <v>x</v>
      </c>
      <c r="D363" s="445">
        <v>1.0500000000000001E-2</v>
      </c>
      <c r="E363" s="422">
        <f>VLOOKUP($B363,[1]DG!A:D,[1]DG!$B$2,)</f>
        <v>0</v>
      </c>
      <c r="F363" s="434" t="str">
        <f>VLOOKUP($B363,[1]DG!A:D,[1]DG!$C$2,)</f>
        <v>Gỗ đà nẹp</v>
      </c>
      <c r="G363" s="422" t="str">
        <f>VLOOKUP($B363,[1]DG!A:D,[1]DG!$D$2,)</f>
        <v>m3</v>
      </c>
      <c r="H363" s="436">
        <f t="shared" si="60"/>
        <v>5.2500000000000005E-2</v>
      </c>
      <c r="I363" s="436"/>
      <c r="J363" s="436"/>
      <c r="K363" s="436">
        <f t="shared" si="61"/>
        <v>5.2500000000000005E-2</v>
      </c>
      <c r="L363" s="436"/>
      <c r="M363" s="436"/>
      <c r="N363" s="436"/>
      <c r="O363" s="436"/>
      <c r="P363" s="436">
        <f t="shared" si="62"/>
        <v>5.2500000000000005E-2</v>
      </c>
      <c r="Q363" s="452"/>
      <c r="R363" s="452"/>
      <c r="S363" s="452"/>
      <c r="T363" s="432">
        <f t="shared" ref="T363" si="64">IFERROR(HLOOKUP(B363,BangKeTru,3,0),0)</f>
        <v>0</v>
      </c>
    </row>
    <row r="364" spans="1:20" ht="22.2" hidden="1" customHeight="1">
      <c r="A364" s="379"/>
      <c r="B364" s="438" t="s">
        <v>732</v>
      </c>
      <c r="C364" s="411" t="str">
        <f t="shared" si="56"/>
        <v>x</v>
      </c>
      <c r="D364" s="445">
        <v>3.9600000000000003E-2</v>
      </c>
      <c r="E364" s="422">
        <f>VLOOKUP($B364,[1]DG!A:D,[1]DG!$B$2,)</f>
        <v>0</v>
      </c>
      <c r="F364" s="434" t="str">
        <f>VLOOKUP($B364,[1]DG!A:D,[1]DG!$C$2,)</f>
        <v>Gỗ ván (cả nẹp)</v>
      </c>
      <c r="G364" s="422" t="str">
        <f>VLOOKUP($B364,[1]DG!A:D,[1]DG!$D$2,)</f>
        <v>m3</v>
      </c>
      <c r="H364" s="436">
        <f t="shared" si="60"/>
        <v>0.19800000000000001</v>
      </c>
      <c r="I364" s="436"/>
      <c r="J364" s="436"/>
      <c r="K364" s="436">
        <f t="shared" si="61"/>
        <v>0.19800000000000001</v>
      </c>
      <c r="L364" s="436"/>
      <c r="M364" s="436"/>
      <c r="N364" s="436"/>
      <c r="O364" s="436"/>
      <c r="P364" s="436">
        <f t="shared" si="62"/>
        <v>0.19800000000000001</v>
      </c>
      <c r="Q364" s="452"/>
      <c r="R364" s="452"/>
      <c r="S364" s="452"/>
      <c r="T364" s="432">
        <f t="shared" si="55"/>
        <v>0</v>
      </c>
    </row>
    <row r="365" spans="1:20" ht="22.2" hidden="1" customHeight="1">
      <c r="B365" s="406" t="s">
        <v>733</v>
      </c>
      <c r="C365" s="400" t="str">
        <f t="shared" si="56"/>
        <v>x</v>
      </c>
      <c r="D365" s="445">
        <v>1.93</v>
      </c>
      <c r="E365" s="422">
        <f>VLOOKUP($B365,[1]DG!A:D,[1]DG!$B$2,)</f>
        <v>0</v>
      </c>
      <c r="F365" s="434" t="str">
        <f>VLOOKUP($B365,[1]DG!A:D,[1]DG!$C$2,)</f>
        <v>Ván khuôn gỗ móng - móng vuông, chữ nhật</v>
      </c>
      <c r="G365" s="422" t="str">
        <f>VLOOKUP($B365,[1]DG!A:D,[1]DG!$D$2,)</f>
        <v>100m2</v>
      </c>
      <c r="H365" s="436">
        <f t="shared" si="60"/>
        <v>9.65</v>
      </c>
      <c r="I365" s="436"/>
      <c r="J365" s="436"/>
      <c r="K365" s="436"/>
      <c r="L365" s="436"/>
      <c r="M365" s="436"/>
      <c r="N365" s="436"/>
      <c r="O365" s="436"/>
      <c r="P365" s="436">
        <f t="shared" si="62"/>
        <v>9.65</v>
      </c>
      <c r="Q365" s="444">
        <f>$Q$356*D365</f>
        <v>0</v>
      </c>
      <c r="R365" s="444"/>
      <c r="S365" s="444"/>
      <c r="T365" s="432">
        <f t="shared" si="55"/>
        <v>0</v>
      </c>
    </row>
    <row r="366" spans="1:20" ht="22.2" hidden="1" customHeight="1">
      <c r="A366" s="379"/>
      <c r="B366" s="438" t="s">
        <v>76</v>
      </c>
      <c r="C366" s="411" t="str">
        <f t="shared" si="56"/>
        <v>x</v>
      </c>
      <c r="D366" s="443">
        <v>0.157</v>
      </c>
      <c r="E366" s="422" t="str">
        <f>VLOOKUP($B366,[1]DG!A:D,[1]DG!$B$2,)</f>
        <v>03.4113</v>
      </c>
      <c r="F366" s="434" t="str">
        <f>VLOOKUP($B366,[1]DG!A:D,[1]DG!$C$2,)</f>
        <v>Đắp đất hố móng, độ chặt k=0,95</v>
      </c>
      <c r="G366" s="422" t="str">
        <f>VLOOKUP($B366,[1]DG!A:D,[1]DG!$D$2,)</f>
        <v>m3</v>
      </c>
      <c r="H366" s="436">
        <f t="shared" si="60"/>
        <v>0.78500000000000003</v>
      </c>
      <c r="I366" s="436"/>
      <c r="J366" s="436"/>
      <c r="K366" s="436"/>
      <c r="L366" s="436"/>
      <c r="M366" s="436"/>
      <c r="N366" s="436"/>
      <c r="O366" s="436"/>
      <c r="P366" s="436">
        <f t="shared" si="62"/>
        <v>0.78500000000000003</v>
      </c>
      <c r="Q366" s="444"/>
      <c r="R366" s="444"/>
      <c r="S366" s="444"/>
      <c r="T366" s="432">
        <f t="shared" si="55"/>
        <v>0</v>
      </c>
    </row>
    <row r="367" spans="1:20" ht="22.2" hidden="1" customHeight="1">
      <c r="A367" s="379"/>
      <c r="B367" s="438" t="s">
        <v>734</v>
      </c>
      <c r="C367" s="411" t="str">
        <f t="shared" si="56"/>
        <v>x</v>
      </c>
      <c r="D367" s="443">
        <v>1</v>
      </c>
      <c r="E367" s="422">
        <f>VLOOKUP($B367,[1]DG!A:D,[1]DG!$B$2,)</f>
        <v>0</v>
      </c>
      <c r="F367" s="434" t="str">
        <f>VLOOKUP($B367,[1]DG!A:D,[1]DG!$C$2,)</f>
        <v>Boulon 16x450VRS+ 4 long đền vuông D18-50x50x3/Zn</v>
      </c>
      <c r="G367" s="422" t="str">
        <f>VLOOKUP($B367,[1]DG!A:D,[1]DG!$D$2,)</f>
        <v>bộ</v>
      </c>
      <c r="H367" s="436">
        <f t="shared" si="60"/>
        <v>5</v>
      </c>
      <c r="I367" s="436"/>
      <c r="J367" s="436"/>
      <c r="K367" s="436"/>
      <c r="L367" s="436"/>
      <c r="M367" s="436"/>
      <c r="N367" s="436"/>
      <c r="O367" s="436"/>
      <c r="P367" s="436">
        <f t="shared" si="62"/>
        <v>5</v>
      </c>
      <c r="Q367" s="444"/>
      <c r="R367" s="444"/>
      <c r="S367" s="444"/>
      <c r="T367" s="432">
        <f t="shared" si="55"/>
        <v>0</v>
      </c>
    </row>
    <row r="368" spans="1:20" ht="22.2" hidden="1" customHeight="1">
      <c r="A368" s="379"/>
      <c r="B368" s="438" t="s">
        <v>735</v>
      </c>
      <c r="C368" s="411" t="str">
        <f t="shared" si="56"/>
        <v>x</v>
      </c>
      <c r="D368" s="443">
        <v>1</v>
      </c>
      <c r="E368" s="422">
        <f>VLOOKUP($B368,[1]DG!A:D,[1]DG!$B$2,)</f>
        <v>0</v>
      </c>
      <c r="F368" s="434" t="str">
        <f>VLOOKUP($B368,[1]DG!A:D,[1]DG!$C$2,)</f>
        <v>Boulon 16x550VRS+ 4 long đền vuông D18-50x50x3/Zn</v>
      </c>
      <c r="G368" s="422" t="str">
        <f>VLOOKUP($B368,[1]DG!A:D,[1]DG!$D$2,)</f>
        <v>bộ</v>
      </c>
      <c r="H368" s="436">
        <f t="shared" si="60"/>
        <v>5</v>
      </c>
      <c r="I368" s="436"/>
      <c r="J368" s="436"/>
      <c r="K368" s="436"/>
      <c r="L368" s="436"/>
      <c r="M368" s="436"/>
      <c r="N368" s="436"/>
      <c r="O368" s="436"/>
      <c r="P368" s="436">
        <f t="shared" si="62"/>
        <v>5</v>
      </c>
      <c r="Q368" s="444"/>
      <c r="R368" s="444"/>
      <c r="S368" s="444"/>
      <c r="T368" s="432">
        <f t="shared" si="55"/>
        <v>0</v>
      </c>
    </row>
    <row r="369" spans="1:20" ht="22.2" hidden="1" customHeight="1">
      <c r="A369" s="379"/>
      <c r="B369" s="438" t="s">
        <v>736</v>
      </c>
      <c r="C369" s="411" t="str">
        <f t="shared" si="56"/>
        <v>x</v>
      </c>
      <c r="D369" s="443">
        <v>1</v>
      </c>
      <c r="E369" s="422">
        <f>VLOOKUP($B369,[1]DG!A:D,[1]DG!$B$2,)</f>
        <v>0</v>
      </c>
      <c r="F369" s="434" t="str">
        <f>VLOOKUP($B369,[1]DG!A:D,[1]DG!$C$2,)</f>
        <v>Boulon 16x600VRS+ 4 long đền vuông D18-50x50x3/Zn</v>
      </c>
      <c r="G369" s="422" t="str">
        <f>VLOOKUP($B369,[1]DG!A:D,[1]DG!$D$2,)</f>
        <v>bộ</v>
      </c>
      <c r="H369" s="436">
        <f t="shared" si="60"/>
        <v>5</v>
      </c>
      <c r="I369" s="436"/>
      <c r="J369" s="436"/>
      <c r="K369" s="436"/>
      <c r="L369" s="436"/>
      <c r="M369" s="436"/>
      <c r="N369" s="436"/>
      <c r="O369" s="436"/>
      <c r="P369" s="436">
        <f t="shared" si="62"/>
        <v>5</v>
      </c>
      <c r="Q369" s="444"/>
      <c r="R369" s="444"/>
      <c r="S369" s="444"/>
      <c r="T369" s="432">
        <f t="shared" si="55"/>
        <v>0</v>
      </c>
    </row>
    <row r="370" spans="1:20" ht="22.2" hidden="1" customHeight="1">
      <c r="A370" s="379"/>
      <c r="B370" s="438" t="s">
        <v>75</v>
      </c>
      <c r="C370" s="411" t="str">
        <f t="shared" si="56"/>
        <v>x</v>
      </c>
      <c r="D370" s="443">
        <v>1.8340000000000001</v>
      </c>
      <c r="E370" s="422" t="str">
        <f>VLOOKUP($B370,[1]DG!A:D,[1]DG!$B$2,)</f>
        <v>03.1013</v>
      </c>
      <c r="F370" s="434" t="str">
        <f>VLOOKUP($B370,[1]DG!A:D,[1]DG!$C$2,)</f>
        <v>Đào hố móng đất cấp 3 sâu &gt;1m</v>
      </c>
      <c r="G370" s="422" t="str">
        <f>VLOOKUP($B370,[1]DG!A:D,[1]DG!$D$2,)</f>
        <v>m3</v>
      </c>
      <c r="H370" s="436">
        <f t="shared" si="60"/>
        <v>9.17</v>
      </c>
      <c r="I370" s="436"/>
      <c r="J370" s="436"/>
      <c r="K370" s="436"/>
      <c r="L370" s="436"/>
      <c r="M370" s="436"/>
      <c r="N370" s="436"/>
      <c r="O370" s="436"/>
      <c r="P370" s="436">
        <f t="shared" si="62"/>
        <v>9.17</v>
      </c>
      <c r="Q370" s="444"/>
      <c r="R370" s="444"/>
      <c r="S370" s="444"/>
      <c r="T370" s="432">
        <f t="shared" si="55"/>
        <v>0</v>
      </c>
    </row>
    <row r="371" spans="1:20" ht="22.2" hidden="1" customHeight="1">
      <c r="A371" s="379"/>
      <c r="B371" s="438" t="s">
        <v>651</v>
      </c>
      <c r="C371" s="411" t="str">
        <f t="shared" si="56"/>
        <v xml:space="preserve"> </v>
      </c>
      <c r="D371" s="443"/>
      <c r="E371" s="422" t="str">
        <f>VLOOKUP($B371,[1]DG!A:D,[1]DG!$B$2,)</f>
        <v>02.1231</v>
      </c>
      <c r="F371" s="434" t="str">
        <f>VLOOKUP($B371,[1]DG!A:D,[1]DG!$C$2,)</f>
        <v>V/c cát vàng cự ly &lt;=100m</v>
      </c>
      <c r="G371" s="422" t="str">
        <f>VLOOKUP($B371,[1]DG!A:D,[1]DG!$D$2,)</f>
        <v>m3</v>
      </c>
      <c r="H371" s="436">
        <f t="shared" si="60"/>
        <v>0</v>
      </c>
      <c r="I371" s="436"/>
      <c r="J371" s="436"/>
      <c r="K371" s="436"/>
      <c r="L371" s="436"/>
      <c r="M371" s="436"/>
      <c r="N371" s="436"/>
      <c r="O371" s="436"/>
      <c r="P371" s="436">
        <f t="shared" si="62"/>
        <v>0</v>
      </c>
      <c r="Q371" s="444"/>
      <c r="R371" s="444"/>
      <c r="S371" s="444"/>
      <c r="T371" s="432">
        <f t="shared" si="55"/>
        <v>0</v>
      </c>
    </row>
    <row r="372" spans="1:20" ht="22.2" hidden="1" customHeight="1">
      <c r="A372" s="379"/>
      <c r="B372" s="438" t="s">
        <v>652</v>
      </c>
      <c r="C372" s="411" t="str">
        <f t="shared" si="56"/>
        <v xml:space="preserve"> </v>
      </c>
      <c r="D372" s="443"/>
      <c r="E372" s="422" t="str">
        <f>VLOOKUP($B372,[1]DG!A:D,[1]DG!$B$2,)</f>
        <v>02.1241</v>
      </c>
      <c r="F372" s="434" t="str">
        <f>VLOOKUP($B372,[1]DG!A:D,[1]DG!$C$2,)</f>
        <v>V/c đá dăm ( cự ly &lt;=100m)</v>
      </c>
      <c r="G372" s="422" t="str">
        <f>VLOOKUP($B372,[1]DG!A:D,[1]DG!$D$2,)</f>
        <v>m3</v>
      </c>
      <c r="H372" s="436">
        <f t="shared" si="60"/>
        <v>0</v>
      </c>
      <c r="I372" s="436"/>
      <c r="J372" s="436"/>
      <c r="K372" s="436"/>
      <c r="L372" s="436"/>
      <c r="M372" s="436"/>
      <c r="N372" s="436"/>
      <c r="O372" s="436"/>
      <c r="P372" s="436">
        <f t="shared" si="62"/>
        <v>0</v>
      </c>
      <c r="Q372" s="444"/>
      <c r="R372" s="444"/>
      <c r="S372" s="444"/>
      <c r="T372" s="432">
        <f t="shared" si="55"/>
        <v>0</v>
      </c>
    </row>
    <row r="373" spans="1:20" ht="22.2" hidden="1" customHeight="1">
      <c r="A373" s="379"/>
      <c r="B373" s="438" t="s">
        <v>653</v>
      </c>
      <c r="C373" s="411" t="str">
        <f t="shared" si="56"/>
        <v xml:space="preserve"> </v>
      </c>
      <c r="D373" s="443"/>
      <c r="E373" s="422" t="str">
        <f>VLOOKUP($B373,[1]DG!A:D,[1]DG!$B$2,)</f>
        <v>02.1482</v>
      </c>
      <c r="F373" s="434" t="str">
        <f>VLOOKUP($B373,[1]DG!A:D,[1]DG!$C$2,)</f>
        <v>V/c dụng cụ thi công ( cự ly &lt;=100m)</v>
      </c>
      <c r="G373" s="422" t="str">
        <f>VLOOKUP($B373,[1]DG!A:D,[1]DG!$D$2,)</f>
        <v>tấn</v>
      </c>
      <c r="H373" s="436">
        <f t="shared" si="60"/>
        <v>0</v>
      </c>
      <c r="I373" s="436"/>
      <c r="J373" s="436"/>
      <c r="K373" s="436"/>
      <c r="L373" s="436"/>
      <c r="M373" s="436"/>
      <c r="N373" s="436"/>
      <c r="O373" s="436"/>
      <c r="P373" s="436">
        <f t="shared" si="62"/>
        <v>0</v>
      </c>
      <c r="Q373" s="444"/>
      <c r="R373" s="444"/>
      <c r="S373" s="444"/>
      <c r="T373" s="432">
        <f t="shared" si="55"/>
        <v>0</v>
      </c>
    </row>
    <row r="374" spans="1:20" ht="22.2" hidden="1" customHeight="1">
      <c r="A374" s="379"/>
      <c r="B374" s="438" t="s">
        <v>726</v>
      </c>
      <c r="C374" s="411" t="str">
        <f t="shared" si="56"/>
        <v xml:space="preserve"> </v>
      </c>
      <c r="D374" s="443"/>
      <c r="E374" s="422" t="str">
        <f>VLOOKUP($B374,[1]DG!A:D,[1]DG!$B$2,)</f>
        <v>04.5101</v>
      </c>
      <c r="F374" s="434" t="str">
        <f>VLOOKUP($B374,[1]DG!A:D,[1]DG!$C$2,)</f>
        <v>Gia công và lắp dựng cốt thép D&lt;=10</v>
      </c>
      <c r="G374" s="422" t="str">
        <f>VLOOKUP($B374,[1]DG!A:D,[1]DG!$D$2,)</f>
        <v>kg</v>
      </c>
      <c r="H374" s="436">
        <f t="shared" si="60"/>
        <v>0</v>
      </c>
      <c r="I374" s="436"/>
      <c r="J374" s="436"/>
      <c r="K374" s="436"/>
      <c r="L374" s="436"/>
      <c r="M374" s="436"/>
      <c r="N374" s="436"/>
      <c r="O374" s="436"/>
      <c r="P374" s="436">
        <f t="shared" si="62"/>
        <v>0</v>
      </c>
      <c r="Q374" s="444"/>
      <c r="R374" s="444"/>
      <c r="S374" s="444"/>
      <c r="T374" s="432">
        <f t="shared" si="55"/>
        <v>0</v>
      </c>
    </row>
    <row r="375" spans="1:20" ht="22.2" hidden="1" customHeight="1">
      <c r="B375" s="438" t="s">
        <v>676</v>
      </c>
      <c r="C375" s="411" t="str">
        <f t="shared" si="56"/>
        <v>x</v>
      </c>
      <c r="D375" s="443">
        <v>1.4319999999999999</v>
      </c>
      <c r="E375" s="422" t="str">
        <f>VLOOKUP($B375,[1]DG!A:D,[1]DG!$B$2,)</f>
        <v>04.1203b</v>
      </c>
      <c r="F375" s="434" t="str">
        <f>VLOOKUP($B375,[1]DG!A:D,[1]DG!$C$2,)</f>
        <v>Đổ bê tông mác M150 đá 1x2</v>
      </c>
      <c r="G375" s="422" t="str">
        <f>VLOOKUP($B375,[1]DG!A:D,[1]DG!$D$2,)</f>
        <v>m3</v>
      </c>
      <c r="H375" s="436">
        <f t="shared" si="60"/>
        <v>7.16</v>
      </c>
      <c r="I375" s="436"/>
      <c r="J375" s="436"/>
      <c r="K375" s="436"/>
      <c r="L375" s="436"/>
      <c r="M375" s="436"/>
      <c r="N375" s="436"/>
      <c r="O375" s="436"/>
      <c r="P375" s="436">
        <f t="shared" si="62"/>
        <v>7.16</v>
      </c>
      <c r="Q375" s="444"/>
      <c r="R375" s="444"/>
      <c r="S375" s="444"/>
      <c r="T375" s="432">
        <f t="shared" si="55"/>
        <v>0</v>
      </c>
    </row>
    <row r="376" spans="1:20" ht="22.2" hidden="1" customHeight="1">
      <c r="A376" s="423" t="s">
        <v>737</v>
      </c>
      <c r="B376" s="424" t="s">
        <v>737</v>
      </c>
      <c r="C376" s="425" t="str">
        <f t="shared" si="56"/>
        <v xml:space="preserve"> </v>
      </c>
      <c r="D376" s="426"/>
      <c r="E376" s="427"/>
      <c r="F376" s="428" t="s">
        <v>738</v>
      </c>
      <c r="G376" s="349" t="s">
        <v>344</v>
      </c>
      <c r="H376" s="429">
        <f>SUM(I376:O376)</f>
        <v>0</v>
      </c>
      <c r="I376" s="430"/>
      <c r="J376" s="430"/>
      <c r="K376" s="430">
        <f>IFERROR(HLOOKUP(B376,[1]pp3p1m!$1:$3,3,0),0)</f>
        <v>0</v>
      </c>
      <c r="L376" s="430">
        <f>IFERROR(HLOOKUP(chitiet!B376,[1]pp1p!$1:$3,3,0),0)</f>
        <v>0</v>
      </c>
      <c r="M376" s="430"/>
      <c r="N376" s="430"/>
      <c r="O376" s="430"/>
      <c r="P376" s="430"/>
      <c r="Q376" s="431"/>
      <c r="R376" s="431"/>
      <c r="S376" s="431"/>
      <c r="T376" s="432">
        <f>IFERROR(HLOOKUP(B376,[1]pp1p!$1:$3,3,0),0)+IFERROR(HLOOKUP(B376,[1]pp3p1m!$1:$3,3,0),0)</f>
        <v>0</v>
      </c>
    </row>
    <row r="377" spans="1:20" ht="22.2" hidden="1" customHeight="1">
      <c r="A377" s="379"/>
      <c r="B377" s="438" t="s">
        <v>643</v>
      </c>
      <c r="C377" s="411" t="str">
        <f t="shared" si="56"/>
        <v xml:space="preserve"> </v>
      </c>
      <c r="D377" s="448">
        <v>838</v>
      </c>
      <c r="E377" s="422">
        <f>VLOOKUP($B377,[1]DG!A:D,[1]DG!$B$2,)</f>
        <v>0</v>
      </c>
      <c r="F377" s="434" t="str">
        <f>VLOOKUP($B377,[1]DG!A:D,[1]DG!$C$2,)</f>
        <v>Ximăng (PC40)</v>
      </c>
      <c r="G377" s="422" t="str">
        <f>VLOOKUP($B377,[1]DG!A:D,[1]DG!$D$2,)</f>
        <v>kg</v>
      </c>
      <c r="H377" s="436">
        <f t="shared" ref="H377:H395" si="65">H$356*$H$376</f>
        <v>0</v>
      </c>
      <c r="I377" s="436">
        <f>I$494*$D377</f>
        <v>0</v>
      </c>
      <c r="J377" s="436">
        <f>J$494*$D377</f>
        <v>0</v>
      </c>
      <c r="K377" s="436">
        <f t="shared" ref="K377:K387" si="66">K$356*$D377</f>
        <v>4190</v>
      </c>
      <c r="L377" s="436">
        <f>L$494*$D377</f>
        <v>0</v>
      </c>
      <c r="M377" s="436">
        <f>M$494*$D377</f>
        <v>0</v>
      </c>
      <c r="N377" s="436">
        <f>N$494*$D377</f>
        <v>0</v>
      </c>
      <c r="O377" s="436"/>
      <c r="P377" s="436"/>
      <c r="Q377" s="447"/>
      <c r="R377" s="447"/>
      <c r="S377" s="447"/>
      <c r="T377" s="432">
        <f t="shared" si="55"/>
        <v>0</v>
      </c>
    </row>
    <row r="378" spans="1:20" ht="22.2" hidden="1" customHeight="1">
      <c r="A378" s="379"/>
      <c r="B378" s="449" t="s">
        <v>389</v>
      </c>
      <c r="C378" s="411" t="str">
        <f t="shared" si="56"/>
        <v xml:space="preserve"> </v>
      </c>
      <c r="D378" s="443">
        <v>0.80100000000000005</v>
      </c>
      <c r="E378" s="422">
        <f>VLOOKUP($B378,[1]DG!A:D,[1]DG!$B$2,)</f>
        <v>0</v>
      </c>
      <c r="F378" s="434" t="str">
        <f>VLOOKUP($B378,[1]DG!A:D,[1]DG!$C$2,)</f>
        <v>Cát vàng</v>
      </c>
      <c r="G378" s="422" t="str">
        <f>VLOOKUP($B378,[1]DG!A:D,[1]DG!$D$2,)</f>
        <v>m3</v>
      </c>
      <c r="H378" s="436">
        <f t="shared" si="65"/>
        <v>0</v>
      </c>
      <c r="I378" s="436"/>
      <c r="J378" s="436"/>
      <c r="K378" s="436">
        <f t="shared" si="66"/>
        <v>4.0049999999999999</v>
      </c>
      <c r="L378" s="436"/>
      <c r="M378" s="436"/>
      <c r="N378" s="436"/>
      <c r="O378" s="436"/>
      <c r="P378" s="436"/>
      <c r="Q378" s="452"/>
      <c r="R378" s="452"/>
      <c r="S378" s="452"/>
      <c r="T378" s="432">
        <f t="shared" si="55"/>
        <v>0</v>
      </c>
    </row>
    <row r="379" spans="1:20" ht="22.2" hidden="1" customHeight="1">
      <c r="A379" s="379"/>
      <c r="B379" s="438" t="s">
        <v>580</v>
      </c>
      <c r="C379" s="411" t="str">
        <f t="shared" si="56"/>
        <v xml:space="preserve"> </v>
      </c>
      <c r="D379" s="443">
        <v>1.6559999999999999</v>
      </c>
      <c r="E379" s="422">
        <f>VLOOKUP($B379,[1]DG!A:D,[1]DG!$B$2,)</f>
        <v>0</v>
      </c>
      <c r="F379" s="434" t="str">
        <f>VLOOKUP($B379,[1]DG!A:D,[1]DG!$C$2,)</f>
        <v>Đá 1x2</v>
      </c>
      <c r="G379" s="422" t="str">
        <f>VLOOKUP($B379,[1]DG!A:D,[1]DG!$D$2,)</f>
        <v>m3</v>
      </c>
      <c r="H379" s="436">
        <f t="shared" si="65"/>
        <v>0</v>
      </c>
      <c r="I379" s="436"/>
      <c r="J379" s="436"/>
      <c r="K379" s="436">
        <f t="shared" si="66"/>
        <v>8.2799999999999994</v>
      </c>
      <c r="L379" s="436"/>
      <c r="M379" s="436"/>
      <c r="N379" s="436"/>
      <c r="O379" s="436"/>
      <c r="P379" s="436"/>
      <c r="Q379" s="452"/>
      <c r="R379" s="452"/>
      <c r="S379" s="452"/>
      <c r="T379" s="432">
        <f t="shared" si="55"/>
        <v>0</v>
      </c>
    </row>
    <row r="380" spans="1:20" ht="22.2" hidden="1" customHeight="1">
      <c r="A380" s="379"/>
      <c r="B380" s="438" t="s">
        <v>739</v>
      </c>
      <c r="C380" s="411" t="str">
        <f t="shared" si="56"/>
        <v xml:space="preserve"> </v>
      </c>
      <c r="D380" s="445">
        <v>53.24</v>
      </c>
      <c r="E380" s="422">
        <f>VLOOKUP($B380,[1]DG!A:D,[1]DG!$B$2,)</f>
        <v>0</v>
      </c>
      <c r="F380" s="441" t="str">
        <f>VLOOKUP($B380,[1]DG!A:D,[1]DG!$C$2,)</f>
        <v>Sắt Ø16</v>
      </c>
      <c r="G380" s="422" t="str">
        <f>VLOOKUP($B380,[1]DG!A:D,[1]DG!$D$2,)</f>
        <v>kg</v>
      </c>
      <c r="H380" s="436">
        <f t="shared" si="65"/>
        <v>0</v>
      </c>
      <c r="I380" s="436"/>
      <c r="J380" s="436"/>
      <c r="K380" s="436">
        <f t="shared" si="66"/>
        <v>266.2</v>
      </c>
      <c r="L380" s="436"/>
      <c r="M380" s="436"/>
      <c r="N380" s="436"/>
      <c r="O380" s="436"/>
      <c r="P380" s="436"/>
      <c r="Q380" s="452"/>
      <c r="R380" s="452"/>
      <c r="S380" s="452"/>
      <c r="T380" s="432">
        <f t="shared" si="55"/>
        <v>0</v>
      </c>
    </row>
    <row r="381" spans="1:20" ht="22.2" hidden="1" customHeight="1">
      <c r="A381" s="379"/>
      <c r="B381" s="438" t="s">
        <v>181</v>
      </c>
      <c r="C381" s="411" t="str">
        <f t="shared" si="56"/>
        <v xml:space="preserve"> </v>
      </c>
      <c r="D381" s="445">
        <v>4.4400000000000004</v>
      </c>
      <c r="E381" s="422">
        <f>VLOOKUP($B381,[1]DG!A:D,[1]DG!$B$2,)</f>
        <v>0</v>
      </c>
      <c r="F381" s="441" t="str">
        <f>VLOOKUP($B381,[1]DG!A:D,[1]DG!$C$2,)</f>
        <v>Sắt Ø10</v>
      </c>
      <c r="G381" s="422" t="str">
        <f>VLOOKUP($B381,[1]DG!A:D,[1]DG!$D$2,)</f>
        <v>kg</v>
      </c>
      <c r="H381" s="436">
        <f t="shared" si="65"/>
        <v>0</v>
      </c>
      <c r="I381" s="436"/>
      <c r="J381" s="436"/>
      <c r="K381" s="436">
        <f t="shared" si="66"/>
        <v>22.200000000000003</v>
      </c>
      <c r="L381" s="436"/>
      <c r="M381" s="436"/>
      <c r="N381" s="436"/>
      <c r="O381" s="436"/>
      <c r="P381" s="436"/>
      <c r="Q381" s="452"/>
      <c r="R381" s="452"/>
      <c r="S381" s="452"/>
      <c r="T381" s="432">
        <f t="shared" si="55"/>
        <v>0</v>
      </c>
    </row>
    <row r="382" spans="1:20" ht="22.2" hidden="1" customHeight="1">
      <c r="A382" s="379"/>
      <c r="B382" s="438" t="s">
        <v>740</v>
      </c>
      <c r="C382" s="411" t="str">
        <f t="shared" si="56"/>
        <v xml:space="preserve"> </v>
      </c>
      <c r="D382" s="445">
        <v>13.36</v>
      </c>
      <c r="E382" s="422">
        <f>VLOOKUP($B382,[1]DG!A:D,[1]DG!$B$2,)</f>
        <v>0</v>
      </c>
      <c r="F382" s="441" t="str">
        <f>VLOOKUP($B382,[1]DG!A:D,[1]DG!$C$2,)</f>
        <v>Sắt Ø8</v>
      </c>
      <c r="G382" s="422" t="str">
        <f>VLOOKUP($B382,[1]DG!A:D,[1]DG!$D$2,)</f>
        <v>kg</v>
      </c>
      <c r="H382" s="436">
        <f t="shared" si="65"/>
        <v>0</v>
      </c>
      <c r="I382" s="436"/>
      <c r="J382" s="436"/>
      <c r="K382" s="436">
        <f t="shared" si="66"/>
        <v>66.8</v>
      </c>
      <c r="L382" s="436"/>
      <c r="M382" s="436"/>
      <c r="N382" s="436"/>
      <c r="O382" s="436"/>
      <c r="P382" s="436"/>
      <c r="Q382" s="452"/>
      <c r="R382" s="452"/>
      <c r="S382" s="452"/>
      <c r="T382" s="432">
        <f t="shared" si="55"/>
        <v>0</v>
      </c>
    </row>
    <row r="383" spans="1:20" ht="22.2" hidden="1" customHeight="1">
      <c r="A383" s="379"/>
      <c r="B383" s="438" t="s">
        <v>725</v>
      </c>
      <c r="C383" s="411" t="str">
        <f t="shared" si="56"/>
        <v xml:space="preserve"> </v>
      </c>
      <c r="D383" s="445"/>
      <c r="E383" s="422">
        <f>VLOOKUP($B383,[1]DG!A:D,[1]DG!$B$2,)</f>
        <v>0</v>
      </c>
      <c r="F383" s="441" t="str">
        <f>VLOOKUP($B383,[1]DG!A:D,[1]DG!$C$2,)</f>
        <v>Kẽm</v>
      </c>
      <c r="G383" s="422" t="str">
        <f>VLOOKUP($B383,[1]DG!A:D,[1]DG!$D$2,)</f>
        <v>kg</v>
      </c>
      <c r="H383" s="436">
        <f t="shared" si="65"/>
        <v>0</v>
      </c>
      <c r="I383" s="436"/>
      <c r="J383" s="436"/>
      <c r="K383" s="436">
        <f t="shared" si="66"/>
        <v>0</v>
      </c>
      <c r="L383" s="436"/>
      <c r="M383" s="436"/>
      <c r="N383" s="436"/>
      <c r="O383" s="436"/>
      <c r="P383" s="436"/>
      <c r="Q383" s="452"/>
      <c r="R383" s="452"/>
      <c r="S383" s="452"/>
      <c r="T383" s="432">
        <f t="shared" si="55"/>
        <v>0</v>
      </c>
    </row>
    <row r="384" spans="1:20" ht="22.2" hidden="1" customHeight="1">
      <c r="A384" s="379"/>
      <c r="B384" s="438" t="s">
        <v>741</v>
      </c>
      <c r="C384" s="411" t="str">
        <f t="shared" si="56"/>
        <v xml:space="preserve"> </v>
      </c>
      <c r="D384" s="445">
        <v>2</v>
      </c>
      <c r="E384" s="422"/>
      <c r="F384" s="441" t="str">
        <f>VLOOKUP($B384,[1]DG!A:D,[1]DG!$C$2,)</f>
        <v>Cong D1000x1000mm</v>
      </c>
      <c r="G384" s="422" t="str">
        <f>VLOOKUP($B384,[1]DG!A:D,[1]DG!$D$2,)</f>
        <v>cái</v>
      </c>
      <c r="H384" s="436">
        <f t="shared" si="65"/>
        <v>0</v>
      </c>
      <c r="I384" s="436"/>
      <c r="J384" s="436"/>
      <c r="K384" s="436">
        <f t="shared" si="66"/>
        <v>10</v>
      </c>
      <c r="L384" s="436"/>
      <c r="M384" s="436"/>
      <c r="N384" s="436"/>
      <c r="O384" s="436"/>
      <c r="P384" s="436"/>
      <c r="Q384" s="452"/>
      <c r="R384" s="452"/>
      <c r="S384" s="452"/>
      <c r="T384" s="432">
        <f t="shared" si="55"/>
        <v>0</v>
      </c>
    </row>
    <row r="385" spans="1:20" ht="22.2" hidden="1" customHeight="1">
      <c r="A385" s="379"/>
      <c r="B385" s="438" t="s">
        <v>742</v>
      </c>
      <c r="C385" s="411" t="str">
        <f t="shared" si="56"/>
        <v xml:space="preserve"> </v>
      </c>
      <c r="D385" s="445">
        <v>1</v>
      </c>
      <c r="E385" s="422"/>
      <c r="F385" s="441" t="str">
        <f>VLOOKUP($B385,[1]DG!A:D,[1]DG!$C$2,)</f>
        <v>Cong D1000x400mm</v>
      </c>
      <c r="G385" s="422" t="str">
        <f>VLOOKUP($B385,[1]DG!A:D,[1]DG!$D$2,)</f>
        <v>cái</v>
      </c>
      <c r="H385" s="436">
        <f t="shared" si="65"/>
        <v>0</v>
      </c>
      <c r="I385" s="436"/>
      <c r="J385" s="436"/>
      <c r="K385" s="436">
        <f t="shared" si="66"/>
        <v>5</v>
      </c>
      <c r="L385" s="436"/>
      <c r="M385" s="436"/>
      <c r="N385" s="436"/>
      <c r="O385" s="436"/>
      <c r="P385" s="436"/>
      <c r="Q385" s="452"/>
      <c r="R385" s="452"/>
      <c r="S385" s="452"/>
      <c r="T385" s="432">
        <f t="shared" si="55"/>
        <v>0</v>
      </c>
    </row>
    <row r="386" spans="1:20" ht="22.2" hidden="1" customHeight="1">
      <c r="A386" s="379"/>
      <c r="B386" s="410" t="s">
        <v>75</v>
      </c>
      <c r="C386" s="411" t="str">
        <f t="shared" si="56"/>
        <v xml:space="preserve"> </v>
      </c>
      <c r="D386" s="445">
        <v>1.93</v>
      </c>
      <c r="E386" s="422" t="str">
        <f>VLOOKUP($B386,[1]DG!A:D,[1]DG!$B$2,)</f>
        <v>03.1013</v>
      </c>
      <c r="F386" s="434" t="str">
        <f>VLOOKUP($B386,[1]DG!A:D,[1]DG!$C$2,)</f>
        <v>Đào hố móng đất cấp 3 sâu &gt;1m</v>
      </c>
      <c r="G386" s="422" t="str">
        <f>VLOOKUP($B386,[1]DG!A:D,[1]DG!$D$2,)</f>
        <v>m3</v>
      </c>
      <c r="H386" s="436">
        <f t="shared" si="65"/>
        <v>0</v>
      </c>
      <c r="I386" s="436"/>
      <c r="J386" s="436"/>
      <c r="K386" s="436">
        <f t="shared" si="66"/>
        <v>9.65</v>
      </c>
      <c r="L386" s="436"/>
      <c r="M386" s="436"/>
      <c r="N386" s="436"/>
      <c r="O386" s="436"/>
      <c r="P386" s="436"/>
      <c r="Q386" s="452"/>
      <c r="R386" s="452"/>
      <c r="S386" s="452"/>
      <c r="T386" s="432">
        <f t="shared" si="55"/>
        <v>0</v>
      </c>
    </row>
    <row r="387" spans="1:20" ht="22.2" hidden="1" customHeight="1">
      <c r="A387" s="379"/>
      <c r="B387" s="438" t="s">
        <v>646</v>
      </c>
      <c r="C387" s="411" t="str">
        <f t="shared" si="56"/>
        <v xml:space="preserve"> </v>
      </c>
      <c r="D387" s="443"/>
      <c r="E387" s="422" t="str">
        <f>VLOOKUP($B387,[1]DG!A:D,[1]DG!$B$2,)</f>
        <v>02.1101</v>
      </c>
      <c r="F387" s="441" t="s">
        <v>743</v>
      </c>
      <c r="G387" s="422" t="str">
        <f>VLOOKUP($B387,[1]DG!A:D,[1]DG!$D$2,)</f>
        <v>tấn</v>
      </c>
      <c r="H387" s="436">
        <f t="shared" si="65"/>
        <v>0</v>
      </c>
      <c r="I387" s="436"/>
      <c r="J387" s="436"/>
      <c r="K387" s="436">
        <f t="shared" si="66"/>
        <v>0</v>
      </c>
      <c r="L387" s="436"/>
      <c r="M387" s="436"/>
      <c r="N387" s="436"/>
      <c r="O387" s="436"/>
      <c r="P387" s="436"/>
      <c r="Q387" s="452"/>
      <c r="R387" s="452"/>
      <c r="S387" s="452"/>
      <c r="T387" s="432">
        <f t="shared" si="55"/>
        <v>0</v>
      </c>
    </row>
    <row r="388" spans="1:20" ht="22.2" hidden="1" customHeight="1">
      <c r="A388" s="379"/>
      <c r="B388" s="438" t="s">
        <v>647</v>
      </c>
      <c r="C388" s="411" t="str">
        <f t="shared" si="56"/>
        <v xml:space="preserve"> </v>
      </c>
      <c r="D388" s="443"/>
      <c r="E388" s="422" t="str">
        <f>VLOOKUP($B388,[1]DG!A:D,[1]DG!$B$2,)</f>
        <v>02.1103</v>
      </c>
      <c r="F388" s="434" t="str">
        <f>VLOOKUP($B388,[1]DG!A:D,[1]DG!$C$2,)</f>
        <v>Bốc dỡ cát</v>
      </c>
      <c r="G388" s="422" t="str">
        <f>VLOOKUP($B388,[1]DG!A:D,[1]DG!$D$2,)</f>
        <v>m3</v>
      </c>
      <c r="H388" s="436">
        <f t="shared" si="65"/>
        <v>0</v>
      </c>
      <c r="I388" s="436"/>
      <c r="J388" s="436"/>
      <c r="K388" s="436"/>
      <c r="L388" s="436"/>
      <c r="M388" s="436"/>
      <c r="N388" s="436"/>
      <c r="O388" s="436"/>
      <c r="P388" s="436"/>
      <c r="Q388" s="444"/>
      <c r="R388" s="444"/>
      <c r="S388" s="444"/>
      <c r="T388" s="432">
        <f t="shared" si="55"/>
        <v>0</v>
      </c>
    </row>
    <row r="389" spans="1:20" ht="22.2" hidden="1" customHeight="1">
      <c r="A389" s="379"/>
      <c r="B389" s="438" t="s">
        <v>648</v>
      </c>
      <c r="C389" s="411" t="str">
        <f t="shared" si="56"/>
        <v xml:space="preserve"> </v>
      </c>
      <c r="D389" s="443"/>
      <c r="E389" s="422" t="str">
        <f>VLOOKUP($B389,[1]DG!A:D,[1]DG!$B$2,)</f>
        <v>02.1104</v>
      </c>
      <c r="F389" s="434" t="str">
        <f>VLOOKUP($B389,[1]DG!A:D,[1]DG!$C$2,)</f>
        <v>Bốc dỡ đá dăm</v>
      </c>
      <c r="G389" s="422" t="str">
        <f>VLOOKUP($B389,[1]DG!A:D,[1]DG!$D$2,)</f>
        <v>m3</v>
      </c>
      <c r="H389" s="436">
        <f t="shared" si="65"/>
        <v>0</v>
      </c>
      <c r="I389" s="436"/>
      <c r="J389" s="436"/>
      <c r="K389" s="436"/>
      <c r="L389" s="436"/>
      <c r="M389" s="436"/>
      <c r="N389" s="436"/>
      <c r="O389" s="436"/>
      <c r="P389" s="436"/>
      <c r="Q389" s="444"/>
      <c r="R389" s="444"/>
      <c r="S389" s="444"/>
      <c r="T389" s="432">
        <f t="shared" si="55"/>
        <v>0</v>
      </c>
    </row>
    <row r="390" spans="1:20" ht="22.2" hidden="1" customHeight="1">
      <c r="A390" s="379"/>
      <c r="B390" s="438" t="s">
        <v>650</v>
      </c>
      <c r="C390" s="411" t="str">
        <f t="shared" si="56"/>
        <v xml:space="preserve"> </v>
      </c>
      <c r="D390" s="443"/>
      <c r="E390" s="422" t="str">
        <f>VLOOKUP($B390,[1]DG!A:D,[1]DG!$B$2,)</f>
        <v>02.1211</v>
      </c>
      <c r="F390" s="434" t="str">
        <f>VLOOKUP($B390,[1]DG!A:D,[1]DG!$C$2,)</f>
        <v>V/c xi măng ( cự ly &lt;=100m)</v>
      </c>
      <c r="G390" s="422" t="str">
        <f>VLOOKUP($B390,[1]DG!A:D,[1]DG!$D$2,)</f>
        <v>tấn</v>
      </c>
      <c r="H390" s="436">
        <f t="shared" si="65"/>
        <v>0</v>
      </c>
      <c r="I390" s="436"/>
      <c r="J390" s="436"/>
      <c r="K390" s="436"/>
      <c r="L390" s="436"/>
      <c r="M390" s="436"/>
      <c r="N390" s="436"/>
      <c r="O390" s="436"/>
      <c r="P390" s="436"/>
      <c r="Q390" s="444"/>
      <c r="R390" s="444"/>
      <c r="S390" s="444"/>
      <c r="T390" s="432">
        <f t="shared" si="55"/>
        <v>0</v>
      </c>
    </row>
    <row r="391" spans="1:20" ht="22.2" hidden="1" customHeight="1">
      <c r="A391" s="379"/>
      <c r="B391" s="438" t="s">
        <v>651</v>
      </c>
      <c r="C391" s="411" t="str">
        <f t="shared" si="56"/>
        <v xml:space="preserve"> </v>
      </c>
      <c r="D391" s="443"/>
      <c r="E391" s="422" t="str">
        <f>VLOOKUP($B391,[1]DG!A:D,[1]DG!$B$2,)</f>
        <v>02.1231</v>
      </c>
      <c r="F391" s="434" t="str">
        <f>VLOOKUP($B391,[1]DG!A:D,[1]DG!$C$2,)</f>
        <v>V/c cát vàng cự ly &lt;=100m</v>
      </c>
      <c r="G391" s="422" t="str">
        <f>VLOOKUP($B391,[1]DG!A:D,[1]DG!$D$2,)</f>
        <v>m3</v>
      </c>
      <c r="H391" s="436">
        <f t="shared" si="65"/>
        <v>0</v>
      </c>
      <c r="I391" s="436"/>
      <c r="J391" s="436"/>
      <c r="K391" s="436"/>
      <c r="L391" s="436"/>
      <c r="M391" s="436"/>
      <c r="N391" s="436"/>
      <c r="O391" s="436"/>
      <c r="P391" s="436"/>
      <c r="Q391" s="444"/>
      <c r="R391" s="444"/>
      <c r="S391" s="444"/>
      <c r="T391" s="432">
        <f t="shared" si="55"/>
        <v>0</v>
      </c>
    </row>
    <row r="392" spans="1:20" ht="22.2" hidden="1" customHeight="1">
      <c r="A392" s="379"/>
      <c r="B392" s="438" t="s">
        <v>652</v>
      </c>
      <c r="C392" s="411" t="str">
        <f t="shared" si="56"/>
        <v xml:space="preserve"> </v>
      </c>
      <c r="D392" s="443"/>
      <c r="E392" s="422" t="str">
        <f>VLOOKUP($B392,[1]DG!A:D,[1]DG!$B$2,)</f>
        <v>02.1241</v>
      </c>
      <c r="F392" s="434" t="str">
        <f>VLOOKUP($B392,[1]DG!A:D,[1]DG!$C$2,)</f>
        <v>V/c đá dăm ( cự ly &lt;=100m)</v>
      </c>
      <c r="G392" s="422" t="str">
        <f>VLOOKUP($B392,[1]DG!A:D,[1]DG!$D$2,)</f>
        <v>m3</v>
      </c>
      <c r="H392" s="436">
        <f t="shared" si="65"/>
        <v>0</v>
      </c>
      <c r="I392" s="436"/>
      <c r="J392" s="436"/>
      <c r="K392" s="436"/>
      <c r="L392" s="436"/>
      <c r="M392" s="436"/>
      <c r="N392" s="436"/>
      <c r="O392" s="436"/>
      <c r="P392" s="436"/>
      <c r="Q392" s="444"/>
      <c r="R392" s="444"/>
      <c r="S392" s="444"/>
      <c r="T392" s="432">
        <f t="shared" si="55"/>
        <v>0</v>
      </c>
    </row>
    <row r="393" spans="1:20" ht="22.2" hidden="1" customHeight="1">
      <c r="A393" s="379"/>
      <c r="B393" s="438" t="s">
        <v>653</v>
      </c>
      <c r="C393" s="411" t="str">
        <f t="shared" si="56"/>
        <v xml:space="preserve"> </v>
      </c>
      <c r="D393" s="443"/>
      <c r="E393" s="422" t="str">
        <f>VLOOKUP($B393,[1]DG!A:D,[1]DG!$B$2,)</f>
        <v>02.1482</v>
      </c>
      <c r="F393" s="434" t="str">
        <f>VLOOKUP($B393,[1]DG!A:D,[1]DG!$C$2,)</f>
        <v>V/c dụng cụ thi công ( cự ly &lt;=100m)</v>
      </c>
      <c r="G393" s="422" t="str">
        <f>VLOOKUP($B393,[1]DG!A:D,[1]DG!$D$2,)</f>
        <v>tấn</v>
      </c>
      <c r="H393" s="436">
        <f t="shared" si="65"/>
        <v>0</v>
      </c>
      <c r="I393" s="436"/>
      <c r="J393" s="436"/>
      <c r="K393" s="436"/>
      <c r="L393" s="436"/>
      <c r="M393" s="436"/>
      <c r="N393" s="436"/>
      <c r="O393" s="436"/>
      <c r="P393" s="436"/>
      <c r="Q393" s="444"/>
      <c r="R393" s="444"/>
      <c r="S393" s="444"/>
      <c r="T393" s="432">
        <f t="shared" si="55"/>
        <v>0</v>
      </c>
    </row>
    <row r="394" spans="1:20" ht="22.2" hidden="1" customHeight="1">
      <c r="A394" s="379"/>
      <c r="B394" s="438" t="s">
        <v>726</v>
      </c>
      <c r="C394" s="411" t="str">
        <f t="shared" si="56"/>
        <v xml:space="preserve"> </v>
      </c>
      <c r="D394" s="443">
        <f>D380</f>
        <v>53.24</v>
      </c>
      <c r="E394" s="422" t="str">
        <f>VLOOKUP($B394,[1]DG!A:D,[1]DG!$B$2,)</f>
        <v>04.5101</v>
      </c>
      <c r="F394" s="434" t="str">
        <f>VLOOKUP($B394,[1]DG!A:D,[1]DG!$C$2,)</f>
        <v>Gia công và lắp dựng cốt thép D&lt;=10</v>
      </c>
      <c r="G394" s="422" t="str">
        <f>VLOOKUP($B394,[1]DG!A:D,[1]DG!$D$2,)</f>
        <v>kg</v>
      </c>
      <c r="H394" s="436">
        <f t="shared" si="65"/>
        <v>0</v>
      </c>
      <c r="I394" s="436"/>
      <c r="J394" s="436"/>
      <c r="K394" s="436"/>
      <c r="L394" s="436"/>
      <c r="M394" s="436"/>
      <c r="N394" s="436"/>
      <c r="O394" s="436"/>
      <c r="P394" s="436"/>
      <c r="Q394" s="444"/>
      <c r="R394" s="444"/>
      <c r="S394" s="444"/>
      <c r="T394" s="432">
        <f t="shared" si="55"/>
        <v>0</v>
      </c>
    </row>
    <row r="395" spans="1:20" ht="22.2" hidden="1" customHeight="1">
      <c r="A395" s="379"/>
      <c r="B395" s="438" t="s">
        <v>676</v>
      </c>
      <c r="C395" s="411" t="str">
        <f t="shared" si="56"/>
        <v xml:space="preserve"> </v>
      </c>
      <c r="D395" s="443">
        <v>1.93</v>
      </c>
      <c r="E395" s="422" t="str">
        <f>VLOOKUP($B395,[1]DG!A:D,[1]DG!$B$2,)</f>
        <v>04.1203b</v>
      </c>
      <c r="F395" s="434" t="str">
        <f>VLOOKUP($B395,[1]DG!A:D,[1]DG!$C$2,)</f>
        <v>Đổ bê tông mác M150 đá 1x2</v>
      </c>
      <c r="G395" s="422" t="str">
        <f>VLOOKUP($B395,[1]DG!A:D,[1]DG!$D$2,)</f>
        <v>m3</v>
      </c>
      <c r="H395" s="436">
        <f t="shared" si="65"/>
        <v>0</v>
      </c>
      <c r="I395" s="436"/>
      <c r="J395" s="436"/>
      <c r="K395" s="436"/>
      <c r="L395" s="436"/>
      <c r="M395" s="436"/>
      <c r="N395" s="436"/>
      <c r="O395" s="436"/>
      <c r="P395" s="436"/>
      <c r="Q395" s="444"/>
      <c r="R395" s="444"/>
      <c r="S395" s="444"/>
      <c r="T395" s="432">
        <f t="shared" si="55"/>
        <v>0</v>
      </c>
    </row>
    <row r="396" spans="1:20" ht="22.2" hidden="1" customHeight="1">
      <c r="A396" s="423" t="s">
        <v>744</v>
      </c>
      <c r="B396" s="424" t="s">
        <v>744</v>
      </c>
      <c r="C396" s="425" t="str">
        <f t="shared" si="56"/>
        <v xml:space="preserve"> </v>
      </c>
      <c r="D396" s="426"/>
      <c r="E396" s="427"/>
      <c r="F396" s="428" t="s">
        <v>745</v>
      </c>
      <c r="G396" s="349" t="s">
        <v>344</v>
      </c>
      <c r="H396" s="429">
        <f>SUM(I396:O396)</f>
        <v>0</v>
      </c>
      <c r="I396" s="430"/>
      <c r="J396" s="430"/>
      <c r="K396" s="430">
        <f>IFERROR(HLOOKUP(B396,[1]pp3p1m!$1:$3,3,0),0)</f>
        <v>0</v>
      </c>
      <c r="L396" s="430">
        <f>IFERROR(HLOOKUP(chitiet!B396,[1]pp1p!$1:$3,3,0),0)</f>
        <v>0</v>
      </c>
      <c r="M396" s="430"/>
      <c r="N396" s="430"/>
      <c r="O396" s="430"/>
      <c r="P396" s="430"/>
      <c r="Q396" s="431"/>
      <c r="R396" s="431"/>
      <c r="S396" s="431"/>
      <c r="T396" s="432">
        <f>IFERROR(HLOOKUP(B396,[1]pp1p!$1:$3,3,0),0)+IFERROR(HLOOKUP(B396,[1]pp3p1m!$1:$3,3,0),0)</f>
        <v>0</v>
      </c>
    </row>
    <row r="397" spans="1:20" ht="22.2" hidden="1" customHeight="1">
      <c r="A397" s="379"/>
      <c r="B397" s="438" t="s">
        <v>643</v>
      </c>
      <c r="C397" s="411" t="str">
        <f t="shared" si="56"/>
        <v xml:space="preserve"> </v>
      </c>
      <c r="D397" s="445">
        <v>510</v>
      </c>
      <c r="E397" s="422">
        <f>VLOOKUP($B397,[1]DG!A:D,[1]DG!$B$2,)</f>
        <v>0</v>
      </c>
      <c r="F397" s="434" t="str">
        <f>VLOOKUP($B397,[1]DG!A:D,[1]DG!$C$2,)</f>
        <v>Ximăng (PC40)</v>
      </c>
      <c r="G397" s="422" t="str">
        <f>VLOOKUP($B397,[1]DG!A:D,[1]DG!$D$2,)</f>
        <v>kg</v>
      </c>
      <c r="H397" s="436">
        <f>H$396*$D397</f>
        <v>0</v>
      </c>
      <c r="I397" s="436">
        <f>I$494*$D397</f>
        <v>0</v>
      </c>
      <c r="J397" s="436">
        <f>J$494*$D397</f>
        <v>0</v>
      </c>
      <c r="K397" s="436">
        <f>K$396*$D397</f>
        <v>0</v>
      </c>
      <c r="L397" s="436">
        <f>L$494*$D397</f>
        <v>0</v>
      </c>
      <c r="M397" s="436">
        <f>M$494*$D397</f>
        <v>0</v>
      </c>
      <c r="N397" s="436">
        <f>N$494*$D397</f>
        <v>0</v>
      </c>
      <c r="O397" s="436"/>
      <c r="P397" s="436"/>
      <c r="Q397" s="447"/>
      <c r="R397" s="447"/>
      <c r="S397" s="447"/>
      <c r="T397" s="432">
        <f t="shared" si="55"/>
        <v>0</v>
      </c>
    </row>
    <row r="398" spans="1:20" ht="22.2" hidden="1" customHeight="1">
      <c r="A398" s="379"/>
      <c r="B398" s="449" t="s">
        <v>389</v>
      </c>
      <c r="C398" s="411" t="str">
        <f t="shared" si="56"/>
        <v xml:space="preserve"> </v>
      </c>
      <c r="D398" s="443">
        <v>0.89500000000000002</v>
      </c>
      <c r="E398" s="422">
        <f>VLOOKUP($B398,[1]DG!A:D,[1]DG!$B$2,)</f>
        <v>0</v>
      </c>
      <c r="F398" s="434" t="str">
        <f>VLOOKUP($B398,[1]DG!A:D,[1]DG!$C$2,)</f>
        <v>Cát vàng</v>
      </c>
      <c r="G398" s="422" t="str">
        <f>VLOOKUP($B398,[1]DG!A:D,[1]DG!$D$2,)</f>
        <v>m3</v>
      </c>
      <c r="H398" s="436">
        <f>H$396*$D398</f>
        <v>0</v>
      </c>
      <c r="I398" s="436"/>
      <c r="J398" s="436"/>
      <c r="K398" s="436">
        <f>K$396*$D398</f>
        <v>0</v>
      </c>
      <c r="L398" s="436"/>
      <c r="M398" s="436"/>
      <c r="N398" s="436"/>
      <c r="O398" s="436"/>
      <c r="P398" s="436"/>
      <c r="Q398" s="452"/>
      <c r="R398" s="452"/>
      <c r="S398" s="452"/>
      <c r="T398" s="432">
        <f t="shared" si="55"/>
        <v>0</v>
      </c>
    </row>
    <row r="399" spans="1:20" ht="22.2" hidden="1" customHeight="1">
      <c r="A399" s="379"/>
      <c r="B399" s="438" t="s">
        <v>580</v>
      </c>
      <c r="C399" s="411" t="str">
        <f t="shared" si="56"/>
        <v xml:space="preserve"> </v>
      </c>
      <c r="D399" s="443">
        <v>1.617</v>
      </c>
      <c r="E399" s="422">
        <f>VLOOKUP($B399,[1]DG!A:D,[1]DG!$B$2,)</f>
        <v>0</v>
      </c>
      <c r="F399" s="434" t="str">
        <f>VLOOKUP($B399,[1]DG!A:D,[1]DG!$C$2,)</f>
        <v>Đá 1x2</v>
      </c>
      <c r="G399" s="422" t="str">
        <f>VLOOKUP($B399,[1]DG!A:D,[1]DG!$D$2,)</f>
        <v>m3</v>
      </c>
      <c r="H399" s="436">
        <f>H$396*$D399</f>
        <v>0</v>
      </c>
      <c r="I399" s="436"/>
      <c r="J399" s="436"/>
      <c r="K399" s="436">
        <f>K$396*$D399</f>
        <v>0</v>
      </c>
      <c r="L399" s="436"/>
      <c r="M399" s="436"/>
      <c r="N399" s="436"/>
      <c r="O399" s="436"/>
      <c r="P399" s="436"/>
      <c r="Q399" s="452"/>
      <c r="R399" s="452"/>
      <c r="S399" s="452"/>
      <c r="T399" s="432">
        <f t="shared" si="55"/>
        <v>0</v>
      </c>
    </row>
    <row r="400" spans="1:20" ht="22.2" hidden="1" customHeight="1">
      <c r="A400" s="379"/>
      <c r="B400" s="438" t="s">
        <v>746</v>
      </c>
      <c r="C400" s="411" t="str">
        <f t="shared" si="56"/>
        <v xml:space="preserve"> </v>
      </c>
      <c r="D400" s="443">
        <v>2.09</v>
      </c>
      <c r="E400" s="422" t="str">
        <f>VLOOKUP($B400,[1]DG!A:D,[1]DG!$B$2,)</f>
        <v>03.1114</v>
      </c>
      <c r="F400" s="434" t="str">
        <f>VLOOKUP($B400,[1]DG!A:D,[1]DG!$C$2,)</f>
        <v>Đào hố móng đất cấp 4 sâu &gt;1m</v>
      </c>
      <c r="G400" s="422" t="str">
        <f>VLOOKUP($B400,[1]DG!A:D,[1]DG!$D$2,)</f>
        <v>m3</v>
      </c>
      <c r="H400" s="436"/>
      <c r="I400" s="436"/>
      <c r="J400" s="436"/>
      <c r="K400" s="436"/>
      <c r="L400" s="436"/>
      <c r="M400" s="436"/>
      <c r="N400" s="436"/>
      <c r="O400" s="436"/>
      <c r="P400" s="436"/>
      <c r="Q400" s="444"/>
      <c r="R400" s="444"/>
      <c r="S400" s="444"/>
      <c r="T400" s="432">
        <f t="shared" si="55"/>
        <v>0</v>
      </c>
    </row>
    <row r="401" spans="1:20" ht="22.2" hidden="1" customHeight="1">
      <c r="A401" s="379"/>
      <c r="B401" s="438" t="s">
        <v>722</v>
      </c>
      <c r="C401" s="411" t="str">
        <f t="shared" si="56"/>
        <v xml:space="preserve"> </v>
      </c>
      <c r="D401" s="445">
        <v>0</v>
      </c>
      <c r="E401" s="422" t="str">
        <f>VLOOKUP($B401,[1]DG!A:D,[1]DG!$B$2,)</f>
        <v>03.2203</v>
      </c>
      <c r="F401" s="434" t="str">
        <f>VLOOKUP($B401,[1]DG!A:D,[1]DG!$C$2,)</f>
        <v>Đắp đất hố móng, đất cấp 4</v>
      </c>
      <c r="G401" s="422" t="str">
        <f>VLOOKUP($B401,[1]DG!A:D,[1]DG!$D$2,)</f>
        <v>m3</v>
      </c>
      <c r="H401" s="436"/>
      <c r="I401" s="436"/>
      <c r="J401" s="436"/>
      <c r="K401" s="436"/>
      <c r="L401" s="436"/>
      <c r="M401" s="436"/>
      <c r="N401" s="436"/>
      <c r="O401" s="436"/>
      <c r="P401" s="436"/>
      <c r="Q401" s="444"/>
      <c r="R401" s="444"/>
      <c r="S401" s="444"/>
      <c r="T401" s="432">
        <f t="shared" ref="T401:T464" si="67">IFERROR(HLOOKUP(B401,BangKeTru,3,0),0)</f>
        <v>0</v>
      </c>
    </row>
    <row r="402" spans="1:20" ht="22.2" hidden="1" customHeight="1">
      <c r="A402" s="379"/>
      <c r="B402" s="438" t="s">
        <v>646</v>
      </c>
      <c r="C402" s="411" t="str">
        <f t="shared" ref="C402:C465" si="68">IF(OR(P402&lt;&gt;0,H402&lt;&gt;0),"x"," ")</f>
        <v xml:space="preserve"> </v>
      </c>
      <c r="D402" s="445">
        <f>D397</f>
        <v>510</v>
      </c>
      <c r="E402" s="422" t="str">
        <f>VLOOKUP($B402,[1]DG!A:D,[1]DG!$B$2,)</f>
        <v>02.1101</v>
      </c>
      <c r="F402" s="434" t="str">
        <f>VLOOKUP($B402,[1]DG!A:D,[1]DG!$C$2,)</f>
        <v>Bốc dỡ xi măng</v>
      </c>
      <c r="G402" s="422" t="str">
        <f>VLOOKUP($B402,[1]DG!A:D,[1]DG!$D$2,)</f>
        <v>tấn</v>
      </c>
      <c r="H402" s="436"/>
      <c r="I402" s="436"/>
      <c r="J402" s="436"/>
      <c r="K402" s="436"/>
      <c r="L402" s="436"/>
      <c r="M402" s="436"/>
      <c r="N402" s="436"/>
      <c r="O402" s="436"/>
      <c r="P402" s="436"/>
      <c r="Q402" s="444"/>
      <c r="R402" s="444"/>
      <c r="S402" s="444"/>
      <c r="T402" s="432">
        <f t="shared" si="67"/>
        <v>0</v>
      </c>
    </row>
    <row r="403" spans="1:20" ht="22.2" hidden="1" customHeight="1">
      <c r="A403" s="379"/>
      <c r="B403" s="438" t="s">
        <v>647</v>
      </c>
      <c r="C403" s="411" t="str">
        <f t="shared" si="68"/>
        <v xml:space="preserve"> </v>
      </c>
      <c r="D403" s="445">
        <f>D405</f>
        <v>8.9500000000000007E-4</v>
      </c>
      <c r="E403" s="422" t="str">
        <f>VLOOKUP($B403,[1]DG!A:D,[1]DG!$B$2,)</f>
        <v>02.1103</v>
      </c>
      <c r="F403" s="434" t="str">
        <f>VLOOKUP($B403,[1]DG!A:D,[1]DG!$C$2,)</f>
        <v>Bốc dỡ cát</v>
      </c>
      <c r="G403" s="422" t="str">
        <f>VLOOKUP($B403,[1]DG!A:D,[1]DG!$D$2,)</f>
        <v>m3</v>
      </c>
      <c r="H403" s="436"/>
      <c r="I403" s="436"/>
      <c r="J403" s="436"/>
      <c r="K403" s="436"/>
      <c r="L403" s="436"/>
      <c r="M403" s="436"/>
      <c r="N403" s="436"/>
      <c r="O403" s="436"/>
      <c r="P403" s="436"/>
      <c r="Q403" s="444"/>
      <c r="R403" s="444"/>
      <c r="S403" s="444"/>
      <c r="T403" s="432">
        <f t="shared" si="67"/>
        <v>0</v>
      </c>
    </row>
    <row r="404" spans="1:20" ht="22.2" hidden="1" customHeight="1">
      <c r="A404" s="379"/>
      <c r="B404" s="438" t="s">
        <v>648</v>
      </c>
      <c r="C404" s="411" t="str">
        <f t="shared" si="68"/>
        <v xml:space="preserve"> </v>
      </c>
      <c r="D404" s="445">
        <f>D397</f>
        <v>510</v>
      </c>
      <c r="E404" s="422" t="str">
        <f>VLOOKUP($B404,[1]DG!A:D,[1]DG!$B$2,)</f>
        <v>02.1104</v>
      </c>
      <c r="F404" s="434" t="str">
        <f>VLOOKUP($B404,[1]DG!A:D,[1]DG!$C$2,)</f>
        <v>Bốc dỡ đá dăm</v>
      </c>
      <c r="G404" s="422" t="str">
        <f>VLOOKUP($B404,[1]DG!A:D,[1]DG!$D$2,)</f>
        <v>m3</v>
      </c>
      <c r="H404" s="436"/>
      <c r="I404" s="436"/>
      <c r="J404" s="436"/>
      <c r="K404" s="436"/>
      <c r="L404" s="436"/>
      <c r="M404" s="436"/>
      <c r="N404" s="436"/>
      <c r="O404" s="436"/>
      <c r="P404" s="436"/>
      <c r="Q404" s="444"/>
      <c r="R404" s="444"/>
      <c r="S404" s="444"/>
      <c r="T404" s="432">
        <f t="shared" si="67"/>
        <v>0</v>
      </c>
    </row>
    <row r="405" spans="1:20" ht="22.2" hidden="1" customHeight="1">
      <c r="A405" s="379"/>
      <c r="B405" s="438" t="s">
        <v>650</v>
      </c>
      <c r="C405" s="411" t="str">
        <f t="shared" si="68"/>
        <v xml:space="preserve"> </v>
      </c>
      <c r="D405" s="445">
        <f>D398/1000</f>
        <v>8.9500000000000007E-4</v>
      </c>
      <c r="E405" s="422" t="str">
        <f>VLOOKUP($B405,[1]DG!A:D,[1]DG!$B$2,)</f>
        <v>02.1211</v>
      </c>
      <c r="F405" s="434" t="str">
        <f>VLOOKUP($B405,[1]DG!A:D,[1]DG!$C$2,)</f>
        <v>V/c xi măng ( cự ly &lt;=100m)</v>
      </c>
      <c r="G405" s="422" t="str">
        <f>VLOOKUP($B405,[1]DG!A:D,[1]DG!$D$2,)</f>
        <v>tấn</v>
      </c>
      <c r="H405" s="436"/>
      <c r="I405" s="436"/>
      <c r="J405" s="436"/>
      <c r="K405" s="436"/>
      <c r="L405" s="436"/>
      <c r="M405" s="436"/>
      <c r="N405" s="436"/>
      <c r="O405" s="436"/>
      <c r="P405" s="436"/>
      <c r="Q405" s="444"/>
      <c r="R405" s="444"/>
      <c r="S405" s="444"/>
      <c r="T405" s="432">
        <f t="shared" si="67"/>
        <v>0</v>
      </c>
    </row>
    <row r="406" spans="1:20" ht="22.2" hidden="1" customHeight="1">
      <c r="A406" s="379"/>
      <c r="B406" s="438" t="s">
        <v>651</v>
      </c>
      <c r="C406" s="411" t="str">
        <f t="shared" si="68"/>
        <v xml:space="preserve"> </v>
      </c>
      <c r="D406" s="443">
        <f>D397</f>
        <v>510</v>
      </c>
      <c r="E406" s="422" t="str">
        <f>VLOOKUP($B406,[1]DG!A:D,[1]DG!$B$2,)</f>
        <v>02.1231</v>
      </c>
      <c r="F406" s="434" t="str">
        <f>VLOOKUP($B406,[1]DG!A:D,[1]DG!$C$2,)</f>
        <v>V/c cát vàng cự ly &lt;=100m</v>
      </c>
      <c r="G406" s="422" t="str">
        <f>VLOOKUP($B406,[1]DG!A:D,[1]DG!$D$2,)</f>
        <v>m3</v>
      </c>
      <c r="H406" s="436"/>
      <c r="I406" s="436"/>
      <c r="J406" s="436"/>
      <c r="K406" s="436"/>
      <c r="L406" s="436"/>
      <c r="M406" s="436"/>
      <c r="N406" s="436"/>
      <c r="O406" s="436"/>
      <c r="P406" s="436"/>
      <c r="Q406" s="444"/>
      <c r="R406" s="444"/>
      <c r="S406" s="444"/>
      <c r="T406" s="432">
        <f t="shared" si="67"/>
        <v>0</v>
      </c>
    </row>
    <row r="407" spans="1:20" ht="22.2" hidden="1" customHeight="1">
      <c r="A407" s="379"/>
      <c r="B407" s="438" t="s">
        <v>652</v>
      </c>
      <c r="C407" s="411" t="str">
        <f t="shared" si="68"/>
        <v xml:space="preserve"> </v>
      </c>
      <c r="D407" s="445">
        <f>D400/1000</f>
        <v>2.0899999999999998E-3</v>
      </c>
      <c r="E407" s="422" t="str">
        <f>VLOOKUP($B407,[1]DG!A:D,[1]DG!$B$2,)</f>
        <v>02.1241</v>
      </c>
      <c r="F407" s="434" t="str">
        <f>VLOOKUP($B407,[1]DG!A:D,[1]DG!$C$2,)</f>
        <v>V/c đá dăm ( cự ly &lt;=100m)</v>
      </c>
      <c r="G407" s="422" t="str">
        <f>VLOOKUP($B407,[1]DG!A:D,[1]DG!$D$2,)</f>
        <v>m3</v>
      </c>
      <c r="H407" s="436"/>
      <c r="I407" s="436"/>
      <c r="J407" s="436"/>
      <c r="K407" s="436"/>
      <c r="L407" s="436"/>
      <c r="M407" s="436"/>
      <c r="N407" s="436"/>
      <c r="O407" s="436"/>
      <c r="P407" s="436"/>
      <c r="Q407" s="444"/>
      <c r="R407" s="444"/>
      <c r="S407" s="444"/>
      <c r="T407" s="432">
        <f t="shared" si="67"/>
        <v>0</v>
      </c>
    </row>
    <row r="408" spans="1:20" ht="22.2" hidden="1" customHeight="1">
      <c r="A408" s="379"/>
      <c r="B408" s="438" t="s">
        <v>653</v>
      </c>
      <c r="C408" s="411" t="str">
        <f t="shared" si="68"/>
        <v xml:space="preserve"> </v>
      </c>
      <c r="D408" s="443">
        <v>0.02</v>
      </c>
      <c r="E408" s="422" t="str">
        <f>VLOOKUP($B408,[1]DG!A:D,[1]DG!$B$2,)</f>
        <v>02.1482</v>
      </c>
      <c r="F408" s="434" t="str">
        <f>VLOOKUP($B408,[1]DG!A:D,[1]DG!$C$2,)</f>
        <v>V/c dụng cụ thi công ( cự ly &lt;=100m)</v>
      </c>
      <c r="G408" s="422" t="str">
        <f>VLOOKUP($B408,[1]DG!A:D,[1]DG!$D$2,)</f>
        <v>tấn</v>
      </c>
      <c r="H408" s="436"/>
      <c r="I408" s="436"/>
      <c r="J408" s="436"/>
      <c r="K408" s="436"/>
      <c r="L408" s="436"/>
      <c r="M408" s="436"/>
      <c r="N408" s="436"/>
      <c r="O408" s="436"/>
      <c r="P408" s="436"/>
      <c r="Q408" s="444"/>
      <c r="R408" s="444"/>
      <c r="S408" s="444"/>
      <c r="T408" s="432">
        <f t="shared" si="67"/>
        <v>0</v>
      </c>
    </row>
    <row r="409" spans="1:20" ht="22.2" hidden="1" customHeight="1">
      <c r="A409" s="423" t="s">
        <v>747</v>
      </c>
      <c r="B409" s="424" t="s">
        <v>747</v>
      </c>
      <c r="C409" s="425" t="str">
        <f t="shared" si="68"/>
        <v xml:space="preserve"> </v>
      </c>
      <c r="D409" s="426"/>
      <c r="E409" s="427"/>
      <c r="F409" s="428" t="s">
        <v>748</v>
      </c>
      <c r="G409" s="349" t="s">
        <v>344</v>
      </c>
      <c r="H409" s="429">
        <f>SUM(I409:O409)</f>
        <v>0</v>
      </c>
      <c r="I409" s="430"/>
      <c r="J409" s="430"/>
      <c r="K409" s="430">
        <f>IFERROR(HLOOKUP(B409,[1]pp3p1m!$1:$3,3,0),0)</f>
        <v>0</v>
      </c>
      <c r="L409" s="430">
        <f>IFERROR(HLOOKUP(chitiet!B409,[1]pp1p!$1:$3,3,0),0)</f>
        <v>0</v>
      </c>
      <c r="M409" s="430"/>
      <c r="N409" s="430"/>
      <c r="O409" s="430"/>
      <c r="P409" s="430"/>
      <c r="Q409" s="431"/>
      <c r="R409" s="431"/>
      <c r="S409" s="431"/>
      <c r="T409" s="432">
        <f>IFERROR(HLOOKUP(B409,[1]pp1p!$1:$3,3,0),0)+IFERROR(HLOOKUP(B409,[1]pp3p1m!$1:$3,3,0),0)</f>
        <v>0</v>
      </c>
    </row>
    <row r="410" spans="1:20" ht="22.2" hidden="1" customHeight="1">
      <c r="A410" s="379"/>
      <c r="B410" s="410" t="s">
        <v>75</v>
      </c>
      <c r="C410" s="411" t="str">
        <f t="shared" si="68"/>
        <v xml:space="preserve"> </v>
      </c>
      <c r="D410" s="448">
        <v>0.4</v>
      </c>
      <c r="E410" s="422"/>
      <c r="F410" s="434" t="str">
        <f>VLOOKUP($B410,[1]DG!A:D,[1]DG!$C$2,)</f>
        <v>Đào hố móng đất cấp 3 sâu &gt;1m</v>
      </c>
      <c r="G410" s="422" t="str">
        <f>VLOOKUP($B410,[1]DG!A:D,[1]DG!$D$2,)</f>
        <v>m3</v>
      </c>
      <c r="H410" s="436">
        <f>$H$409*D410</f>
        <v>0</v>
      </c>
      <c r="I410" s="436">
        <f t="shared" ref="I410:N410" si="69">I$244*$D410</f>
        <v>0</v>
      </c>
      <c r="J410" s="436">
        <f t="shared" si="69"/>
        <v>0</v>
      </c>
      <c r="K410" s="436">
        <f t="shared" si="69"/>
        <v>6</v>
      </c>
      <c r="L410" s="436">
        <f t="shared" si="69"/>
        <v>0</v>
      </c>
      <c r="M410" s="436">
        <f t="shared" si="69"/>
        <v>0</v>
      </c>
      <c r="N410" s="436">
        <f t="shared" si="69"/>
        <v>0</v>
      </c>
      <c r="O410" s="436"/>
      <c r="P410" s="436"/>
      <c r="Q410" s="447"/>
      <c r="R410" s="447"/>
      <c r="S410" s="447"/>
      <c r="T410" s="432">
        <f t="shared" si="67"/>
        <v>0</v>
      </c>
    </row>
    <row r="411" spans="1:20" ht="22.2" hidden="1" customHeight="1">
      <c r="A411" s="379"/>
      <c r="B411" s="410" t="s">
        <v>76</v>
      </c>
      <c r="C411" s="411" t="str">
        <f t="shared" si="68"/>
        <v xml:space="preserve"> </v>
      </c>
      <c r="D411" s="453">
        <v>0.4</v>
      </c>
      <c r="E411" s="422" t="str">
        <f>VLOOKUP($B411,[1]DG!A:D,[1]DG!$B$2,)</f>
        <v>03.4113</v>
      </c>
      <c r="F411" s="434" t="str">
        <f>VLOOKUP($B411,[1]DG!A:D,[1]DG!$C$2,)</f>
        <v>Đắp đất hố móng, độ chặt k=0,95</v>
      </c>
      <c r="G411" s="422" t="str">
        <f>VLOOKUP($B411,[1]DG!A:D,[1]DG!$D$2,)</f>
        <v>m3</v>
      </c>
      <c r="H411" s="436">
        <f>$H$409*D411</f>
        <v>0</v>
      </c>
      <c r="I411" s="435">
        <f t="shared" ref="I411:N411" si="70">I$18*$D411</f>
        <v>0</v>
      </c>
      <c r="J411" s="435">
        <f t="shared" si="70"/>
        <v>0</v>
      </c>
      <c r="K411" s="435">
        <f t="shared" si="70"/>
        <v>0</v>
      </c>
      <c r="L411" s="435">
        <f t="shared" si="70"/>
        <v>0</v>
      </c>
      <c r="M411" s="435">
        <f t="shared" si="70"/>
        <v>0</v>
      </c>
      <c r="N411" s="435">
        <f t="shared" si="70"/>
        <v>0</v>
      </c>
      <c r="O411" s="435"/>
      <c r="P411" s="435"/>
      <c r="Q411" s="442"/>
      <c r="R411" s="442"/>
      <c r="S411" s="442"/>
      <c r="T411" s="432">
        <f t="shared" si="67"/>
        <v>0</v>
      </c>
    </row>
    <row r="412" spans="1:20" ht="22.2" hidden="1" customHeight="1">
      <c r="A412" s="379"/>
      <c r="B412" s="438" t="s">
        <v>620</v>
      </c>
      <c r="C412" s="411" t="str">
        <f t="shared" si="68"/>
        <v xml:space="preserve"> </v>
      </c>
      <c r="D412" s="445">
        <v>0.2</v>
      </c>
      <c r="E412" s="422" t="str">
        <f>VLOOKUP($B412,[1]DG!A:C,2,)</f>
        <v>02.1482</v>
      </c>
      <c r="F412" s="434" t="str">
        <f>VLOOKUP($B412,[1]DG!A:C,3,)</f>
        <v>V/c dụng cụ thi công vào vị trí (cự ly &lt;=100m)</v>
      </c>
      <c r="G412" s="422" t="str">
        <f>VLOOKUP($B412,[1]DG!A:D,4,0)</f>
        <v>tấn</v>
      </c>
      <c r="H412" s="436">
        <f>$H$409*D412</f>
        <v>0</v>
      </c>
      <c r="I412" s="436"/>
      <c r="J412" s="436"/>
      <c r="K412" s="436"/>
      <c r="L412" s="436"/>
      <c r="M412" s="436"/>
      <c r="N412" s="436"/>
      <c r="O412" s="436"/>
      <c r="P412" s="436"/>
      <c r="Q412" s="444"/>
      <c r="R412" s="444"/>
      <c r="S412" s="444"/>
      <c r="T412" s="432">
        <f t="shared" si="67"/>
        <v>0</v>
      </c>
    </row>
    <row r="413" spans="1:20" ht="22.2" hidden="1" customHeight="1">
      <c r="A413" s="423" t="s">
        <v>749</v>
      </c>
      <c r="B413" s="424" t="s">
        <v>749</v>
      </c>
      <c r="C413" s="425" t="str">
        <f t="shared" si="68"/>
        <v xml:space="preserve"> </v>
      </c>
      <c r="D413" s="426"/>
      <c r="E413" s="427"/>
      <c r="F413" s="428" t="s">
        <v>750</v>
      </c>
      <c r="G413" s="349" t="s">
        <v>344</v>
      </c>
      <c r="H413" s="429">
        <f>SUM(I413:O413)</f>
        <v>0</v>
      </c>
      <c r="I413" s="430"/>
      <c r="J413" s="430"/>
      <c r="K413" s="430">
        <f>IFERROR(HLOOKUP(B413,[1]pp3p1m!$1:$3,3,0),0)</f>
        <v>0</v>
      </c>
      <c r="L413" s="430">
        <f>IFERROR(HLOOKUP(chitiet!B413,[1]pp1p!$1:$3,3,0),0)</f>
        <v>0</v>
      </c>
      <c r="M413" s="430"/>
      <c r="N413" s="430"/>
      <c r="O413" s="430"/>
      <c r="P413" s="430"/>
      <c r="Q413" s="431"/>
      <c r="R413" s="431"/>
      <c r="S413" s="431"/>
      <c r="T413" s="432">
        <f>IFERROR(HLOOKUP(B413,[1]pp1p!$1:$3,3,0),0)+IFERROR(HLOOKUP(B413,[1]pp3p1m!$1:$3,3,0),0)</f>
        <v>0</v>
      </c>
    </row>
    <row r="414" spans="1:20" ht="22.2" hidden="1" customHeight="1">
      <c r="A414" s="379"/>
      <c r="B414" s="410" t="s">
        <v>73</v>
      </c>
      <c r="C414" s="411" t="str">
        <f t="shared" si="68"/>
        <v xml:space="preserve"> </v>
      </c>
      <c r="D414" s="446">
        <v>1</v>
      </c>
      <c r="E414" s="422" t="str">
        <f>VLOOKUP($B414,[1]DG!A:D,[1]DG!$B$2,)</f>
        <v>04.4001</v>
      </c>
      <c r="F414" s="441" t="str">
        <f>VLOOKUP($B414,[1]DG!A:D,[1]DG!$C$2,)</f>
        <v>Đà cản BTCT 1,2m</v>
      </c>
      <c r="G414" s="422" t="str">
        <f>VLOOKUP($B414,[1]DG!A:D,[1]DG!$D$2,)</f>
        <v>cái</v>
      </c>
      <c r="H414" s="436">
        <f t="shared" ref="H414:N415" si="71">H$413*$D414</f>
        <v>0</v>
      </c>
      <c r="I414" s="436">
        <f t="shared" si="71"/>
        <v>0</v>
      </c>
      <c r="J414" s="436">
        <f t="shared" si="71"/>
        <v>0</v>
      </c>
      <c r="K414" s="436">
        <f t="shared" si="71"/>
        <v>0</v>
      </c>
      <c r="L414" s="436">
        <f t="shared" si="71"/>
        <v>0</v>
      </c>
      <c r="M414" s="436">
        <f t="shared" si="71"/>
        <v>0</v>
      </c>
      <c r="N414" s="436">
        <f t="shared" si="71"/>
        <v>0</v>
      </c>
      <c r="O414" s="436"/>
      <c r="P414" s="436"/>
      <c r="Q414" s="447"/>
      <c r="R414" s="447"/>
      <c r="S414" s="447"/>
      <c r="T414" s="432">
        <f t="shared" si="67"/>
        <v>0</v>
      </c>
    </row>
    <row r="415" spans="1:20" ht="22.2" hidden="1" customHeight="1">
      <c r="A415" s="379"/>
      <c r="B415" s="410" t="s">
        <v>74</v>
      </c>
      <c r="C415" s="411" t="str">
        <f t="shared" si="68"/>
        <v xml:space="preserve"> </v>
      </c>
      <c r="D415" s="446">
        <v>1</v>
      </c>
      <c r="E415" s="422"/>
      <c r="F415" s="441" t="str">
        <f>VLOOKUP($B415,[1]DG!A:D,[1]DG!$C$2,)</f>
        <v>Boulon 22x650+ 2 long đền vuông D24-50x50x3/Zn</v>
      </c>
      <c r="G415" s="422" t="str">
        <f>VLOOKUP($B415,[1]DG!A:D,[1]DG!$D$2,)</f>
        <v>bộ</v>
      </c>
      <c r="H415" s="436">
        <f t="shared" si="71"/>
        <v>0</v>
      </c>
      <c r="I415" s="436">
        <f t="shared" si="71"/>
        <v>0</v>
      </c>
      <c r="J415" s="436">
        <f t="shared" si="71"/>
        <v>0</v>
      </c>
      <c r="K415" s="436">
        <f t="shared" si="71"/>
        <v>0</v>
      </c>
      <c r="L415" s="436">
        <f t="shared" si="71"/>
        <v>0</v>
      </c>
      <c r="M415" s="436">
        <f t="shared" si="71"/>
        <v>0</v>
      </c>
      <c r="N415" s="436">
        <f t="shared" si="71"/>
        <v>0</v>
      </c>
      <c r="O415" s="436"/>
      <c r="P415" s="436"/>
      <c r="Q415" s="447"/>
      <c r="R415" s="447"/>
      <c r="S415" s="447"/>
      <c r="T415" s="432">
        <f t="shared" si="67"/>
        <v>0</v>
      </c>
    </row>
    <row r="416" spans="1:20" ht="22.2" hidden="1" customHeight="1">
      <c r="A416" s="379"/>
      <c r="B416" s="410" t="s">
        <v>75</v>
      </c>
      <c r="C416" s="411" t="str">
        <f t="shared" si="68"/>
        <v xml:space="preserve"> </v>
      </c>
      <c r="D416" s="445">
        <v>1.64</v>
      </c>
      <c r="E416" s="422" t="str">
        <f>VLOOKUP($B416,[1]DG!A:D,[1]DG!$B$2,)</f>
        <v>03.1013</v>
      </c>
      <c r="F416" s="434" t="str">
        <f>VLOOKUP($B416,[1]DG!A:D,[1]DG!$C$2,)</f>
        <v>Đào hố móng đất cấp 3 sâu &gt;1m</v>
      </c>
      <c r="G416" s="422" t="str">
        <f>VLOOKUP($B416,[1]DG!A:D,[1]DG!$D$2,)</f>
        <v>m3</v>
      </c>
      <c r="H416" s="436"/>
      <c r="I416" s="436"/>
      <c r="J416" s="436"/>
      <c r="K416" s="436"/>
      <c r="L416" s="436"/>
      <c r="M416" s="436"/>
      <c r="N416" s="436"/>
      <c r="O416" s="436"/>
      <c r="P416" s="436"/>
      <c r="Q416" s="444"/>
      <c r="R416" s="444"/>
      <c r="S416" s="444"/>
      <c r="T416" s="432">
        <f t="shared" si="67"/>
        <v>0</v>
      </c>
    </row>
    <row r="417" spans="1:20" ht="22.2" hidden="1" customHeight="1">
      <c r="A417" s="379"/>
      <c r="B417" s="410" t="s">
        <v>76</v>
      </c>
      <c r="C417" s="411" t="str">
        <f t="shared" si="68"/>
        <v xml:space="preserve"> </v>
      </c>
      <c r="D417" s="445">
        <v>1.42</v>
      </c>
      <c r="E417" s="422" t="str">
        <f>VLOOKUP($B417,[1]DG!A:D,[1]DG!$B$2,)</f>
        <v>03.4113</v>
      </c>
      <c r="F417" s="434" t="str">
        <f>VLOOKUP($B417,[1]DG!A:D,[1]DG!$C$2,)</f>
        <v>Đắp đất hố móng, độ chặt k=0,95</v>
      </c>
      <c r="G417" s="422" t="str">
        <f>VLOOKUP($B417,[1]DG!A:D,[1]DG!$D$2,)</f>
        <v>m3</v>
      </c>
      <c r="H417" s="436"/>
      <c r="I417" s="436"/>
      <c r="J417" s="436"/>
      <c r="K417" s="436"/>
      <c r="L417" s="436"/>
      <c r="M417" s="436"/>
      <c r="N417" s="436"/>
      <c r="O417" s="436"/>
      <c r="P417" s="436"/>
      <c r="Q417" s="444"/>
      <c r="R417" s="444"/>
      <c r="S417" s="444"/>
      <c r="T417" s="432">
        <f t="shared" si="67"/>
        <v>0</v>
      </c>
    </row>
    <row r="418" spans="1:20" ht="22.2" hidden="1" customHeight="1">
      <c r="A418" s="379"/>
      <c r="B418" s="410" t="s">
        <v>624</v>
      </c>
      <c r="C418" s="411" t="str">
        <f t="shared" si="68"/>
        <v xml:space="preserve"> </v>
      </c>
      <c r="D418" s="445"/>
      <c r="E418" s="422" t="str">
        <f>VLOOKUP($B418,[1]DG!A:D,[1]DG!$B$2,)</f>
        <v>02.1123</v>
      </c>
      <c r="F418" s="434" t="str">
        <f>VLOOKUP($B418,[1]DG!A:D,[1]DG!$C$2,)</f>
        <v>Bốc dỡ đà cản, đế néo</v>
      </c>
      <c r="G418" s="422" t="str">
        <f>VLOOKUP($B418,[1]DG!A:D,[1]DG!$D$2,)</f>
        <v>tấn</v>
      </c>
      <c r="H418" s="436"/>
      <c r="I418" s="436"/>
      <c r="J418" s="436"/>
      <c r="K418" s="436"/>
      <c r="L418" s="436"/>
      <c r="M418" s="436"/>
      <c r="N418" s="436"/>
      <c r="O418" s="436"/>
      <c r="P418" s="436"/>
      <c r="Q418" s="447"/>
      <c r="R418" s="447"/>
      <c r="S418" s="447"/>
      <c r="T418" s="432">
        <f t="shared" si="67"/>
        <v>0</v>
      </c>
    </row>
    <row r="419" spans="1:20" ht="22.2" hidden="1" customHeight="1">
      <c r="A419" s="379"/>
      <c r="B419" s="438" t="s">
        <v>625</v>
      </c>
      <c r="C419" s="411" t="str">
        <f t="shared" si="68"/>
        <v xml:space="preserve"> </v>
      </c>
      <c r="D419" s="445"/>
      <c r="E419" s="422" t="str">
        <f>VLOOKUP($B419,[1]DG!A:C,2,)</f>
        <v>02.1451</v>
      </c>
      <c r="F419" s="434" t="str">
        <f>VLOOKUP($B419,[1]DG!A:C,3,)</f>
        <v>V/c đà cản vào vị trí (cự ly &lt;=100m)</v>
      </c>
      <c r="G419" s="422" t="str">
        <f>VLOOKUP($B419,[1]DG!A:D,4,0)</f>
        <v>tấn</v>
      </c>
      <c r="H419" s="436"/>
      <c r="I419" s="436"/>
      <c r="J419" s="436"/>
      <c r="K419" s="436"/>
      <c r="L419" s="436"/>
      <c r="M419" s="436"/>
      <c r="N419" s="436"/>
      <c r="O419" s="436"/>
      <c r="P419" s="436"/>
      <c r="Q419" s="444"/>
      <c r="R419" s="444"/>
      <c r="S419" s="444"/>
      <c r="T419" s="432">
        <f t="shared" si="67"/>
        <v>0</v>
      </c>
    </row>
    <row r="420" spans="1:20" ht="22.2" hidden="1" customHeight="1">
      <c r="A420" s="379"/>
      <c r="B420" s="438" t="s">
        <v>620</v>
      </c>
      <c r="C420" s="411" t="str">
        <f t="shared" si="68"/>
        <v xml:space="preserve"> </v>
      </c>
      <c r="D420" s="445"/>
      <c r="E420" s="422" t="str">
        <f>VLOOKUP($B420,[1]DG!A:C,2,)</f>
        <v>02.1482</v>
      </c>
      <c r="F420" s="434" t="str">
        <f>VLOOKUP($B420,[1]DG!A:C,3,)</f>
        <v>V/c dụng cụ thi công vào vị trí (cự ly &lt;=100m)</v>
      </c>
      <c r="G420" s="422" t="str">
        <f>VLOOKUP($B420,[1]DG!A:D,4,0)</f>
        <v>tấn</v>
      </c>
      <c r="H420" s="436"/>
      <c r="I420" s="436"/>
      <c r="J420" s="436"/>
      <c r="K420" s="436"/>
      <c r="L420" s="436"/>
      <c r="M420" s="436"/>
      <c r="N420" s="436"/>
      <c r="O420" s="436"/>
      <c r="P420" s="436"/>
      <c r="Q420" s="444"/>
      <c r="R420" s="444"/>
      <c r="S420" s="444"/>
      <c r="T420" s="432">
        <f t="shared" si="67"/>
        <v>0</v>
      </c>
    </row>
    <row r="421" spans="1:20" ht="22.2" hidden="1" customHeight="1">
      <c r="A421" s="423" t="s">
        <v>751</v>
      </c>
      <c r="B421" s="424" t="s">
        <v>751</v>
      </c>
      <c r="C421" s="425" t="str">
        <f t="shared" si="68"/>
        <v xml:space="preserve"> </v>
      </c>
      <c r="D421" s="426"/>
      <c r="E421" s="427"/>
      <c r="F421" s="428" t="s">
        <v>752</v>
      </c>
      <c r="G421" s="349" t="s">
        <v>344</v>
      </c>
      <c r="H421" s="429">
        <f>SUM(I421:O421)</f>
        <v>0</v>
      </c>
      <c r="I421" s="430"/>
      <c r="J421" s="430"/>
      <c r="K421" s="430">
        <f>IFERROR(HLOOKUP(B421,[1]pp3p1m!$1:$3,3,0),0)</f>
        <v>0</v>
      </c>
      <c r="L421" s="430">
        <f>IFERROR(HLOOKUP(chitiet!B421,[1]pp1p!$1:$3,3,0),0)</f>
        <v>0</v>
      </c>
      <c r="M421" s="430"/>
      <c r="N421" s="430"/>
      <c r="O421" s="430"/>
      <c r="P421" s="430"/>
      <c r="Q421" s="431"/>
      <c r="R421" s="431"/>
      <c r="S421" s="431"/>
      <c r="T421" s="432">
        <f>IFERROR(HLOOKUP(B421,[1]pp1p!$1:$3,3,0),0)+IFERROR(HLOOKUP(B421,[1]pp3p1m!$1:$3,3,0),0)</f>
        <v>0</v>
      </c>
    </row>
    <row r="422" spans="1:20" ht="22.2" hidden="1" customHeight="1">
      <c r="A422" s="379"/>
      <c r="B422" s="410" t="s">
        <v>629</v>
      </c>
      <c r="C422" s="411" t="str">
        <f t="shared" si="68"/>
        <v xml:space="preserve"> </v>
      </c>
      <c r="D422" s="446">
        <v>1</v>
      </c>
      <c r="E422" s="422" t="str">
        <f>VLOOKUP($B422,[1]DG!A:D,[1]DG!$B$2,)</f>
        <v>04.3801</v>
      </c>
      <c r="F422" s="441" t="str">
        <f>VLOOKUP($B422,[1]DG!A:D,[1]DG!$C$2,)</f>
        <v>Đà cản BTCT 1,5m</v>
      </c>
      <c r="G422" s="422" t="str">
        <f>VLOOKUP($B422,[1]DG!A:D,[1]DG!$D$2,)</f>
        <v>cái</v>
      </c>
      <c r="H422" s="436">
        <f t="shared" ref="H422:N423" si="72">H$421*$D422</f>
        <v>0</v>
      </c>
      <c r="I422" s="436">
        <f t="shared" si="72"/>
        <v>0</v>
      </c>
      <c r="J422" s="436">
        <f t="shared" si="72"/>
        <v>0</v>
      </c>
      <c r="K422" s="436">
        <f t="shared" si="72"/>
        <v>0</v>
      </c>
      <c r="L422" s="436">
        <f t="shared" si="72"/>
        <v>0</v>
      </c>
      <c r="M422" s="436">
        <f t="shared" si="72"/>
        <v>0</v>
      </c>
      <c r="N422" s="436">
        <f t="shared" si="72"/>
        <v>0</v>
      </c>
      <c r="O422" s="436"/>
      <c r="P422" s="436"/>
      <c r="Q422" s="447"/>
      <c r="R422" s="447"/>
      <c r="S422" s="447"/>
      <c r="T422" s="432">
        <f t="shared" si="67"/>
        <v>0</v>
      </c>
    </row>
    <row r="423" spans="1:20" ht="22.2" hidden="1" customHeight="1">
      <c r="A423" s="379"/>
      <c r="B423" s="410" t="s">
        <v>74</v>
      </c>
      <c r="C423" s="411" t="str">
        <f t="shared" si="68"/>
        <v xml:space="preserve"> </v>
      </c>
      <c r="D423" s="446">
        <v>1</v>
      </c>
      <c r="E423" s="422"/>
      <c r="F423" s="441" t="str">
        <f>VLOOKUP($B423,[1]DG!A:D,[1]DG!$C$2,)</f>
        <v>Boulon 22x650+ 2 long đền vuông D24-50x50x3/Zn</v>
      </c>
      <c r="G423" s="422" t="str">
        <f>VLOOKUP($B423,[1]DG!A:D,[1]DG!$D$2,)</f>
        <v>bộ</v>
      </c>
      <c r="H423" s="436">
        <f t="shared" si="72"/>
        <v>0</v>
      </c>
      <c r="I423" s="436">
        <f t="shared" si="72"/>
        <v>0</v>
      </c>
      <c r="J423" s="436">
        <f t="shared" si="72"/>
        <v>0</v>
      </c>
      <c r="K423" s="436">
        <f t="shared" si="72"/>
        <v>0</v>
      </c>
      <c r="L423" s="436">
        <f t="shared" si="72"/>
        <v>0</v>
      </c>
      <c r="M423" s="436">
        <f t="shared" si="72"/>
        <v>0</v>
      </c>
      <c r="N423" s="436">
        <f t="shared" si="72"/>
        <v>0</v>
      </c>
      <c r="O423" s="436"/>
      <c r="P423" s="436"/>
      <c r="Q423" s="447"/>
      <c r="R423" s="447"/>
      <c r="S423" s="447"/>
      <c r="T423" s="432">
        <f t="shared" si="67"/>
        <v>0</v>
      </c>
    </row>
    <row r="424" spans="1:20" ht="22.2" hidden="1" customHeight="1">
      <c r="A424" s="379"/>
      <c r="B424" s="410" t="s">
        <v>630</v>
      </c>
      <c r="C424" s="411" t="str">
        <f t="shared" si="68"/>
        <v xml:space="preserve"> </v>
      </c>
      <c r="D424" s="433">
        <v>0.42099999999999999</v>
      </c>
      <c r="E424" s="422">
        <f>VLOOKUP($B424,[1]DG!A:D,[1]DG!$B$2,)</f>
        <v>0</v>
      </c>
      <c r="F424" s="434" t="str">
        <f>VLOOKUP($B424,[1]DG!A:D,[1]DG!$C$2,)</f>
        <v>Đá 2x4</v>
      </c>
      <c r="G424" s="422" t="str">
        <f>VLOOKUP($B424,[1]DG!A:D,[1]DG!$D$2,)</f>
        <v>m3</v>
      </c>
      <c r="H424" s="435">
        <f t="shared" ref="H424:N424" si="73">H$18*$D424</f>
        <v>0</v>
      </c>
      <c r="I424" s="435">
        <f t="shared" si="73"/>
        <v>0</v>
      </c>
      <c r="J424" s="435">
        <f t="shared" si="73"/>
        <v>0</v>
      </c>
      <c r="K424" s="435">
        <f t="shared" si="73"/>
        <v>0</v>
      </c>
      <c r="L424" s="435">
        <f t="shared" si="73"/>
        <v>0</v>
      </c>
      <c r="M424" s="435">
        <f t="shared" si="73"/>
        <v>0</v>
      </c>
      <c r="N424" s="435">
        <f t="shared" si="73"/>
        <v>0</v>
      </c>
      <c r="O424" s="435"/>
      <c r="P424" s="435"/>
      <c r="Q424" s="442"/>
      <c r="R424" s="442"/>
      <c r="S424" s="442"/>
      <c r="T424" s="432">
        <f t="shared" si="67"/>
        <v>0</v>
      </c>
    </row>
    <row r="425" spans="1:20" ht="22.2" hidden="1" customHeight="1">
      <c r="A425" s="379"/>
      <c r="B425" s="410" t="s">
        <v>75</v>
      </c>
      <c r="C425" s="411" t="str">
        <f t="shared" si="68"/>
        <v xml:space="preserve"> </v>
      </c>
      <c r="D425" s="445">
        <v>3.3</v>
      </c>
      <c r="E425" s="422" t="str">
        <f>VLOOKUP($B425,[1]DG!A:D,[1]DG!$B$2,)</f>
        <v>03.1013</v>
      </c>
      <c r="F425" s="434" t="str">
        <f>VLOOKUP($B425,[1]DG!A:D,[1]DG!$C$2,)</f>
        <v>Đào hố móng đất cấp 3 sâu &gt;1m</v>
      </c>
      <c r="G425" s="422" t="str">
        <f>VLOOKUP($B425,[1]DG!A:D,[1]DG!$D$2,)</f>
        <v>m3</v>
      </c>
      <c r="H425" s="436"/>
      <c r="I425" s="436"/>
      <c r="J425" s="436"/>
      <c r="K425" s="436"/>
      <c r="L425" s="436"/>
      <c r="M425" s="436"/>
      <c r="N425" s="436"/>
      <c r="O425" s="436"/>
      <c r="P425" s="436"/>
      <c r="Q425" s="444"/>
      <c r="R425" s="444"/>
      <c r="S425" s="444"/>
      <c r="T425" s="432">
        <f t="shared" si="67"/>
        <v>0</v>
      </c>
    </row>
    <row r="426" spans="1:20" ht="22.2" hidden="1" customHeight="1">
      <c r="A426" s="379"/>
      <c r="B426" s="410" t="s">
        <v>76</v>
      </c>
      <c r="C426" s="411" t="str">
        <f t="shared" si="68"/>
        <v xml:space="preserve"> </v>
      </c>
      <c r="D426" s="445">
        <v>3.49</v>
      </c>
      <c r="E426" s="422" t="str">
        <f>VLOOKUP($B426,[1]DG!A:D,[1]DG!$B$2,)</f>
        <v>03.4113</v>
      </c>
      <c r="F426" s="434" t="str">
        <f>VLOOKUP($B426,[1]DG!A:D,[1]DG!$C$2,)</f>
        <v>Đắp đất hố móng, độ chặt k=0,95</v>
      </c>
      <c r="G426" s="422" t="str">
        <f>VLOOKUP($B426,[1]DG!A:D,[1]DG!$D$2,)</f>
        <v>m3</v>
      </c>
      <c r="H426" s="436"/>
      <c r="I426" s="436"/>
      <c r="J426" s="436"/>
      <c r="K426" s="436"/>
      <c r="L426" s="436"/>
      <c r="M426" s="436"/>
      <c r="N426" s="436"/>
      <c r="O426" s="436"/>
      <c r="P426" s="436"/>
      <c r="Q426" s="444"/>
      <c r="R426" s="444"/>
      <c r="S426" s="444"/>
      <c r="T426" s="432">
        <f t="shared" si="67"/>
        <v>0</v>
      </c>
    </row>
    <row r="427" spans="1:20" ht="22.2" hidden="1" customHeight="1">
      <c r="A427" s="379"/>
      <c r="B427" s="410" t="s">
        <v>624</v>
      </c>
      <c r="C427" s="411" t="str">
        <f t="shared" si="68"/>
        <v xml:space="preserve"> </v>
      </c>
      <c r="D427" s="445">
        <v>0.255</v>
      </c>
      <c r="E427" s="422" t="str">
        <f>VLOOKUP($B427,[1]DG!A:D,[1]DG!$B$2,)</f>
        <v>02.1123</v>
      </c>
      <c r="F427" s="434" t="str">
        <f>VLOOKUP($B427,[1]DG!A:D,[1]DG!$C$2,)</f>
        <v>Bốc dỡ đà cản, đế néo</v>
      </c>
      <c r="G427" s="422" t="str">
        <f>VLOOKUP($B427,[1]DG!A:D,[1]DG!$D$2,)</f>
        <v>tấn</v>
      </c>
      <c r="H427" s="436"/>
      <c r="I427" s="436"/>
      <c r="J427" s="436"/>
      <c r="K427" s="436"/>
      <c r="L427" s="436"/>
      <c r="M427" s="436"/>
      <c r="N427" s="436"/>
      <c r="O427" s="436"/>
      <c r="P427" s="436"/>
      <c r="Q427" s="447"/>
      <c r="R427" s="447"/>
      <c r="S427" s="447"/>
      <c r="T427" s="432">
        <f t="shared" si="67"/>
        <v>0</v>
      </c>
    </row>
    <row r="428" spans="1:20" ht="22.2" hidden="1" customHeight="1">
      <c r="A428" s="379"/>
      <c r="B428" s="438" t="s">
        <v>625</v>
      </c>
      <c r="C428" s="411" t="str">
        <f t="shared" si="68"/>
        <v xml:space="preserve"> </v>
      </c>
      <c r="D428" s="445">
        <f>+D427</f>
        <v>0.255</v>
      </c>
      <c r="E428" s="422" t="str">
        <f>VLOOKUP($B428,[1]DG!A:C,2,)</f>
        <v>02.1451</v>
      </c>
      <c r="F428" s="434" t="str">
        <f>VLOOKUP($B428,[1]DG!A:C,3,)</f>
        <v>V/c đà cản vào vị trí (cự ly &lt;=100m)</v>
      </c>
      <c r="G428" s="422" t="str">
        <f>VLOOKUP($B428,[1]DG!A:D,4,0)</f>
        <v>tấn</v>
      </c>
      <c r="H428" s="436"/>
      <c r="I428" s="436"/>
      <c r="J428" s="436"/>
      <c r="K428" s="436"/>
      <c r="L428" s="436"/>
      <c r="M428" s="436"/>
      <c r="N428" s="436"/>
      <c r="O428" s="436"/>
      <c r="P428" s="436"/>
      <c r="Q428" s="444"/>
      <c r="R428" s="444"/>
      <c r="S428" s="444"/>
      <c r="T428" s="432">
        <f t="shared" si="67"/>
        <v>0</v>
      </c>
    </row>
    <row r="429" spans="1:20" ht="22.2" hidden="1" customHeight="1">
      <c r="A429" s="379"/>
      <c r="B429" s="438" t="s">
        <v>626</v>
      </c>
      <c r="C429" s="411" t="str">
        <f t="shared" si="68"/>
        <v xml:space="preserve"> </v>
      </c>
      <c r="D429" s="433">
        <f>D424</f>
        <v>0.42099999999999999</v>
      </c>
      <c r="E429" s="422" t="str">
        <f>VLOOKUP($B429,[1]DG!A:C,2,)</f>
        <v>02.1241</v>
      </c>
      <c r="F429" s="434" t="str">
        <f>VLOOKUP($B429,[1]DG!A:C,3,)</f>
        <v>V/c đá dăm ( cự ly &lt;=100m)</v>
      </c>
      <c r="G429" s="422" t="str">
        <f>VLOOKUP($B429,[1]DG!A:D,4,0)</f>
        <v>m3</v>
      </c>
      <c r="H429" s="435"/>
      <c r="I429" s="435"/>
      <c r="J429" s="435"/>
      <c r="K429" s="435"/>
      <c r="L429" s="435"/>
      <c r="M429" s="435"/>
      <c r="N429" s="435"/>
      <c r="O429" s="435"/>
      <c r="P429" s="435"/>
      <c r="Q429" s="437"/>
      <c r="R429" s="437"/>
      <c r="S429" s="437"/>
      <c r="T429" s="432">
        <f t="shared" si="67"/>
        <v>0</v>
      </c>
    </row>
    <row r="430" spans="1:20" ht="22.2" hidden="1" customHeight="1">
      <c r="A430" s="379"/>
      <c r="B430" s="438" t="s">
        <v>620</v>
      </c>
      <c r="C430" s="411" t="str">
        <f t="shared" si="68"/>
        <v xml:space="preserve"> </v>
      </c>
      <c r="D430" s="445">
        <v>0.2</v>
      </c>
      <c r="E430" s="422" t="str">
        <f>VLOOKUP($B430,[1]DG!A:C,2,)</f>
        <v>02.1482</v>
      </c>
      <c r="F430" s="434" t="str">
        <f>VLOOKUP($B430,[1]DG!A:C,3,)</f>
        <v>V/c dụng cụ thi công vào vị trí (cự ly &lt;=100m)</v>
      </c>
      <c r="G430" s="422" t="str">
        <f>VLOOKUP($B430,[1]DG!A:D,4,0)</f>
        <v>tấn</v>
      </c>
      <c r="H430" s="436"/>
      <c r="I430" s="436"/>
      <c r="J430" s="436"/>
      <c r="K430" s="436"/>
      <c r="L430" s="436"/>
      <c r="M430" s="436"/>
      <c r="N430" s="436"/>
      <c r="O430" s="436"/>
      <c r="P430" s="436"/>
      <c r="Q430" s="444"/>
      <c r="R430" s="444"/>
      <c r="S430" s="444"/>
      <c r="T430" s="432">
        <f t="shared" si="67"/>
        <v>0</v>
      </c>
    </row>
    <row r="431" spans="1:20" ht="22.2" hidden="1" customHeight="1">
      <c r="A431" s="423" t="s">
        <v>753</v>
      </c>
      <c r="B431" s="424" t="s">
        <v>753</v>
      </c>
      <c r="C431" s="425" t="str">
        <f t="shared" si="68"/>
        <v xml:space="preserve"> </v>
      </c>
      <c r="D431" s="426"/>
      <c r="E431" s="427"/>
      <c r="F431" s="428" t="s">
        <v>754</v>
      </c>
      <c r="G431" s="349" t="s">
        <v>344</v>
      </c>
      <c r="H431" s="429">
        <f>SUM(I431:O431)</f>
        <v>0</v>
      </c>
      <c r="I431" s="430"/>
      <c r="J431" s="430"/>
      <c r="K431" s="430">
        <f>IFERROR(HLOOKUP(B431,[1]pp3p1m!$1:$3,3,0),0)</f>
        <v>0</v>
      </c>
      <c r="L431" s="430">
        <f>IFERROR(HLOOKUP(chitiet!B431,[1]pp1p!$1:$3,3,0),0)</f>
        <v>0</v>
      </c>
      <c r="M431" s="430"/>
      <c r="N431" s="430"/>
      <c r="O431" s="430"/>
      <c r="P431" s="430"/>
      <c r="Q431" s="431"/>
      <c r="R431" s="431"/>
      <c r="S431" s="431"/>
      <c r="T431" s="432">
        <f>IFERROR(HLOOKUP(B431,[1]pp1p!$1:$3,3,0),0)+IFERROR(HLOOKUP(B431,[1]pp3p1m!$1:$3,3,0),0)</f>
        <v>0</v>
      </c>
    </row>
    <row r="432" spans="1:20" ht="22.2" hidden="1" customHeight="1">
      <c r="A432" s="379"/>
      <c r="B432" s="438" t="s">
        <v>643</v>
      </c>
      <c r="C432" s="411" t="str">
        <f t="shared" si="68"/>
        <v xml:space="preserve"> </v>
      </c>
      <c r="D432" s="448">
        <v>336</v>
      </c>
      <c r="E432" s="422">
        <f>VLOOKUP($B432,[1]DG!A:D,[1]DG!$B$2,)</f>
        <v>0</v>
      </c>
      <c r="F432" s="434" t="str">
        <f>VLOOKUP($B432,[1]DG!A:D,[1]DG!$C$2,)</f>
        <v>Ximăng (PC40)</v>
      </c>
      <c r="G432" s="422" t="str">
        <f>VLOOKUP($B432,[1]DG!A:D,[1]DG!$D$2,)</f>
        <v>kg</v>
      </c>
      <c r="H432" s="436">
        <f t="shared" ref="H432:H447" si="74">$H$431*$D432</f>
        <v>0</v>
      </c>
      <c r="I432" s="436">
        <f t="shared" ref="I432:O436" si="75">I$431*$D432</f>
        <v>0</v>
      </c>
      <c r="J432" s="436">
        <f t="shared" si="75"/>
        <v>0</v>
      </c>
      <c r="K432" s="436">
        <f t="shared" si="75"/>
        <v>0</v>
      </c>
      <c r="L432" s="436">
        <f t="shared" si="75"/>
        <v>0</v>
      </c>
      <c r="M432" s="436">
        <f t="shared" si="75"/>
        <v>0</v>
      </c>
      <c r="N432" s="436">
        <f t="shared" si="75"/>
        <v>0</v>
      </c>
      <c r="O432" s="436">
        <f t="shared" si="75"/>
        <v>0</v>
      </c>
      <c r="P432" s="436"/>
      <c r="Q432" s="447"/>
      <c r="R432" s="447"/>
      <c r="S432" s="447"/>
      <c r="T432" s="432">
        <f t="shared" si="67"/>
        <v>0</v>
      </c>
    </row>
    <row r="433" spans="1:20" ht="22.2" hidden="1" customHeight="1">
      <c r="A433" s="379"/>
      <c r="B433" s="449" t="s">
        <v>389</v>
      </c>
      <c r="C433" s="411" t="str">
        <f t="shared" si="68"/>
        <v xml:space="preserve"> </v>
      </c>
      <c r="D433" s="443">
        <v>0.53900000000000003</v>
      </c>
      <c r="E433" s="422">
        <f>VLOOKUP($B433,[1]DG!A:D,[1]DG!$B$2,)</f>
        <v>0</v>
      </c>
      <c r="F433" s="434" t="str">
        <f>VLOOKUP($B433,[1]DG!A:D,[1]DG!$C$2,)</f>
        <v>Cát vàng</v>
      </c>
      <c r="G433" s="422" t="str">
        <f>VLOOKUP($B433,[1]DG!A:D,[1]DG!$D$2,)</f>
        <v>m3</v>
      </c>
      <c r="H433" s="436">
        <f t="shared" si="74"/>
        <v>0</v>
      </c>
      <c r="I433" s="436">
        <f t="shared" si="75"/>
        <v>0</v>
      </c>
      <c r="J433" s="436">
        <f t="shared" si="75"/>
        <v>0</v>
      </c>
      <c r="K433" s="436">
        <f t="shared" si="75"/>
        <v>0</v>
      </c>
      <c r="L433" s="436">
        <f t="shared" si="75"/>
        <v>0</v>
      </c>
      <c r="M433" s="436">
        <f t="shared" si="75"/>
        <v>0</v>
      </c>
      <c r="N433" s="436">
        <f t="shared" si="75"/>
        <v>0</v>
      </c>
      <c r="O433" s="436">
        <f t="shared" si="75"/>
        <v>0</v>
      </c>
      <c r="P433" s="436"/>
      <c r="Q433" s="444"/>
      <c r="R433" s="444"/>
      <c r="S433" s="444"/>
      <c r="T433" s="432">
        <f t="shared" si="67"/>
        <v>0</v>
      </c>
    </row>
    <row r="434" spans="1:20" ht="22.2" hidden="1" customHeight="1">
      <c r="A434" s="379" t="s">
        <v>38</v>
      </c>
      <c r="B434" s="438" t="s">
        <v>580</v>
      </c>
      <c r="C434" s="411" t="str">
        <f t="shared" si="68"/>
        <v xml:space="preserve"> </v>
      </c>
      <c r="D434" s="443">
        <v>0.999</v>
      </c>
      <c r="E434" s="422">
        <f>VLOOKUP($B434,[1]DG!A:D,[1]DG!$B$2,)</f>
        <v>0</v>
      </c>
      <c r="F434" s="434" t="str">
        <f>VLOOKUP($B434,[1]DG!A:D,[1]DG!$C$2,)</f>
        <v>Đá 1x2</v>
      </c>
      <c r="G434" s="422" t="str">
        <f>VLOOKUP($B434,[1]DG!A:D,[1]DG!$D$2,)</f>
        <v>m3</v>
      </c>
      <c r="H434" s="436">
        <f t="shared" si="74"/>
        <v>0</v>
      </c>
      <c r="I434" s="436">
        <f t="shared" si="75"/>
        <v>0</v>
      </c>
      <c r="J434" s="436">
        <f t="shared" si="75"/>
        <v>0</v>
      </c>
      <c r="K434" s="436">
        <f t="shared" si="75"/>
        <v>0</v>
      </c>
      <c r="L434" s="436">
        <f t="shared" si="75"/>
        <v>0</v>
      </c>
      <c r="M434" s="436">
        <f t="shared" si="75"/>
        <v>0</v>
      </c>
      <c r="N434" s="436">
        <f t="shared" si="75"/>
        <v>0</v>
      </c>
      <c r="O434" s="436">
        <f t="shared" si="75"/>
        <v>0</v>
      </c>
      <c r="P434" s="436"/>
      <c r="Q434" s="444"/>
      <c r="R434" s="444"/>
      <c r="S434" s="444"/>
      <c r="T434" s="432">
        <f t="shared" si="67"/>
        <v>0</v>
      </c>
    </row>
    <row r="435" spans="1:20" ht="22.2" hidden="1" customHeight="1">
      <c r="A435" s="379"/>
      <c r="B435" s="438" t="s">
        <v>181</v>
      </c>
      <c r="C435" s="411" t="str">
        <f t="shared" si="68"/>
        <v xml:space="preserve"> </v>
      </c>
      <c r="D435" s="443">
        <v>31.1</v>
      </c>
      <c r="E435" s="422">
        <f>VLOOKUP($B435,[1]DG!A:D,[1]DG!$B$2,)</f>
        <v>0</v>
      </c>
      <c r="F435" s="441" t="str">
        <f>VLOOKUP($B435,[1]DG!A:D,[1]DG!$C$2,)</f>
        <v>Sắt Ø10</v>
      </c>
      <c r="G435" s="422" t="str">
        <f>VLOOKUP($B435,[1]DG!A:D,[1]DG!$D$2,)</f>
        <v>kg</v>
      </c>
      <c r="H435" s="436">
        <f t="shared" si="74"/>
        <v>0</v>
      </c>
      <c r="I435" s="436">
        <f t="shared" si="75"/>
        <v>0</v>
      </c>
      <c r="J435" s="436">
        <f t="shared" si="75"/>
        <v>0</v>
      </c>
      <c r="K435" s="436">
        <f t="shared" si="75"/>
        <v>0</v>
      </c>
      <c r="L435" s="436">
        <f t="shared" si="75"/>
        <v>0</v>
      </c>
      <c r="M435" s="436">
        <f t="shared" si="75"/>
        <v>0</v>
      </c>
      <c r="N435" s="436">
        <f t="shared" si="75"/>
        <v>0</v>
      </c>
      <c r="O435" s="436">
        <f t="shared" si="75"/>
        <v>0</v>
      </c>
      <c r="P435" s="436"/>
      <c r="Q435" s="444"/>
      <c r="R435" s="444"/>
      <c r="S435" s="444"/>
      <c r="T435" s="432">
        <f t="shared" si="67"/>
        <v>0</v>
      </c>
    </row>
    <row r="436" spans="1:20" ht="22.2" hidden="1" customHeight="1">
      <c r="A436" s="379" t="s">
        <v>38</v>
      </c>
      <c r="B436" s="438" t="s">
        <v>725</v>
      </c>
      <c r="C436" s="411" t="str">
        <f t="shared" si="68"/>
        <v xml:space="preserve"> </v>
      </c>
      <c r="D436" s="443">
        <v>0.67</v>
      </c>
      <c r="E436" s="422">
        <f>VLOOKUP($B436,[1]DG!A:D,[1]DG!$B$2,)</f>
        <v>0</v>
      </c>
      <c r="F436" s="441" t="str">
        <f>VLOOKUP($B436,[1]DG!A:D,[1]DG!$C$2,)</f>
        <v>Kẽm</v>
      </c>
      <c r="G436" s="422" t="str">
        <f>VLOOKUP($B436,[1]DG!A:D,[1]DG!$D$2,)</f>
        <v>kg</v>
      </c>
      <c r="H436" s="436">
        <f t="shared" si="74"/>
        <v>0</v>
      </c>
      <c r="I436" s="436">
        <f t="shared" si="75"/>
        <v>0</v>
      </c>
      <c r="J436" s="436">
        <f t="shared" si="75"/>
        <v>0</v>
      </c>
      <c r="K436" s="436">
        <f t="shared" si="75"/>
        <v>0</v>
      </c>
      <c r="L436" s="436">
        <f t="shared" si="75"/>
        <v>0</v>
      </c>
      <c r="M436" s="436">
        <f t="shared" si="75"/>
        <v>0</v>
      </c>
      <c r="N436" s="436">
        <f t="shared" si="75"/>
        <v>0</v>
      </c>
      <c r="O436" s="436">
        <f t="shared" si="75"/>
        <v>0</v>
      </c>
      <c r="P436" s="436"/>
      <c r="Q436" s="444"/>
      <c r="R436" s="444"/>
      <c r="S436" s="444"/>
      <c r="T436" s="432">
        <f t="shared" si="67"/>
        <v>0</v>
      </c>
    </row>
    <row r="437" spans="1:20" ht="22.2" hidden="1" customHeight="1">
      <c r="A437" s="379"/>
      <c r="B437" s="438" t="s">
        <v>75</v>
      </c>
      <c r="C437" s="411" t="str">
        <f t="shared" si="68"/>
        <v xml:space="preserve"> </v>
      </c>
      <c r="D437" s="443">
        <v>1.36</v>
      </c>
      <c r="E437" s="422" t="str">
        <f>VLOOKUP($B437,[1]DG!A:D,[1]DG!$B$2,)</f>
        <v>03.1013</v>
      </c>
      <c r="F437" s="434" t="str">
        <f>VLOOKUP($B437,[1]DG!A:D,[1]DG!$C$2,)</f>
        <v>Đào hố móng đất cấp 3 sâu &gt;1m</v>
      </c>
      <c r="G437" s="422" t="str">
        <f>VLOOKUP($B437,[1]DG!A:D,[1]DG!$D$2,)</f>
        <v>m3</v>
      </c>
      <c r="H437" s="436">
        <f t="shared" si="74"/>
        <v>0</v>
      </c>
      <c r="I437" s="436"/>
      <c r="J437" s="436"/>
      <c r="K437" s="436"/>
      <c r="L437" s="436"/>
      <c r="M437" s="436"/>
      <c r="N437" s="436"/>
      <c r="O437" s="436"/>
      <c r="P437" s="436"/>
      <c r="Q437" s="444"/>
      <c r="R437" s="444"/>
      <c r="S437" s="444"/>
      <c r="T437" s="432">
        <f t="shared" si="67"/>
        <v>0</v>
      </c>
    </row>
    <row r="438" spans="1:20" ht="22.2" hidden="1" customHeight="1">
      <c r="A438" s="379"/>
      <c r="B438" s="438" t="s">
        <v>76</v>
      </c>
      <c r="C438" s="411" t="str">
        <f t="shared" si="68"/>
        <v xml:space="preserve"> </v>
      </c>
      <c r="D438" s="443">
        <v>0</v>
      </c>
      <c r="E438" s="422" t="str">
        <f>VLOOKUP($B438,[1]DG!A:D,[1]DG!$B$2,)</f>
        <v>03.4113</v>
      </c>
      <c r="F438" s="434" t="str">
        <f>VLOOKUP($B438,[1]DG!A:D,[1]DG!$C$2,)</f>
        <v>Đắp đất hố móng, độ chặt k=0,95</v>
      </c>
      <c r="G438" s="422" t="str">
        <f>VLOOKUP($B438,[1]DG!A:D,[1]DG!$D$2,)</f>
        <v>m3</v>
      </c>
      <c r="H438" s="436">
        <f t="shared" si="74"/>
        <v>0</v>
      </c>
      <c r="I438" s="436"/>
      <c r="J438" s="436"/>
      <c r="K438" s="436"/>
      <c r="L438" s="436"/>
      <c r="M438" s="436"/>
      <c r="N438" s="436"/>
      <c r="O438" s="436"/>
      <c r="P438" s="436"/>
      <c r="Q438" s="444"/>
      <c r="R438" s="444"/>
      <c r="S438" s="444"/>
      <c r="T438" s="432">
        <f t="shared" si="67"/>
        <v>0</v>
      </c>
    </row>
    <row r="439" spans="1:20" ht="22.2" hidden="1" customHeight="1">
      <c r="A439" s="379"/>
      <c r="B439" s="438" t="s">
        <v>646</v>
      </c>
      <c r="C439" s="411" t="str">
        <f t="shared" si="68"/>
        <v xml:space="preserve"> </v>
      </c>
      <c r="D439" s="443"/>
      <c r="E439" s="422" t="str">
        <f>VLOOKUP($B439,[1]DG!A:D,[1]DG!$B$2,)</f>
        <v>02.1101</v>
      </c>
      <c r="F439" s="434" t="str">
        <f>VLOOKUP($B439,[1]DG!A:D,[1]DG!$C$2,)</f>
        <v>Bốc dỡ xi măng</v>
      </c>
      <c r="G439" s="422" t="str">
        <f>VLOOKUP($B439,[1]DG!A:D,[1]DG!$D$2,)</f>
        <v>tấn</v>
      </c>
      <c r="H439" s="436">
        <f t="shared" si="74"/>
        <v>0</v>
      </c>
      <c r="I439" s="436"/>
      <c r="J439" s="436"/>
      <c r="K439" s="436"/>
      <c r="L439" s="436"/>
      <c r="M439" s="436"/>
      <c r="N439" s="436"/>
      <c r="O439" s="436"/>
      <c r="P439" s="436"/>
      <c r="Q439" s="444"/>
      <c r="R439" s="444"/>
      <c r="S439" s="444"/>
      <c r="T439" s="432">
        <f t="shared" si="67"/>
        <v>0</v>
      </c>
    </row>
    <row r="440" spans="1:20" ht="22.2" hidden="1" customHeight="1">
      <c r="A440" s="379"/>
      <c r="B440" s="438" t="s">
        <v>647</v>
      </c>
      <c r="C440" s="411" t="str">
        <f t="shared" si="68"/>
        <v xml:space="preserve"> </v>
      </c>
      <c r="D440" s="443"/>
      <c r="E440" s="422" t="str">
        <f>VLOOKUP($B440,[1]DG!A:D,[1]DG!$B$2,)</f>
        <v>02.1103</v>
      </c>
      <c r="F440" s="434" t="str">
        <f>VLOOKUP($B440,[1]DG!A:D,[1]DG!$C$2,)</f>
        <v>Bốc dỡ cát</v>
      </c>
      <c r="G440" s="422" t="str">
        <f>VLOOKUP($B440,[1]DG!A:D,[1]DG!$D$2,)</f>
        <v>m3</v>
      </c>
      <c r="H440" s="436">
        <f t="shared" si="74"/>
        <v>0</v>
      </c>
      <c r="I440" s="436"/>
      <c r="J440" s="436"/>
      <c r="K440" s="436"/>
      <c r="L440" s="436"/>
      <c r="M440" s="436"/>
      <c r="N440" s="436"/>
      <c r="O440" s="436"/>
      <c r="P440" s="436"/>
      <c r="Q440" s="444"/>
      <c r="R440" s="444"/>
      <c r="S440" s="444"/>
      <c r="T440" s="432">
        <f t="shared" si="67"/>
        <v>0</v>
      </c>
    </row>
    <row r="441" spans="1:20" ht="22.2" hidden="1" customHeight="1">
      <c r="A441" s="379"/>
      <c r="B441" s="438" t="s">
        <v>648</v>
      </c>
      <c r="C441" s="411" t="str">
        <f t="shared" si="68"/>
        <v xml:space="preserve"> </v>
      </c>
      <c r="D441" s="443"/>
      <c r="E441" s="422" t="str">
        <f>VLOOKUP($B441,[1]DG!A:D,[1]DG!$B$2,)</f>
        <v>02.1104</v>
      </c>
      <c r="F441" s="434" t="str">
        <f>VLOOKUP($B441,[1]DG!A:D,[1]DG!$C$2,)</f>
        <v>Bốc dỡ đá dăm</v>
      </c>
      <c r="G441" s="422" t="str">
        <f>VLOOKUP($B441,[1]DG!A:D,[1]DG!$D$2,)</f>
        <v>m3</v>
      </c>
      <c r="H441" s="436">
        <f t="shared" si="74"/>
        <v>0</v>
      </c>
      <c r="I441" s="436"/>
      <c r="J441" s="436"/>
      <c r="K441" s="436"/>
      <c r="L441" s="436"/>
      <c r="M441" s="436"/>
      <c r="N441" s="436"/>
      <c r="O441" s="436"/>
      <c r="P441" s="436"/>
      <c r="Q441" s="444"/>
      <c r="R441" s="444"/>
      <c r="S441" s="444"/>
      <c r="T441" s="432">
        <f t="shared" si="67"/>
        <v>0</v>
      </c>
    </row>
    <row r="442" spans="1:20" ht="22.2" hidden="1" customHeight="1">
      <c r="A442" s="379"/>
      <c r="B442" s="438" t="s">
        <v>650</v>
      </c>
      <c r="C442" s="411" t="str">
        <f t="shared" si="68"/>
        <v xml:space="preserve"> </v>
      </c>
      <c r="D442" s="443"/>
      <c r="E442" s="422" t="str">
        <f>VLOOKUP($B442,[1]DG!A:D,[1]DG!$B$2,)</f>
        <v>02.1211</v>
      </c>
      <c r="F442" s="434" t="str">
        <f>VLOOKUP($B442,[1]DG!A:D,[1]DG!$C$2,)</f>
        <v>V/c xi măng ( cự ly &lt;=100m)</v>
      </c>
      <c r="G442" s="422" t="str">
        <f>VLOOKUP($B442,[1]DG!A:D,[1]DG!$D$2,)</f>
        <v>tấn</v>
      </c>
      <c r="H442" s="436">
        <f t="shared" si="74"/>
        <v>0</v>
      </c>
      <c r="I442" s="436"/>
      <c r="J442" s="436"/>
      <c r="K442" s="436"/>
      <c r="L442" s="436"/>
      <c r="M442" s="436"/>
      <c r="N442" s="436"/>
      <c r="O442" s="436"/>
      <c r="P442" s="436"/>
      <c r="Q442" s="444"/>
      <c r="R442" s="444"/>
      <c r="S442" s="444"/>
      <c r="T442" s="432">
        <f t="shared" si="67"/>
        <v>0</v>
      </c>
    </row>
    <row r="443" spans="1:20" ht="22.2" hidden="1" customHeight="1">
      <c r="A443" s="379"/>
      <c r="B443" s="438" t="s">
        <v>651</v>
      </c>
      <c r="C443" s="411" t="str">
        <f t="shared" si="68"/>
        <v xml:space="preserve"> </v>
      </c>
      <c r="D443" s="443"/>
      <c r="E443" s="422" t="str">
        <f>VLOOKUP($B443,[1]DG!A:D,[1]DG!$B$2,)</f>
        <v>02.1231</v>
      </c>
      <c r="F443" s="434" t="str">
        <f>VLOOKUP($B443,[1]DG!A:D,[1]DG!$C$2,)</f>
        <v>V/c cát vàng cự ly &lt;=100m</v>
      </c>
      <c r="G443" s="422" t="str">
        <f>VLOOKUP($B443,[1]DG!A:D,[1]DG!$D$2,)</f>
        <v>m3</v>
      </c>
      <c r="H443" s="436">
        <f t="shared" si="74"/>
        <v>0</v>
      </c>
      <c r="I443" s="436"/>
      <c r="J443" s="436"/>
      <c r="K443" s="436"/>
      <c r="L443" s="436"/>
      <c r="M443" s="436"/>
      <c r="N443" s="436"/>
      <c r="O443" s="436"/>
      <c r="P443" s="436"/>
      <c r="Q443" s="444"/>
      <c r="R443" s="444"/>
      <c r="S443" s="444"/>
      <c r="T443" s="432">
        <f t="shared" si="67"/>
        <v>0</v>
      </c>
    </row>
    <row r="444" spans="1:20" ht="22.2" hidden="1" customHeight="1">
      <c r="A444" s="379"/>
      <c r="B444" s="438" t="s">
        <v>652</v>
      </c>
      <c r="C444" s="411" t="str">
        <f t="shared" si="68"/>
        <v xml:space="preserve"> </v>
      </c>
      <c r="D444" s="443"/>
      <c r="E444" s="422" t="str">
        <f>VLOOKUP($B444,[1]DG!A:D,[1]DG!$B$2,)</f>
        <v>02.1241</v>
      </c>
      <c r="F444" s="434" t="str">
        <f>VLOOKUP($B444,[1]DG!A:D,[1]DG!$C$2,)</f>
        <v>V/c đá dăm ( cự ly &lt;=100m)</v>
      </c>
      <c r="G444" s="422" t="str">
        <f>VLOOKUP($B444,[1]DG!A:D,[1]DG!$D$2,)</f>
        <v>m3</v>
      </c>
      <c r="H444" s="436">
        <f t="shared" si="74"/>
        <v>0</v>
      </c>
      <c r="I444" s="436"/>
      <c r="J444" s="436"/>
      <c r="K444" s="436"/>
      <c r="L444" s="436"/>
      <c r="M444" s="436"/>
      <c r="N444" s="436"/>
      <c r="O444" s="436"/>
      <c r="P444" s="436"/>
      <c r="Q444" s="444"/>
      <c r="R444" s="444"/>
      <c r="S444" s="444"/>
      <c r="T444" s="432">
        <f t="shared" si="67"/>
        <v>0</v>
      </c>
    </row>
    <row r="445" spans="1:20" ht="22.2" hidden="1" customHeight="1">
      <c r="A445" s="379"/>
      <c r="B445" s="438" t="s">
        <v>653</v>
      </c>
      <c r="C445" s="411" t="str">
        <f t="shared" si="68"/>
        <v xml:space="preserve"> </v>
      </c>
      <c r="D445" s="443"/>
      <c r="E445" s="422" t="str">
        <f>VLOOKUP($B445,[1]DG!A:D,[1]DG!$B$2,)</f>
        <v>02.1482</v>
      </c>
      <c r="F445" s="434" t="str">
        <f>VLOOKUP($B445,[1]DG!A:D,[1]DG!$C$2,)</f>
        <v>V/c dụng cụ thi công ( cự ly &lt;=100m)</v>
      </c>
      <c r="G445" s="422" t="str">
        <f>VLOOKUP($B445,[1]DG!A:D,[1]DG!$D$2,)</f>
        <v>tấn</v>
      </c>
      <c r="H445" s="436">
        <f t="shared" si="74"/>
        <v>0</v>
      </c>
      <c r="I445" s="436"/>
      <c r="J445" s="436"/>
      <c r="K445" s="436"/>
      <c r="L445" s="436"/>
      <c r="M445" s="436"/>
      <c r="N445" s="436"/>
      <c r="O445" s="436"/>
      <c r="P445" s="436"/>
      <c r="Q445" s="444"/>
      <c r="R445" s="444"/>
      <c r="S445" s="444"/>
      <c r="T445" s="432">
        <f t="shared" si="67"/>
        <v>0</v>
      </c>
    </row>
    <row r="446" spans="1:20" ht="22.2" hidden="1" customHeight="1">
      <c r="A446" s="379"/>
      <c r="B446" s="438" t="s">
        <v>726</v>
      </c>
      <c r="C446" s="411" t="str">
        <f t="shared" si="68"/>
        <v xml:space="preserve"> </v>
      </c>
      <c r="D446" s="443">
        <f>D435</f>
        <v>31.1</v>
      </c>
      <c r="E446" s="422" t="str">
        <f>VLOOKUP($B446,[1]DG!A:D,[1]DG!$B$2,)</f>
        <v>04.5101</v>
      </c>
      <c r="F446" s="434" t="str">
        <f>VLOOKUP($B446,[1]DG!A:D,[1]DG!$C$2,)</f>
        <v>Gia công và lắp dựng cốt thép D&lt;=10</v>
      </c>
      <c r="G446" s="422" t="str">
        <f>VLOOKUP($B446,[1]DG!A:D,[1]DG!$D$2,)</f>
        <v>kg</v>
      </c>
      <c r="H446" s="436">
        <f t="shared" si="74"/>
        <v>0</v>
      </c>
      <c r="I446" s="436"/>
      <c r="J446" s="436"/>
      <c r="K446" s="436"/>
      <c r="L446" s="436"/>
      <c r="M446" s="436"/>
      <c r="N446" s="436"/>
      <c r="O446" s="436"/>
      <c r="P446" s="436"/>
      <c r="Q446" s="444"/>
      <c r="R446" s="444"/>
      <c r="S446" s="444"/>
      <c r="T446" s="432">
        <f t="shared" si="67"/>
        <v>0</v>
      </c>
    </row>
    <row r="447" spans="1:20" ht="22.2" hidden="1" customHeight="1">
      <c r="A447" s="379"/>
      <c r="B447" s="438" t="s">
        <v>676</v>
      </c>
      <c r="C447" s="411" t="str">
        <f t="shared" si="68"/>
        <v xml:space="preserve"> </v>
      </c>
      <c r="D447" s="443">
        <v>1.1339999999999999</v>
      </c>
      <c r="E447" s="422" t="str">
        <f>VLOOKUP($B447,[1]DG!A:D,[1]DG!$B$2,)</f>
        <v>04.1203b</v>
      </c>
      <c r="F447" s="434" t="str">
        <f>VLOOKUP($B447,[1]DG!A:D,[1]DG!$C$2,)</f>
        <v>Đổ bê tông mác M150 đá 1x2</v>
      </c>
      <c r="G447" s="422" t="str">
        <f>VLOOKUP($B447,[1]DG!A:D,[1]DG!$D$2,)</f>
        <v>m3</v>
      </c>
      <c r="H447" s="436">
        <f t="shared" si="74"/>
        <v>0</v>
      </c>
      <c r="I447" s="436"/>
      <c r="J447" s="436"/>
      <c r="K447" s="436"/>
      <c r="L447" s="436"/>
      <c r="M447" s="436"/>
      <c r="N447" s="436"/>
      <c r="O447" s="436"/>
      <c r="P447" s="436"/>
      <c r="Q447" s="444"/>
      <c r="R447" s="444"/>
      <c r="S447" s="444"/>
      <c r="T447" s="432">
        <f t="shared" si="67"/>
        <v>0</v>
      </c>
    </row>
    <row r="448" spans="1:20" ht="22.2" hidden="1" customHeight="1">
      <c r="A448" s="423" t="s">
        <v>755</v>
      </c>
      <c r="B448" s="424" t="s">
        <v>755</v>
      </c>
      <c r="C448" s="425" t="str">
        <f t="shared" si="68"/>
        <v xml:space="preserve"> </v>
      </c>
      <c r="D448" s="426"/>
      <c r="E448" s="427"/>
      <c r="F448" s="428" t="s">
        <v>756</v>
      </c>
      <c r="G448" s="349" t="s">
        <v>344</v>
      </c>
      <c r="H448" s="429">
        <f>SUM(I448:O448)</f>
        <v>0</v>
      </c>
      <c r="I448" s="430"/>
      <c r="J448" s="430"/>
      <c r="K448" s="430">
        <f>IFERROR(HLOOKUP(B448,[1]pp3p1m!$1:$3,3,0),0)</f>
        <v>0</v>
      </c>
      <c r="L448" s="430">
        <f>IFERROR(HLOOKUP(chitiet!B448,[1]pp1p!$1:$3,3,0),0)</f>
        <v>0</v>
      </c>
      <c r="M448" s="430"/>
      <c r="N448" s="430"/>
      <c r="O448" s="430"/>
      <c r="P448" s="430"/>
      <c r="Q448" s="431"/>
      <c r="R448" s="431"/>
      <c r="S448" s="431"/>
      <c r="T448" s="432">
        <f>IFERROR(HLOOKUP(B448,[1]pp1p!$1:$3,3,0),0)+IFERROR(HLOOKUP(B448,[1]pp3p1m!$1:$3,3,0),0)</f>
        <v>0</v>
      </c>
    </row>
    <row r="449" spans="1:20" ht="22.2" hidden="1" customHeight="1">
      <c r="A449" s="379"/>
      <c r="B449" s="410" t="s">
        <v>73</v>
      </c>
      <c r="C449" s="411" t="str">
        <f t="shared" si="68"/>
        <v xml:space="preserve"> </v>
      </c>
      <c r="D449" s="446">
        <v>2</v>
      </c>
      <c r="E449" s="422" t="str">
        <f>VLOOKUP($B449,[1]DG!A:D,[1]DG!$B$2,)</f>
        <v>04.4001</v>
      </c>
      <c r="F449" s="441" t="str">
        <f>VLOOKUP($B449,[1]DG!A:D,[1]DG!$C$2,)</f>
        <v>Đà cản BTCT 1,2m</v>
      </c>
      <c r="G449" s="422" t="str">
        <f>VLOOKUP($B449,[1]DG!A:D,[1]DG!$D$2,)</f>
        <v>cái</v>
      </c>
      <c r="H449" s="436">
        <f t="shared" ref="H449:N450" si="76">H$448*$D449</f>
        <v>0</v>
      </c>
      <c r="I449" s="436">
        <f t="shared" si="76"/>
        <v>0</v>
      </c>
      <c r="J449" s="436">
        <f t="shared" si="76"/>
        <v>0</v>
      </c>
      <c r="K449" s="436">
        <f t="shared" si="76"/>
        <v>0</v>
      </c>
      <c r="L449" s="436">
        <f t="shared" si="76"/>
        <v>0</v>
      </c>
      <c r="M449" s="436">
        <f t="shared" si="76"/>
        <v>0</v>
      </c>
      <c r="N449" s="436">
        <f t="shared" si="76"/>
        <v>0</v>
      </c>
      <c r="O449" s="436"/>
      <c r="P449" s="436"/>
      <c r="Q449" s="447"/>
      <c r="R449" s="447"/>
      <c r="S449" s="447"/>
      <c r="T449" s="432">
        <f t="shared" si="67"/>
        <v>0</v>
      </c>
    </row>
    <row r="450" spans="1:20" ht="22.2" hidden="1" customHeight="1">
      <c r="A450" s="379"/>
      <c r="B450" s="410" t="s">
        <v>74</v>
      </c>
      <c r="C450" s="411" t="str">
        <f t="shared" si="68"/>
        <v xml:space="preserve"> </v>
      </c>
      <c r="D450" s="446">
        <v>2</v>
      </c>
      <c r="E450" s="422"/>
      <c r="F450" s="441" t="str">
        <f>VLOOKUP($B450,[1]DG!A:D,[1]DG!$C$2,)</f>
        <v>Boulon 22x650+ 2 long đền vuông D24-50x50x3/Zn</v>
      </c>
      <c r="G450" s="422" t="str">
        <f>VLOOKUP($B450,[1]DG!A:D,[1]DG!$D$2,)</f>
        <v>bộ</v>
      </c>
      <c r="H450" s="436">
        <f t="shared" si="76"/>
        <v>0</v>
      </c>
      <c r="I450" s="436">
        <f t="shared" si="76"/>
        <v>0</v>
      </c>
      <c r="J450" s="436">
        <f t="shared" si="76"/>
        <v>0</v>
      </c>
      <c r="K450" s="436">
        <f t="shared" si="76"/>
        <v>0</v>
      </c>
      <c r="L450" s="436">
        <f t="shared" si="76"/>
        <v>0</v>
      </c>
      <c r="M450" s="436">
        <f t="shared" si="76"/>
        <v>0</v>
      </c>
      <c r="N450" s="436">
        <f t="shared" si="76"/>
        <v>0</v>
      </c>
      <c r="O450" s="436"/>
      <c r="P450" s="436"/>
      <c r="Q450" s="447"/>
      <c r="R450" s="447"/>
      <c r="S450" s="447"/>
      <c r="T450" s="432">
        <f t="shared" si="67"/>
        <v>0</v>
      </c>
    </row>
    <row r="451" spans="1:20" ht="22.2" hidden="1" customHeight="1">
      <c r="A451" s="379"/>
      <c r="B451" s="410" t="s">
        <v>75</v>
      </c>
      <c r="C451" s="411" t="str">
        <f t="shared" si="68"/>
        <v xml:space="preserve"> </v>
      </c>
      <c r="D451" s="445">
        <v>10.33</v>
      </c>
      <c r="E451" s="422" t="str">
        <f>VLOOKUP($B451,[1]DG!A:D,[1]DG!$B$2,)</f>
        <v>03.1013</v>
      </c>
      <c r="F451" s="434" t="str">
        <f>VLOOKUP($B451,[1]DG!A:D,[1]DG!$C$2,)</f>
        <v>Đào hố móng đất cấp 3 sâu &gt;1m</v>
      </c>
      <c r="G451" s="422" t="str">
        <f>VLOOKUP($B451,[1]DG!A:D,[1]DG!$D$2,)</f>
        <v>m3</v>
      </c>
      <c r="H451" s="436"/>
      <c r="I451" s="436"/>
      <c r="J451" s="436"/>
      <c r="K451" s="436"/>
      <c r="L451" s="436"/>
      <c r="M451" s="436"/>
      <c r="N451" s="436"/>
      <c r="O451" s="436"/>
      <c r="P451" s="436"/>
      <c r="Q451" s="444"/>
      <c r="R451" s="444"/>
      <c r="S451" s="444"/>
      <c r="T451" s="432">
        <f t="shared" si="67"/>
        <v>0</v>
      </c>
    </row>
    <row r="452" spans="1:20" ht="22.2" hidden="1" customHeight="1">
      <c r="A452" s="379"/>
      <c r="B452" s="410" t="s">
        <v>76</v>
      </c>
      <c r="C452" s="411" t="str">
        <f t="shared" si="68"/>
        <v xml:space="preserve"> </v>
      </c>
      <c r="D452" s="445">
        <v>11.93</v>
      </c>
      <c r="E452" s="422" t="str">
        <f>VLOOKUP($B452,[1]DG!A:D,[1]DG!$B$2,)</f>
        <v>03.4113</v>
      </c>
      <c r="F452" s="434" t="str">
        <f>VLOOKUP($B452,[1]DG!A:D,[1]DG!$C$2,)</f>
        <v>Đắp đất hố móng, độ chặt k=0,95</v>
      </c>
      <c r="G452" s="422" t="str">
        <f>VLOOKUP($B452,[1]DG!A:D,[1]DG!$D$2,)</f>
        <v>m3</v>
      </c>
      <c r="H452" s="436"/>
      <c r="I452" s="436"/>
      <c r="J452" s="436"/>
      <c r="K452" s="436"/>
      <c r="L452" s="436"/>
      <c r="M452" s="436"/>
      <c r="N452" s="436"/>
      <c r="O452" s="436"/>
      <c r="P452" s="436"/>
      <c r="Q452" s="444"/>
      <c r="R452" s="444"/>
      <c r="S452" s="444"/>
      <c r="T452" s="432">
        <f t="shared" si="67"/>
        <v>0</v>
      </c>
    </row>
    <row r="453" spans="1:20" ht="22.2" hidden="1" customHeight="1">
      <c r="A453" s="379"/>
      <c r="B453" s="410" t="s">
        <v>624</v>
      </c>
      <c r="C453" s="411" t="str">
        <f t="shared" si="68"/>
        <v xml:space="preserve"> </v>
      </c>
      <c r="D453" s="445">
        <f>0.1*D449</f>
        <v>0.2</v>
      </c>
      <c r="E453" s="422" t="str">
        <f>VLOOKUP($B453,[1]DG!A:D,[1]DG!$B$2,)</f>
        <v>02.1123</v>
      </c>
      <c r="F453" s="434" t="str">
        <f>VLOOKUP($B453,[1]DG!A:D,[1]DG!$C$2,)</f>
        <v>Bốc dỡ đà cản, đế néo</v>
      </c>
      <c r="G453" s="422" t="str">
        <f>VLOOKUP($B453,[1]DG!A:D,[1]DG!$D$2,)</f>
        <v>tấn</v>
      </c>
      <c r="H453" s="436"/>
      <c r="I453" s="436"/>
      <c r="J453" s="436"/>
      <c r="K453" s="436"/>
      <c r="L453" s="436"/>
      <c r="M453" s="436"/>
      <c r="N453" s="436"/>
      <c r="O453" s="436"/>
      <c r="P453" s="436"/>
      <c r="Q453" s="447"/>
      <c r="R453" s="447"/>
      <c r="S453" s="447"/>
      <c r="T453" s="432">
        <f t="shared" si="67"/>
        <v>0</v>
      </c>
    </row>
    <row r="454" spans="1:20" ht="22.2" hidden="1" customHeight="1">
      <c r="A454" s="379"/>
      <c r="B454" s="438" t="s">
        <v>625</v>
      </c>
      <c r="C454" s="411" t="str">
        <f t="shared" si="68"/>
        <v xml:space="preserve"> </v>
      </c>
      <c r="D454" s="445">
        <f>+D453</f>
        <v>0.2</v>
      </c>
      <c r="E454" s="422" t="str">
        <f>VLOOKUP($B454,[1]DG!A:C,2,)</f>
        <v>02.1451</v>
      </c>
      <c r="F454" s="434" t="str">
        <f>VLOOKUP($B454,[1]DG!A:C,3,)</f>
        <v>V/c đà cản vào vị trí (cự ly &lt;=100m)</v>
      </c>
      <c r="G454" s="422" t="str">
        <f>VLOOKUP($B454,[1]DG!A:D,4,0)</f>
        <v>tấn</v>
      </c>
      <c r="H454" s="436"/>
      <c r="I454" s="436"/>
      <c r="J454" s="436"/>
      <c r="K454" s="436"/>
      <c r="L454" s="436"/>
      <c r="M454" s="436"/>
      <c r="N454" s="436"/>
      <c r="O454" s="436"/>
      <c r="P454" s="436"/>
      <c r="Q454" s="444"/>
      <c r="R454" s="444"/>
      <c r="S454" s="444"/>
      <c r="T454" s="432">
        <f t="shared" si="67"/>
        <v>0</v>
      </c>
    </row>
    <row r="455" spans="1:20" ht="22.2" hidden="1" customHeight="1">
      <c r="A455" s="379"/>
      <c r="B455" s="438" t="s">
        <v>620</v>
      </c>
      <c r="C455" s="411" t="str">
        <f t="shared" si="68"/>
        <v xml:space="preserve"> </v>
      </c>
      <c r="D455" s="445">
        <v>0.2</v>
      </c>
      <c r="E455" s="422" t="str">
        <f>VLOOKUP($B455,[1]DG!A:C,2,)</f>
        <v>02.1482</v>
      </c>
      <c r="F455" s="434" t="str">
        <f>VLOOKUP($B455,[1]DG!A:C,3,)</f>
        <v>V/c dụng cụ thi công vào vị trí (cự ly &lt;=100m)</v>
      </c>
      <c r="G455" s="422" t="str">
        <f>VLOOKUP($B455,[1]DG!A:D,4,0)</f>
        <v>tấn</v>
      </c>
      <c r="H455" s="436"/>
      <c r="I455" s="436"/>
      <c r="J455" s="436"/>
      <c r="K455" s="436"/>
      <c r="L455" s="436"/>
      <c r="M455" s="436"/>
      <c r="N455" s="436"/>
      <c r="O455" s="436"/>
      <c r="P455" s="436"/>
      <c r="Q455" s="444"/>
      <c r="R455" s="444"/>
      <c r="S455" s="444"/>
      <c r="T455" s="432">
        <f t="shared" si="67"/>
        <v>0</v>
      </c>
    </row>
    <row r="456" spans="1:20" ht="22.2" hidden="1" customHeight="1">
      <c r="A456" s="423" t="s">
        <v>757</v>
      </c>
      <c r="B456" s="424" t="s">
        <v>757</v>
      </c>
      <c r="C456" s="425" t="str">
        <f t="shared" si="68"/>
        <v xml:space="preserve"> </v>
      </c>
      <c r="D456" s="426"/>
      <c r="E456" s="427"/>
      <c r="F456" s="428" t="s">
        <v>758</v>
      </c>
      <c r="G456" s="349" t="s">
        <v>344</v>
      </c>
      <c r="H456" s="429">
        <f>SUM(I456:O456)</f>
        <v>0</v>
      </c>
      <c r="I456" s="430"/>
      <c r="J456" s="430"/>
      <c r="K456" s="430">
        <f>IFERROR(HLOOKUP(B456,[1]pp3p1m!$1:$3,3,0),0)</f>
        <v>0</v>
      </c>
      <c r="L456" s="430">
        <f>IFERROR(HLOOKUP(chitiet!B456,[1]pp1p!$1:$3,3,0),0)</f>
        <v>0</v>
      </c>
      <c r="M456" s="430"/>
      <c r="N456" s="430"/>
      <c r="O456" s="430"/>
      <c r="P456" s="430"/>
      <c r="Q456" s="431"/>
      <c r="R456" s="431"/>
      <c r="S456" s="431"/>
      <c r="T456" s="432">
        <f>IFERROR(HLOOKUP(B456,[1]pp1p!$1:$3,3,0),0)+IFERROR(HLOOKUP(B456,[1]pp3p1m!$1:$3,3,0),0)</f>
        <v>0</v>
      </c>
    </row>
    <row r="457" spans="1:20" ht="22.2" hidden="1" customHeight="1">
      <c r="A457" s="379"/>
      <c r="B457" s="410" t="s">
        <v>629</v>
      </c>
      <c r="C457" s="411" t="str">
        <f t="shared" si="68"/>
        <v xml:space="preserve"> </v>
      </c>
      <c r="D457" s="446">
        <v>1</v>
      </c>
      <c r="E457" s="422" t="str">
        <f>VLOOKUP($B457,[1]DG!A:D,[1]DG!$B$2,)</f>
        <v>04.3801</v>
      </c>
      <c r="F457" s="441" t="str">
        <f>VLOOKUP($B457,[1]DG!A:D,[1]DG!$C$2,)</f>
        <v>Đà cản BTCT 1,5m</v>
      </c>
      <c r="G457" s="422" t="str">
        <f>VLOOKUP($B457,[1]DG!A:D,[1]DG!$D$2,)</f>
        <v>cái</v>
      </c>
      <c r="H457" s="436">
        <f t="shared" ref="H457:N459" si="77">H$456*$D457</f>
        <v>0</v>
      </c>
      <c r="I457" s="436">
        <f t="shared" si="77"/>
        <v>0</v>
      </c>
      <c r="J457" s="436">
        <f t="shared" si="77"/>
        <v>0</v>
      </c>
      <c r="K457" s="436">
        <f t="shared" si="77"/>
        <v>0</v>
      </c>
      <c r="L457" s="436">
        <f t="shared" si="77"/>
        <v>0</v>
      </c>
      <c r="M457" s="436">
        <f t="shared" si="77"/>
        <v>0</v>
      </c>
      <c r="N457" s="436">
        <f t="shared" si="77"/>
        <v>0</v>
      </c>
      <c r="O457" s="436"/>
      <c r="P457" s="436"/>
      <c r="Q457" s="447"/>
      <c r="R457" s="447"/>
      <c r="S457" s="447"/>
      <c r="T457" s="432">
        <f t="shared" si="67"/>
        <v>0</v>
      </c>
    </row>
    <row r="458" spans="1:20" ht="22.2" hidden="1" customHeight="1">
      <c r="A458" s="379"/>
      <c r="B458" s="410" t="s">
        <v>73</v>
      </c>
      <c r="C458" s="411" t="str">
        <f t="shared" si="68"/>
        <v xml:space="preserve"> </v>
      </c>
      <c r="D458" s="446">
        <v>1</v>
      </c>
      <c r="E458" s="422" t="str">
        <f>VLOOKUP($B458,[1]DG!A:D,[1]DG!$B$2,)</f>
        <v>04.4001</v>
      </c>
      <c r="F458" s="441" t="str">
        <f>VLOOKUP($B458,[1]DG!A:D,[1]DG!$C$2,)</f>
        <v>Đà cản BTCT 1,2m</v>
      </c>
      <c r="G458" s="422" t="str">
        <f>VLOOKUP($B458,[1]DG!A:D,[1]DG!$D$2,)</f>
        <v>cái</v>
      </c>
      <c r="H458" s="436">
        <f t="shared" si="77"/>
        <v>0</v>
      </c>
      <c r="I458" s="436">
        <f t="shared" si="77"/>
        <v>0</v>
      </c>
      <c r="J458" s="436">
        <f t="shared" si="77"/>
        <v>0</v>
      </c>
      <c r="K458" s="436">
        <f t="shared" si="77"/>
        <v>0</v>
      </c>
      <c r="L458" s="436">
        <f t="shared" si="77"/>
        <v>0</v>
      </c>
      <c r="M458" s="436">
        <f t="shared" si="77"/>
        <v>0</v>
      </c>
      <c r="N458" s="436">
        <f t="shared" si="77"/>
        <v>0</v>
      </c>
      <c r="O458" s="436"/>
      <c r="P458" s="436"/>
      <c r="Q458" s="447"/>
      <c r="R458" s="447"/>
      <c r="S458" s="447"/>
      <c r="T458" s="432">
        <f t="shared" si="67"/>
        <v>0</v>
      </c>
    </row>
    <row r="459" spans="1:20" ht="22.2" hidden="1" customHeight="1">
      <c r="A459" s="379"/>
      <c r="B459" s="410" t="s">
        <v>74</v>
      </c>
      <c r="C459" s="411" t="str">
        <f t="shared" si="68"/>
        <v xml:space="preserve"> </v>
      </c>
      <c r="D459" s="446">
        <v>2</v>
      </c>
      <c r="E459" s="422"/>
      <c r="F459" s="441" t="str">
        <f>VLOOKUP($B459,[1]DG!A:D,[1]DG!$C$2,)</f>
        <v>Boulon 22x650+ 2 long đền vuông D24-50x50x3/Zn</v>
      </c>
      <c r="G459" s="422" t="str">
        <f>VLOOKUP($B459,[1]DG!A:D,[1]DG!$D$2,)</f>
        <v>bộ</v>
      </c>
      <c r="H459" s="436">
        <f t="shared" si="77"/>
        <v>0</v>
      </c>
      <c r="I459" s="436">
        <f t="shared" si="77"/>
        <v>0</v>
      </c>
      <c r="J459" s="436">
        <f t="shared" si="77"/>
        <v>0</v>
      </c>
      <c r="K459" s="436">
        <f t="shared" si="77"/>
        <v>0</v>
      </c>
      <c r="L459" s="436">
        <f t="shared" si="77"/>
        <v>0</v>
      </c>
      <c r="M459" s="436">
        <f t="shared" si="77"/>
        <v>0</v>
      </c>
      <c r="N459" s="436">
        <f t="shared" si="77"/>
        <v>0</v>
      </c>
      <c r="O459" s="436"/>
      <c r="P459" s="436"/>
      <c r="Q459" s="447"/>
      <c r="R459" s="447"/>
      <c r="S459" s="447"/>
      <c r="T459" s="432">
        <f t="shared" si="67"/>
        <v>0</v>
      </c>
    </row>
    <row r="460" spans="1:20" ht="22.2" hidden="1" customHeight="1">
      <c r="A460" s="379"/>
      <c r="B460" s="410" t="s">
        <v>75</v>
      </c>
      <c r="C460" s="411" t="str">
        <f t="shared" si="68"/>
        <v xml:space="preserve"> </v>
      </c>
      <c r="D460" s="445">
        <v>10.63</v>
      </c>
      <c r="E460" s="422" t="str">
        <f>VLOOKUP($B460,[1]DG!A:D,[1]DG!$B$2,)</f>
        <v>03.1013</v>
      </c>
      <c r="F460" s="434" t="str">
        <f>VLOOKUP($B460,[1]DG!A:D,[1]DG!$C$2,)</f>
        <v>Đào hố móng đất cấp 3 sâu &gt;1m</v>
      </c>
      <c r="G460" s="422" t="str">
        <f>VLOOKUP($B460,[1]DG!A:D,[1]DG!$D$2,)</f>
        <v>m3</v>
      </c>
      <c r="H460" s="436"/>
      <c r="I460" s="436"/>
      <c r="J460" s="436"/>
      <c r="K460" s="436"/>
      <c r="L460" s="436"/>
      <c r="M460" s="436"/>
      <c r="N460" s="436"/>
      <c r="O460" s="436"/>
      <c r="P460" s="436"/>
      <c r="Q460" s="444"/>
      <c r="R460" s="444"/>
      <c r="S460" s="444"/>
      <c r="T460" s="432">
        <f t="shared" si="67"/>
        <v>0</v>
      </c>
    </row>
    <row r="461" spans="1:20" ht="22.2" hidden="1" customHeight="1">
      <c r="A461" s="379"/>
      <c r="B461" s="410" t="s">
        <v>76</v>
      </c>
      <c r="C461" s="411" t="str">
        <f t="shared" si="68"/>
        <v xml:space="preserve"> </v>
      </c>
      <c r="D461" s="445">
        <v>12.23</v>
      </c>
      <c r="E461" s="422" t="str">
        <f>VLOOKUP($B461,[1]DG!A:D,[1]DG!$B$2,)</f>
        <v>03.4113</v>
      </c>
      <c r="F461" s="434" t="str">
        <f>VLOOKUP($B461,[1]DG!A:D,[1]DG!$C$2,)</f>
        <v>Đắp đất hố móng, độ chặt k=0,95</v>
      </c>
      <c r="G461" s="422" t="str">
        <f>VLOOKUP($B461,[1]DG!A:D,[1]DG!$D$2,)</f>
        <v>m3</v>
      </c>
      <c r="H461" s="436"/>
      <c r="I461" s="436"/>
      <c r="J461" s="436"/>
      <c r="K461" s="436"/>
      <c r="L461" s="436"/>
      <c r="M461" s="436"/>
      <c r="N461" s="436"/>
      <c r="O461" s="436"/>
      <c r="P461" s="436"/>
      <c r="Q461" s="444"/>
      <c r="R461" s="444"/>
      <c r="S461" s="444"/>
      <c r="T461" s="432">
        <f t="shared" si="67"/>
        <v>0</v>
      </c>
    </row>
    <row r="462" spans="1:20" ht="22.2" hidden="1" customHeight="1">
      <c r="A462" s="379"/>
      <c r="B462" s="410" t="s">
        <v>624</v>
      </c>
      <c r="C462" s="411" t="str">
        <f t="shared" si="68"/>
        <v xml:space="preserve"> </v>
      </c>
      <c r="D462" s="445">
        <f>0.255+0.1</f>
        <v>0.35499999999999998</v>
      </c>
      <c r="E462" s="422" t="str">
        <f>VLOOKUP($B462,[1]DG!A:D,[1]DG!$B$2,)</f>
        <v>02.1123</v>
      </c>
      <c r="F462" s="434" t="str">
        <f>VLOOKUP($B462,[1]DG!A:D,[1]DG!$C$2,)</f>
        <v>Bốc dỡ đà cản, đế néo</v>
      </c>
      <c r="G462" s="422" t="str">
        <f>VLOOKUP($B462,[1]DG!A:D,[1]DG!$D$2,)</f>
        <v>tấn</v>
      </c>
      <c r="H462" s="436"/>
      <c r="I462" s="436"/>
      <c r="J462" s="436"/>
      <c r="K462" s="436"/>
      <c r="L462" s="436"/>
      <c r="M462" s="436"/>
      <c r="N462" s="436"/>
      <c r="O462" s="436"/>
      <c r="P462" s="436"/>
      <c r="Q462" s="447"/>
      <c r="R462" s="447"/>
      <c r="S462" s="447"/>
      <c r="T462" s="432">
        <f t="shared" si="67"/>
        <v>0</v>
      </c>
    </row>
    <row r="463" spans="1:20" ht="22.2" hidden="1" customHeight="1">
      <c r="A463" s="379"/>
      <c r="B463" s="438" t="s">
        <v>625</v>
      </c>
      <c r="C463" s="411" t="str">
        <f t="shared" si="68"/>
        <v xml:space="preserve"> </v>
      </c>
      <c r="D463" s="445">
        <f>D462</f>
        <v>0.35499999999999998</v>
      </c>
      <c r="E463" s="422" t="str">
        <f>VLOOKUP($B463,[1]DG!A:C,2,)</f>
        <v>02.1451</v>
      </c>
      <c r="F463" s="434" t="str">
        <f>VLOOKUP($B463,[1]DG!A:C,3,)</f>
        <v>V/c đà cản vào vị trí (cự ly &lt;=100m)</v>
      </c>
      <c r="G463" s="422" t="str">
        <f>VLOOKUP($B463,[1]DG!A:D,4,0)</f>
        <v>tấn</v>
      </c>
      <c r="H463" s="436"/>
      <c r="I463" s="436"/>
      <c r="J463" s="436"/>
      <c r="K463" s="436"/>
      <c r="L463" s="436"/>
      <c r="M463" s="436"/>
      <c r="N463" s="436"/>
      <c r="O463" s="436"/>
      <c r="P463" s="436"/>
      <c r="Q463" s="444"/>
      <c r="R463" s="444"/>
      <c r="S463" s="444"/>
      <c r="T463" s="432">
        <f t="shared" si="67"/>
        <v>0</v>
      </c>
    </row>
    <row r="464" spans="1:20" ht="22.2" hidden="1" customHeight="1">
      <c r="A464" s="379"/>
      <c r="B464" s="438" t="s">
        <v>620</v>
      </c>
      <c r="C464" s="411" t="str">
        <f t="shared" si="68"/>
        <v xml:space="preserve"> </v>
      </c>
      <c r="D464" s="445">
        <v>0.2</v>
      </c>
      <c r="E464" s="422" t="str">
        <f>VLOOKUP($B464,[1]DG!A:C,2,)</f>
        <v>02.1482</v>
      </c>
      <c r="F464" s="434" t="str">
        <f>VLOOKUP($B464,[1]DG!A:C,3,)</f>
        <v>V/c dụng cụ thi công vào vị trí (cự ly &lt;=100m)</v>
      </c>
      <c r="G464" s="422" t="str">
        <f>VLOOKUP($B464,[1]DG!A:D,4,0)</f>
        <v>tấn</v>
      </c>
      <c r="H464" s="436"/>
      <c r="I464" s="436"/>
      <c r="J464" s="436"/>
      <c r="K464" s="436"/>
      <c r="L464" s="436"/>
      <c r="M464" s="436"/>
      <c r="N464" s="436"/>
      <c r="O464" s="436"/>
      <c r="P464" s="436"/>
      <c r="Q464" s="444"/>
      <c r="R464" s="444"/>
      <c r="S464" s="444"/>
      <c r="T464" s="432">
        <f t="shared" si="67"/>
        <v>0</v>
      </c>
    </row>
    <row r="465" spans="1:20" ht="22.2" hidden="1" customHeight="1">
      <c r="A465" s="423" t="s">
        <v>759</v>
      </c>
      <c r="B465" s="424" t="s">
        <v>759</v>
      </c>
      <c r="C465" s="425" t="str">
        <f t="shared" si="68"/>
        <v xml:space="preserve"> </v>
      </c>
      <c r="D465" s="426"/>
      <c r="E465" s="427"/>
      <c r="F465" s="428" t="s">
        <v>760</v>
      </c>
      <c r="G465" s="349" t="s">
        <v>344</v>
      </c>
      <c r="H465" s="429">
        <f>SUM(I465:O465)</f>
        <v>0</v>
      </c>
      <c r="I465" s="430"/>
      <c r="J465" s="430"/>
      <c r="K465" s="430">
        <f>IFERROR(HLOOKUP(B465,[1]pp3p1m!$1:$3,3,0),0)</f>
        <v>0</v>
      </c>
      <c r="L465" s="430">
        <f>IFERROR(HLOOKUP(chitiet!B465,[1]pp1p!$1:$3,3,0),0)</f>
        <v>0</v>
      </c>
      <c r="M465" s="430"/>
      <c r="N465" s="430"/>
      <c r="O465" s="430"/>
      <c r="P465" s="430"/>
      <c r="Q465" s="431"/>
      <c r="R465" s="431"/>
      <c r="S465" s="431"/>
      <c r="T465" s="432">
        <f>IFERROR(HLOOKUP(B465,[1]pp1p!$1:$3,3,0),0)+IFERROR(HLOOKUP(B465,[1]pp3p1m!$1:$3,3,0),0)</f>
        <v>0</v>
      </c>
    </row>
    <row r="466" spans="1:20" ht="22.2" hidden="1" customHeight="1">
      <c r="A466" s="379"/>
      <c r="B466" s="410" t="s">
        <v>629</v>
      </c>
      <c r="C466" s="411" t="str">
        <f t="shared" ref="C466:C529" si="78">IF(OR(P466&lt;&gt;0,H466&lt;&gt;0),"x"," ")</f>
        <v xml:space="preserve"> </v>
      </c>
      <c r="D466" s="446">
        <v>2</v>
      </c>
      <c r="E466" s="422" t="str">
        <f>VLOOKUP($B466,[1]DG!A:D,[1]DG!$B$2,)</f>
        <v>04.3801</v>
      </c>
      <c r="F466" s="441" t="str">
        <f>VLOOKUP($B466,[1]DG!A:D,[1]DG!$C$2,)</f>
        <v>Đà cản BTCT 1,5m</v>
      </c>
      <c r="G466" s="422" t="str">
        <f>VLOOKUP($B466,[1]DG!A:D,[1]DG!$D$2,)</f>
        <v>cái</v>
      </c>
      <c r="H466" s="436">
        <f t="shared" ref="H466:N467" si="79">H$465*$D466</f>
        <v>0</v>
      </c>
      <c r="I466" s="436">
        <f t="shared" si="79"/>
        <v>0</v>
      </c>
      <c r="J466" s="436">
        <f t="shared" si="79"/>
        <v>0</v>
      </c>
      <c r="K466" s="436">
        <f t="shared" si="79"/>
        <v>0</v>
      </c>
      <c r="L466" s="436">
        <f t="shared" si="79"/>
        <v>0</v>
      </c>
      <c r="M466" s="436">
        <f t="shared" si="79"/>
        <v>0</v>
      </c>
      <c r="N466" s="436">
        <f t="shared" si="79"/>
        <v>0</v>
      </c>
      <c r="O466" s="436"/>
      <c r="P466" s="436"/>
      <c r="Q466" s="447"/>
      <c r="R466" s="447"/>
      <c r="S466" s="447"/>
      <c r="T466" s="432">
        <f t="shared" ref="T466:T528" si="80">IFERROR(HLOOKUP(B466,BangKeTru,3,0),0)</f>
        <v>0</v>
      </c>
    </row>
    <row r="467" spans="1:20" ht="22.2" hidden="1" customHeight="1">
      <c r="A467" s="379"/>
      <c r="B467" s="410" t="s">
        <v>74</v>
      </c>
      <c r="C467" s="411" t="str">
        <f t="shared" si="78"/>
        <v xml:space="preserve"> </v>
      </c>
      <c r="D467" s="446">
        <v>2</v>
      </c>
      <c r="E467" s="422"/>
      <c r="F467" s="441" t="str">
        <f>VLOOKUP($B467,[1]DG!A:D,[1]DG!$C$2,)</f>
        <v>Boulon 22x650+ 2 long đền vuông D24-50x50x3/Zn</v>
      </c>
      <c r="G467" s="422" t="str">
        <f>VLOOKUP($B467,[1]DG!A:D,[1]DG!$D$2,)</f>
        <v>bộ</v>
      </c>
      <c r="H467" s="436">
        <f t="shared" si="79"/>
        <v>0</v>
      </c>
      <c r="I467" s="436">
        <f t="shared" si="79"/>
        <v>0</v>
      </c>
      <c r="J467" s="436">
        <f t="shared" si="79"/>
        <v>0</v>
      </c>
      <c r="K467" s="436">
        <f t="shared" si="79"/>
        <v>0</v>
      </c>
      <c r="L467" s="436">
        <f t="shared" si="79"/>
        <v>0</v>
      </c>
      <c r="M467" s="436">
        <f t="shared" si="79"/>
        <v>0</v>
      </c>
      <c r="N467" s="436">
        <f t="shared" si="79"/>
        <v>0</v>
      </c>
      <c r="O467" s="436"/>
      <c r="P467" s="436"/>
      <c r="Q467" s="447"/>
      <c r="R467" s="447"/>
      <c r="S467" s="447"/>
      <c r="T467" s="432">
        <f t="shared" si="80"/>
        <v>0</v>
      </c>
    </row>
    <row r="468" spans="1:20" ht="22.2" hidden="1" customHeight="1">
      <c r="A468" s="379"/>
      <c r="B468" s="410" t="s">
        <v>75</v>
      </c>
      <c r="C468" s="411" t="str">
        <f t="shared" si="78"/>
        <v xml:space="preserve"> </v>
      </c>
      <c r="D468" s="445">
        <v>13.55</v>
      </c>
      <c r="E468" s="422" t="str">
        <f>VLOOKUP($B468,[1]DG!A:D,[1]DG!$B$2,)</f>
        <v>03.1013</v>
      </c>
      <c r="F468" s="434" t="str">
        <f>VLOOKUP($B468,[1]DG!A:D,[1]DG!$C$2,)</f>
        <v>Đào hố móng đất cấp 3 sâu &gt;1m</v>
      </c>
      <c r="G468" s="422" t="str">
        <f>VLOOKUP($B468,[1]DG!A:D,[1]DG!$D$2,)</f>
        <v>m3</v>
      </c>
      <c r="H468" s="436"/>
      <c r="I468" s="436"/>
      <c r="J468" s="436"/>
      <c r="K468" s="436"/>
      <c r="L468" s="436"/>
      <c r="M468" s="436"/>
      <c r="N468" s="436"/>
      <c r="O468" s="436"/>
      <c r="P468" s="436"/>
      <c r="Q468" s="444"/>
      <c r="R468" s="444"/>
      <c r="S468" s="444"/>
      <c r="T468" s="432">
        <f t="shared" si="80"/>
        <v>0</v>
      </c>
    </row>
    <row r="469" spans="1:20" ht="22.2" hidden="1" customHeight="1">
      <c r="A469" s="379"/>
      <c r="B469" s="410" t="s">
        <v>76</v>
      </c>
      <c r="C469" s="411" t="str">
        <f t="shared" si="78"/>
        <v xml:space="preserve"> </v>
      </c>
      <c r="D469" s="445">
        <v>15.44</v>
      </c>
      <c r="E469" s="422" t="str">
        <f>VLOOKUP($B469,[1]DG!A:D,[1]DG!$B$2,)</f>
        <v>03.4113</v>
      </c>
      <c r="F469" s="434" t="str">
        <f>VLOOKUP($B469,[1]DG!A:D,[1]DG!$C$2,)</f>
        <v>Đắp đất hố móng, độ chặt k=0,95</v>
      </c>
      <c r="G469" s="422" t="str">
        <f>VLOOKUP($B469,[1]DG!A:D,[1]DG!$D$2,)</f>
        <v>m3</v>
      </c>
      <c r="H469" s="436"/>
      <c r="I469" s="436"/>
      <c r="J469" s="436"/>
      <c r="K469" s="436"/>
      <c r="L469" s="436"/>
      <c r="M469" s="436"/>
      <c r="N469" s="436"/>
      <c r="O469" s="436"/>
      <c r="P469" s="436"/>
      <c r="Q469" s="444"/>
      <c r="R469" s="444"/>
      <c r="S469" s="444"/>
      <c r="T469" s="432">
        <f t="shared" si="80"/>
        <v>0</v>
      </c>
    </row>
    <row r="470" spans="1:20" ht="22.2" hidden="1" customHeight="1">
      <c r="A470" s="379"/>
      <c r="B470" s="410" t="s">
        <v>624</v>
      </c>
      <c r="C470" s="411" t="str">
        <f t="shared" si="78"/>
        <v xml:space="preserve"> </v>
      </c>
      <c r="D470" s="445">
        <f>0.255*2</f>
        <v>0.51</v>
      </c>
      <c r="E470" s="422" t="str">
        <f>VLOOKUP($B470,[1]DG!A:D,[1]DG!$B$2,)</f>
        <v>02.1123</v>
      </c>
      <c r="F470" s="434" t="str">
        <f>VLOOKUP($B470,[1]DG!A:D,[1]DG!$C$2,)</f>
        <v>Bốc dỡ đà cản, đế néo</v>
      </c>
      <c r="G470" s="422" t="str">
        <f>VLOOKUP($B470,[1]DG!A:D,[1]DG!$D$2,)</f>
        <v>tấn</v>
      </c>
      <c r="H470" s="436"/>
      <c r="I470" s="436"/>
      <c r="J470" s="436"/>
      <c r="K470" s="436"/>
      <c r="L470" s="436"/>
      <c r="M470" s="436"/>
      <c r="N470" s="436"/>
      <c r="O470" s="436"/>
      <c r="P470" s="436"/>
      <c r="Q470" s="447"/>
      <c r="R470" s="447"/>
      <c r="S470" s="447"/>
      <c r="T470" s="432">
        <f t="shared" si="80"/>
        <v>0</v>
      </c>
    </row>
    <row r="471" spans="1:20" ht="22.2" hidden="1" customHeight="1">
      <c r="A471" s="379"/>
      <c r="B471" s="438" t="s">
        <v>625</v>
      </c>
      <c r="C471" s="411" t="str">
        <f t="shared" si="78"/>
        <v xml:space="preserve"> </v>
      </c>
      <c r="D471" s="445">
        <f>D470</f>
        <v>0.51</v>
      </c>
      <c r="E471" s="422" t="str">
        <f>VLOOKUP($B471,[1]DG!A:C,2,)</f>
        <v>02.1451</v>
      </c>
      <c r="F471" s="434" t="str">
        <f>VLOOKUP($B471,[1]DG!A:C,3,)</f>
        <v>V/c đà cản vào vị trí (cự ly &lt;=100m)</v>
      </c>
      <c r="G471" s="422" t="str">
        <f>VLOOKUP($B471,[1]DG!A:D,4,0)</f>
        <v>tấn</v>
      </c>
      <c r="H471" s="436"/>
      <c r="I471" s="436"/>
      <c r="J471" s="436"/>
      <c r="K471" s="436"/>
      <c r="L471" s="436"/>
      <c r="M471" s="436"/>
      <c r="N471" s="436"/>
      <c r="O471" s="436"/>
      <c r="P471" s="436"/>
      <c r="Q471" s="444"/>
      <c r="R471" s="444"/>
      <c r="S471" s="444"/>
      <c r="T471" s="432">
        <f t="shared" si="80"/>
        <v>0</v>
      </c>
    </row>
    <row r="472" spans="1:20" ht="22.2" hidden="1" customHeight="1">
      <c r="A472" s="379"/>
      <c r="B472" s="438" t="s">
        <v>620</v>
      </c>
      <c r="C472" s="411" t="str">
        <f t="shared" si="78"/>
        <v xml:space="preserve"> </v>
      </c>
      <c r="D472" s="445">
        <v>0.2</v>
      </c>
      <c r="E472" s="422" t="str">
        <f>VLOOKUP($B472,[1]DG!A:C,2,)</f>
        <v>02.1482</v>
      </c>
      <c r="F472" s="434" t="str">
        <f>VLOOKUP($B472,[1]DG!A:C,3,)</f>
        <v>V/c dụng cụ thi công vào vị trí (cự ly &lt;=100m)</v>
      </c>
      <c r="G472" s="422" t="str">
        <f>VLOOKUP($B472,[1]DG!A:D,4,0)</f>
        <v>tấn</v>
      </c>
      <c r="H472" s="436"/>
      <c r="I472" s="436"/>
      <c r="J472" s="436"/>
      <c r="K472" s="436"/>
      <c r="L472" s="436"/>
      <c r="M472" s="436"/>
      <c r="N472" s="436"/>
      <c r="O472" s="436"/>
      <c r="P472" s="436"/>
      <c r="Q472" s="444"/>
      <c r="R472" s="444"/>
      <c r="S472" s="444"/>
      <c r="T472" s="432">
        <f t="shared" si="80"/>
        <v>0</v>
      </c>
    </row>
    <row r="473" spans="1:20" ht="22.2" hidden="1" customHeight="1">
      <c r="A473" s="423" t="s">
        <v>761</v>
      </c>
      <c r="B473" s="424" t="s">
        <v>761</v>
      </c>
      <c r="C473" s="425" t="str">
        <f t="shared" si="78"/>
        <v xml:space="preserve"> </v>
      </c>
      <c r="D473" s="426"/>
      <c r="E473" s="427"/>
      <c r="F473" s="428" t="s">
        <v>762</v>
      </c>
      <c r="G473" s="349" t="s">
        <v>344</v>
      </c>
      <c r="H473" s="429">
        <f>SUM(I473:O473)</f>
        <v>0</v>
      </c>
      <c r="I473" s="430"/>
      <c r="J473" s="430"/>
      <c r="K473" s="430">
        <f>IFERROR(HLOOKUP(B473,[1]pp3p1m!$1:$3,3,0),0)</f>
        <v>0</v>
      </c>
      <c r="L473" s="430">
        <f>IFERROR(HLOOKUP(chitiet!B473,[1]pp1p!$1:$3,3,0),0)</f>
        <v>0</v>
      </c>
      <c r="M473" s="430"/>
      <c r="N473" s="430"/>
      <c r="O473" s="430"/>
      <c r="P473" s="430"/>
      <c r="Q473" s="431"/>
      <c r="R473" s="431"/>
      <c r="S473" s="431"/>
      <c r="T473" s="432">
        <f>IFERROR(HLOOKUP(B473,[1]pp1p!$1:$3,3,0),0)+IFERROR(HLOOKUP(B473,[1]pp3p1m!$1:$3,3,0),0)</f>
        <v>0</v>
      </c>
    </row>
    <row r="474" spans="1:20" ht="22.2" hidden="1" customHeight="1">
      <c r="A474" s="379"/>
      <c r="B474" s="410" t="s">
        <v>686</v>
      </c>
      <c r="C474" s="411" t="str">
        <f t="shared" si="78"/>
        <v xml:space="preserve"> </v>
      </c>
      <c r="D474" s="440">
        <v>28</v>
      </c>
      <c r="E474" s="422" t="str">
        <f>VLOOKUP($B474,[1]DG!A:D,[1]DG!$B$2,)</f>
        <v>04.5142</v>
      </c>
      <c r="F474" s="441" t="str">
        <f>VLOOKUP($B474,[1]DG!A:D,[1]DG!$C$2,)</f>
        <v>Cừ tràm 5m</v>
      </c>
      <c r="G474" s="422" t="str">
        <f>VLOOKUP($B474,[1]DG!A:D,[1]DG!$D$2,)</f>
        <v>cây</v>
      </c>
      <c r="H474" s="435">
        <f t="shared" ref="H474:N477" si="81">H$473*$D474</f>
        <v>0</v>
      </c>
      <c r="I474" s="435">
        <f t="shared" si="81"/>
        <v>0</v>
      </c>
      <c r="J474" s="435">
        <f t="shared" si="81"/>
        <v>0</v>
      </c>
      <c r="K474" s="435">
        <f t="shared" si="81"/>
        <v>0</v>
      </c>
      <c r="L474" s="435">
        <f t="shared" si="81"/>
        <v>0</v>
      </c>
      <c r="M474" s="435">
        <f t="shared" si="81"/>
        <v>0</v>
      </c>
      <c r="N474" s="435">
        <f t="shared" si="81"/>
        <v>0</v>
      </c>
      <c r="O474" s="435"/>
      <c r="P474" s="435"/>
      <c r="Q474" s="442"/>
      <c r="R474" s="442"/>
      <c r="S474" s="442"/>
      <c r="T474" s="432">
        <f t="shared" si="80"/>
        <v>0</v>
      </c>
    </row>
    <row r="475" spans="1:20" ht="22.2" hidden="1" customHeight="1">
      <c r="A475" s="379"/>
      <c r="B475" s="410" t="s">
        <v>629</v>
      </c>
      <c r="C475" s="411" t="str">
        <f t="shared" si="78"/>
        <v xml:space="preserve"> </v>
      </c>
      <c r="D475" s="440">
        <v>2</v>
      </c>
      <c r="E475" s="422" t="str">
        <f>VLOOKUP($B475,[1]DG!A:D,[1]DG!$B$2,)</f>
        <v>04.3801</v>
      </c>
      <c r="F475" s="441" t="str">
        <f>VLOOKUP($B475,[1]DG!A:D,[1]DG!$C$2,)</f>
        <v>Đà cản BTCT 1,5m</v>
      </c>
      <c r="G475" s="422" t="str">
        <f>VLOOKUP($B475,[1]DG!A:D,[1]DG!$D$2,)</f>
        <v>cái</v>
      </c>
      <c r="H475" s="435">
        <f t="shared" si="81"/>
        <v>0</v>
      </c>
      <c r="I475" s="435">
        <f t="shared" si="81"/>
        <v>0</v>
      </c>
      <c r="J475" s="435">
        <f t="shared" si="81"/>
        <v>0</v>
      </c>
      <c r="K475" s="435">
        <f t="shared" si="81"/>
        <v>0</v>
      </c>
      <c r="L475" s="435">
        <f t="shared" si="81"/>
        <v>0</v>
      </c>
      <c r="M475" s="435">
        <f t="shared" si="81"/>
        <v>0</v>
      </c>
      <c r="N475" s="435">
        <f t="shared" si="81"/>
        <v>0</v>
      </c>
      <c r="O475" s="435"/>
      <c r="P475" s="435"/>
      <c r="Q475" s="442"/>
      <c r="R475" s="442"/>
      <c r="S475" s="442"/>
      <c r="T475" s="432">
        <f t="shared" si="80"/>
        <v>0</v>
      </c>
    </row>
    <row r="476" spans="1:20" ht="22.2" hidden="1" customHeight="1">
      <c r="A476" s="379"/>
      <c r="B476" s="410" t="s">
        <v>708</v>
      </c>
      <c r="C476" s="411" t="str">
        <f t="shared" si="78"/>
        <v xml:space="preserve"> </v>
      </c>
      <c r="D476" s="440">
        <v>1</v>
      </c>
      <c r="E476" s="422"/>
      <c r="F476" s="441" t="str">
        <f>VLOOKUP($B476,[1]DG!A:D,[1]DG!$C$2,)</f>
        <v>Boulon 22x850+ 2 long đền vuông D24-50x50x3/Zn</v>
      </c>
      <c r="G476" s="422" t="str">
        <f>VLOOKUP($B476,[1]DG!A:D,[1]DG!$D$2,)</f>
        <v>bộ</v>
      </c>
      <c r="H476" s="435">
        <f t="shared" si="81"/>
        <v>0</v>
      </c>
      <c r="I476" s="435">
        <f t="shared" si="81"/>
        <v>0</v>
      </c>
      <c r="J476" s="435">
        <f t="shared" si="81"/>
        <v>0</v>
      </c>
      <c r="K476" s="435">
        <f t="shared" si="81"/>
        <v>0</v>
      </c>
      <c r="L476" s="435">
        <f t="shared" si="81"/>
        <v>0</v>
      </c>
      <c r="M476" s="435">
        <f t="shared" si="81"/>
        <v>0</v>
      </c>
      <c r="N476" s="435">
        <f t="shared" si="81"/>
        <v>0</v>
      </c>
      <c r="O476" s="435"/>
      <c r="P476" s="435"/>
      <c r="Q476" s="442"/>
      <c r="R476" s="442"/>
      <c r="S476" s="442"/>
      <c r="T476" s="432">
        <f t="shared" si="80"/>
        <v>0</v>
      </c>
    </row>
    <row r="477" spans="1:20" ht="22.2" hidden="1" customHeight="1">
      <c r="A477" s="379"/>
      <c r="B477" s="410" t="s">
        <v>74</v>
      </c>
      <c r="C477" s="411" t="str">
        <f t="shared" si="78"/>
        <v xml:space="preserve"> </v>
      </c>
      <c r="D477" s="440">
        <v>2</v>
      </c>
      <c r="E477" s="422"/>
      <c r="F477" s="441" t="str">
        <f>VLOOKUP($B477,[1]DG!A:D,[1]DG!$C$2,)</f>
        <v>Boulon 22x650+ 2 long đền vuông D24-50x50x3/Zn</v>
      </c>
      <c r="G477" s="422" t="str">
        <f>VLOOKUP($B477,[1]DG!A:D,[1]DG!$D$2,)</f>
        <v>bộ</v>
      </c>
      <c r="H477" s="435">
        <f t="shared" si="81"/>
        <v>0</v>
      </c>
      <c r="I477" s="435">
        <f t="shared" si="81"/>
        <v>0</v>
      </c>
      <c r="J477" s="435">
        <f t="shared" si="81"/>
        <v>0</v>
      </c>
      <c r="K477" s="435">
        <f t="shared" si="81"/>
        <v>0</v>
      </c>
      <c r="L477" s="435">
        <f t="shared" si="81"/>
        <v>0</v>
      </c>
      <c r="M477" s="435">
        <f t="shared" si="81"/>
        <v>0</v>
      </c>
      <c r="N477" s="435">
        <f t="shared" si="81"/>
        <v>0</v>
      </c>
      <c r="O477" s="435"/>
      <c r="P477" s="435"/>
      <c r="Q477" s="442"/>
      <c r="R477" s="442"/>
      <c r="S477" s="442"/>
      <c r="T477" s="432">
        <f t="shared" si="80"/>
        <v>0</v>
      </c>
    </row>
    <row r="478" spans="1:20" ht="22.2" hidden="1" customHeight="1">
      <c r="A478" s="379"/>
      <c r="B478" s="410" t="s">
        <v>75</v>
      </c>
      <c r="C478" s="411" t="str">
        <f t="shared" si="78"/>
        <v xml:space="preserve"> </v>
      </c>
      <c r="D478" s="445">
        <v>4.03</v>
      </c>
      <c r="E478" s="422" t="str">
        <f>VLOOKUP($B478,[1]DG!A:D,[1]DG!$B$2,)</f>
        <v>03.1013</v>
      </c>
      <c r="F478" s="434" t="str">
        <f>VLOOKUP($B478,[1]DG!A:D,[1]DG!$C$2,)</f>
        <v>Đào hố móng đất cấp 3 sâu &gt;1m</v>
      </c>
      <c r="G478" s="422" t="str">
        <f>VLOOKUP($B478,[1]DG!A:D,[1]DG!$D$2,)</f>
        <v>m3</v>
      </c>
      <c r="H478" s="435"/>
      <c r="I478" s="435"/>
      <c r="J478" s="435"/>
      <c r="K478" s="435"/>
      <c r="L478" s="435"/>
      <c r="M478" s="435"/>
      <c r="N478" s="435"/>
      <c r="O478" s="435"/>
      <c r="P478" s="435"/>
      <c r="Q478" s="437"/>
      <c r="R478" s="437"/>
      <c r="S478" s="437"/>
      <c r="T478" s="432">
        <f t="shared" si="80"/>
        <v>0</v>
      </c>
    </row>
    <row r="479" spans="1:20" ht="22.2" hidden="1" customHeight="1">
      <c r="A479" s="379"/>
      <c r="B479" s="410" t="s">
        <v>76</v>
      </c>
      <c r="C479" s="411" t="str">
        <f t="shared" si="78"/>
        <v xml:space="preserve"> </v>
      </c>
      <c r="D479" s="445">
        <v>4.3140000000000001</v>
      </c>
      <c r="E479" s="422" t="str">
        <f>VLOOKUP($B479,[1]DG!A:D,[1]DG!$B$2,)</f>
        <v>03.4113</v>
      </c>
      <c r="F479" s="434" t="str">
        <f>VLOOKUP($B479,[1]DG!A:D,[1]DG!$C$2,)</f>
        <v>Đắp đất hố móng, độ chặt k=0,95</v>
      </c>
      <c r="G479" s="422" t="str">
        <f>VLOOKUP($B479,[1]DG!A:D,[1]DG!$D$2,)</f>
        <v>m3</v>
      </c>
      <c r="H479" s="435"/>
      <c r="I479" s="435"/>
      <c r="J479" s="435"/>
      <c r="K479" s="435"/>
      <c r="L479" s="435"/>
      <c r="M479" s="435"/>
      <c r="N479" s="435"/>
      <c r="O479" s="435"/>
      <c r="P479" s="435"/>
      <c r="Q479" s="437"/>
      <c r="R479" s="437"/>
      <c r="S479" s="437"/>
      <c r="T479" s="432">
        <f t="shared" si="80"/>
        <v>0</v>
      </c>
    </row>
    <row r="480" spans="1:20" ht="22.2" hidden="1" customHeight="1">
      <c r="A480" s="379"/>
      <c r="B480" s="410" t="s">
        <v>624</v>
      </c>
      <c r="C480" s="411" t="str">
        <f t="shared" si="78"/>
        <v xml:space="preserve"> </v>
      </c>
      <c r="D480" s="439">
        <f>0.255*2</f>
        <v>0.51</v>
      </c>
      <c r="E480" s="422" t="str">
        <f>VLOOKUP($B480,[1]DG!A:D,[1]DG!$B$2,)</f>
        <v>02.1123</v>
      </c>
      <c r="F480" s="434" t="str">
        <f>VLOOKUP($B480,[1]DG!A:D,[1]DG!$C$2,)</f>
        <v>Bốc dỡ đà cản, đế néo</v>
      </c>
      <c r="G480" s="422" t="str">
        <f>VLOOKUP($B480,[1]DG!A:D,[1]DG!$D$2,)</f>
        <v>tấn</v>
      </c>
      <c r="H480" s="435"/>
      <c r="I480" s="435"/>
      <c r="J480" s="435"/>
      <c r="K480" s="435"/>
      <c r="L480" s="435"/>
      <c r="M480" s="435"/>
      <c r="N480" s="435"/>
      <c r="O480" s="435"/>
      <c r="P480" s="435"/>
      <c r="Q480" s="437"/>
      <c r="R480" s="437"/>
      <c r="S480" s="437"/>
      <c r="T480" s="432">
        <f t="shared" si="80"/>
        <v>0</v>
      </c>
    </row>
    <row r="481" spans="1:20" ht="22.2" hidden="1" customHeight="1">
      <c r="A481" s="379"/>
      <c r="B481" s="410" t="s">
        <v>688</v>
      </c>
      <c r="C481" s="411" t="str">
        <f t="shared" si="78"/>
        <v xml:space="preserve"> </v>
      </c>
      <c r="D481" s="440">
        <f>D474</f>
        <v>28</v>
      </c>
      <c r="E481" s="422" t="str">
        <f>VLOOKUP($B481,[1]DG!A:D,[1]DG!$B$2,)</f>
        <v>02.1119</v>
      </c>
      <c r="F481" s="434" t="str">
        <f>VLOOKUP($B481,[1]DG!A:D,[1]DG!$C$2,)</f>
        <v>Bốc dỡ cừ tràm 5m</v>
      </c>
      <c r="G481" s="422" t="str">
        <f>VLOOKUP($B481,[1]DG!A:D,[1]DG!$D$2,)</f>
        <v>cây</v>
      </c>
      <c r="H481" s="435"/>
      <c r="I481" s="435"/>
      <c r="J481" s="435"/>
      <c r="K481" s="435"/>
      <c r="L481" s="435"/>
      <c r="M481" s="435"/>
      <c r="N481" s="435"/>
      <c r="O481" s="435"/>
      <c r="P481" s="435"/>
      <c r="Q481" s="437"/>
      <c r="R481" s="437"/>
      <c r="S481" s="437"/>
      <c r="T481" s="432">
        <f t="shared" si="80"/>
        <v>0</v>
      </c>
    </row>
    <row r="482" spans="1:20" ht="22.2" hidden="1" customHeight="1">
      <c r="A482" s="379"/>
      <c r="B482" s="380" t="s">
        <v>689</v>
      </c>
      <c r="C482" s="411" t="str">
        <f t="shared" si="78"/>
        <v xml:space="preserve"> </v>
      </c>
      <c r="D482" s="440">
        <f>D474</f>
        <v>28</v>
      </c>
      <c r="E482" s="422" t="str">
        <f>VLOOKUP($B482,[1]DG!A:C,2,)</f>
        <v>02.1411</v>
      </c>
      <c r="F482" s="434" t="str">
        <f>VLOOKUP($B482,[1]DG!A:C,3,)</f>
        <v>V/c cừ tràm 5m ( cự ly &lt;=100m)</v>
      </c>
      <c r="G482" s="422" t="str">
        <f>VLOOKUP($B482,[1]DG!A:D,4,0)</f>
        <v>cây</v>
      </c>
      <c r="H482" s="435"/>
      <c r="I482" s="435"/>
      <c r="J482" s="435"/>
      <c r="K482" s="435"/>
      <c r="L482" s="435"/>
      <c r="M482" s="435"/>
      <c r="N482" s="435"/>
      <c r="O482" s="435"/>
      <c r="P482" s="435"/>
      <c r="Q482" s="437"/>
      <c r="R482" s="437"/>
      <c r="S482" s="437"/>
      <c r="T482" s="432">
        <f t="shared" si="80"/>
        <v>0</v>
      </c>
    </row>
    <row r="483" spans="1:20" ht="22.2" hidden="1" customHeight="1">
      <c r="A483" s="379"/>
      <c r="B483" s="438" t="s">
        <v>625</v>
      </c>
      <c r="C483" s="411" t="str">
        <f t="shared" si="78"/>
        <v xml:space="preserve"> </v>
      </c>
      <c r="D483" s="439">
        <f>D480</f>
        <v>0.51</v>
      </c>
      <c r="E483" s="422" t="str">
        <f>VLOOKUP($B483,[1]DG!A:C,2,)</f>
        <v>02.1451</v>
      </c>
      <c r="F483" s="434" t="str">
        <f>VLOOKUP($B483,[1]DG!A:C,3,)</f>
        <v>V/c đà cản vào vị trí (cự ly &lt;=100m)</v>
      </c>
      <c r="G483" s="422" t="str">
        <f>VLOOKUP($B483,[1]DG!A:D,4,0)</f>
        <v>tấn</v>
      </c>
      <c r="H483" s="435"/>
      <c r="I483" s="435"/>
      <c r="J483" s="435"/>
      <c r="K483" s="435"/>
      <c r="L483" s="435"/>
      <c r="M483" s="435"/>
      <c r="N483" s="435"/>
      <c r="O483" s="435"/>
      <c r="P483" s="435"/>
      <c r="Q483" s="437"/>
      <c r="R483" s="437"/>
      <c r="S483" s="437"/>
      <c r="T483" s="432">
        <f t="shared" si="80"/>
        <v>0</v>
      </c>
    </row>
    <row r="484" spans="1:20" ht="22.2" hidden="1" customHeight="1">
      <c r="A484" s="379"/>
      <c r="B484" s="438" t="s">
        <v>620</v>
      </c>
      <c r="C484" s="411" t="str">
        <f t="shared" si="78"/>
        <v xml:space="preserve"> </v>
      </c>
      <c r="D484" s="439">
        <v>0.2</v>
      </c>
      <c r="E484" s="422" t="str">
        <f>VLOOKUP($B484,[1]DG!A:C,2,)</f>
        <v>02.1482</v>
      </c>
      <c r="F484" s="434" t="str">
        <f>VLOOKUP($B484,[1]DG!A:C,3,)</f>
        <v>V/c dụng cụ thi công vào vị trí (cự ly &lt;=100m)</v>
      </c>
      <c r="G484" s="422" t="str">
        <f>VLOOKUP($B484,[1]DG!A:D,4,0)</f>
        <v>tấn</v>
      </c>
      <c r="H484" s="435"/>
      <c r="I484" s="435"/>
      <c r="J484" s="435"/>
      <c r="K484" s="435"/>
      <c r="L484" s="435"/>
      <c r="M484" s="435"/>
      <c r="N484" s="435"/>
      <c r="O484" s="435"/>
      <c r="P484" s="435"/>
      <c r="Q484" s="437"/>
      <c r="R484" s="437"/>
      <c r="S484" s="437"/>
      <c r="T484" s="432">
        <f t="shared" si="80"/>
        <v>0</v>
      </c>
    </row>
    <row r="485" spans="1:20" ht="22.2" hidden="1" customHeight="1">
      <c r="A485" s="423" t="s">
        <v>763</v>
      </c>
      <c r="B485" s="424" t="s">
        <v>763</v>
      </c>
      <c r="C485" s="425" t="str">
        <f t="shared" si="78"/>
        <v xml:space="preserve"> </v>
      </c>
      <c r="D485" s="426"/>
      <c r="E485" s="427"/>
      <c r="F485" s="428" t="s">
        <v>764</v>
      </c>
      <c r="G485" s="349" t="s">
        <v>344</v>
      </c>
      <c r="H485" s="429">
        <f>SUM(I485:O485)</f>
        <v>0</v>
      </c>
      <c r="I485" s="430"/>
      <c r="J485" s="430"/>
      <c r="K485" s="430">
        <f>IFERROR(HLOOKUP(B485,[1]pp3p1m!$1:$3,3,0),0)</f>
        <v>0</v>
      </c>
      <c r="L485" s="430">
        <f>IFERROR(HLOOKUP(chitiet!B485,[1]pp1p!$1:$3,3,0),0)</f>
        <v>0</v>
      </c>
      <c r="M485" s="430"/>
      <c r="N485" s="430"/>
      <c r="O485" s="430"/>
      <c r="P485" s="430"/>
      <c r="Q485" s="431"/>
      <c r="R485" s="431"/>
      <c r="S485" s="431"/>
      <c r="T485" s="432">
        <f>IFERROR(HLOOKUP(B485,[1]pp1p!$1:$3,3,0),0)+IFERROR(HLOOKUP(B485,[1]pp3p1m!$1:$3,3,0),0)</f>
        <v>0</v>
      </c>
    </row>
    <row r="486" spans="1:20" ht="22.2" hidden="1" customHeight="1">
      <c r="A486" s="379"/>
      <c r="B486" s="410" t="s">
        <v>73</v>
      </c>
      <c r="C486" s="411" t="str">
        <f t="shared" si="78"/>
        <v xml:space="preserve"> </v>
      </c>
      <c r="D486" s="446">
        <v>2</v>
      </c>
      <c r="E486" s="422" t="str">
        <f>VLOOKUP($B486,[1]DG!A:D,[1]DG!$B$2,)</f>
        <v>04.4001</v>
      </c>
      <c r="F486" s="441" t="str">
        <f>VLOOKUP($B486,[1]DG!A:D,[1]DG!$C$2,)</f>
        <v>Đà cản BTCT 1,2m</v>
      </c>
      <c r="G486" s="422" t="str">
        <f>VLOOKUP($B486,[1]DG!A:D,[1]DG!$D$2,)</f>
        <v>cái</v>
      </c>
      <c r="H486" s="436">
        <f t="shared" ref="H486:N487" si="82">H$485*$D486</f>
        <v>0</v>
      </c>
      <c r="I486" s="436">
        <f t="shared" si="82"/>
        <v>0</v>
      </c>
      <c r="J486" s="436">
        <f t="shared" si="82"/>
        <v>0</v>
      </c>
      <c r="K486" s="436">
        <f t="shared" si="82"/>
        <v>0</v>
      </c>
      <c r="L486" s="436">
        <f t="shared" si="82"/>
        <v>0</v>
      </c>
      <c r="M486" s="436">
        <f t="shared" si="82"/>
        <v>0</v>
      </c>
      <c r="N486" s="436">
        <f t="shared" si="82"/>
        <v>0</v>
      </c>
      <c r="O486" s="436"/>
      <c r="P486" s="436"/>
      <c r="Q486" s="447"/>
      <c r="R486" s="447"/>
      <c r="S486" s="447"/>
      <c r="T486" s="432">
        <f t="shared" si="80"/>
        <v>0</v>
      </c>
    </row>
    <row r="487" spans="1:20" ht="22.2" hidden="1" customHeight="1">
      <c r="A487" s="379"/>
      <c r="B487" s="410" t="s">
        <v>715</v>
      </c>
      <c r="C487" s="411" t="str">
        <f t="shared" si="78"/>
        <v xml:space="preserve"> </v>
      </c>
      <c r="D487" s="446">
        <v>1</v>
      </c>
      <c r="E487" s="422"/>
      <c r="F487" s="441" t="str">
        <f>VLOOKUP($B487,[1]DG!A:D,[1]DG!$C$2,)</f>
        <v>Boulon 22x700+ 2 long đền vuông D24-50x50x3/Zn</v>
      </c>
      <c r="G487" s="422" t="str">
        <f>VLOOKUP($B487,[1]DG!A:D,[1]DG!$D$2,)</f>
        <v>bộ</v>
      </c>
      <c r="H487" s="436">
        <f t="shared" si="82"/>
        <v>0</v>
      </c>
      <c r="I487" s="436">
        <f t="shared" si="82"/>
        <v>0</v>
      </c>
      <c r="J487" s="436">
        <f t="shared" si="82"/>
        <v>0</v>
      </c>
      <c r="K487" s="436">
        <f t="shared" si="82"/>
        <v>0</v>
      </c>
      <c r="L487" s="436">
        <f t="shared" si="82"/>
        <v>0</v>
      </c>
      <c r="M487" s="436">
        <f t="shared" si="82"/>
        <v>0</v>
      </c>
      <c r="N487" s="436">
        <f t="shared" si="82"/>
        <v>0</v>
      </c>
      <c r="O487" s="436"/>
      <c r="P487" s="436"/>
      <c r="Q487" s="447"/>
      <c r="R487" s="447"/>
      <c r="S487" s="447"/>
      <c r="T487" s="432">
        <f t="shared" si="80"/>
        <v>0</v>
      </c>
    </row>
    <row r="488" spans="1:20" ht="22.2" hidden="1" customHeight="1">
      <c r="A488" s="379"/>
      <c r="B488" s="410" t="s">
        <v>630</v>
      </c>
      <c r="C488" s="411" t="str">
        <f t="shared" si="78"/>
        <v xml:space="preserve"> </v>
      </c>
      <c r="D488" s="433">
        <v>0.42099999999999999</v>
      </c>
      <c r="E488" s="422">
        <f>VLOOKUP($B488,[1]DG!A:D,[1]DG!$B$2,)</f>
        <v>0</v>
      </c>
      <c r="F488" s="434" t="str">
        <f>VLOOKUP($B488,[1]DG!A:D,[1]DG!$C$2,)</f>
        <v>Đá 2x4</v>
      </c>
      <c r="G488" s="422" t="str">
        <f>VLOOKUP($B488,[1]DG!A:D,[1]DG!$D$2,)</f>
        <v>m3</v>
      </c>
      <c r="H488" s="435">
        <f t="shared" ref="H488:N488" si="83">H$18*$D488</f>
        <v>0</v>
      </c>
      <c r="I488" s="435">
        <f t="shared" si="83"/>
        <v>0</v>
      </c>
      <c r="J488" s="435">
        <f t="shared" si="83"/>
        <v>0</v>
      </c>
      <c r="K488" s="435">
        <f t="shared" si="83"/>
        <v>0</v>
      </c>
      <c r="L488" s="435">
        <f t="shared" si="83"/>
        <v>0</v>
      </c>
      <c r="M488" s="435">
        <f t="shared" si="83"/>
        <v>0</v>
      </c>
      <c r="N488" s="435">
        <f t="shared" si="83"/>
        <v>0</v>
      </c>
      <c r="O488" s="435"/>
      <c r="P488" s="435"/>
      <c r="Q488" s="442"/>
      <c r="R488" s="442"/>
      <c r="S488" s="442"/>
      <c r="T488" s="432">
        <f t="shared" si="80"/>
        <v>0</v>
      </c>
    </row>
    <row r="489" spans="1:20" ht="22.2" hidden="1" customHeight="1">
      <c r="A489" s="379"/>
      <c r="B489" s="410" t="s">
        <v>75</v>
      </c>
      <c r="C489" s="411" t="str">
        <f t="shared" si="78"/>
        <v xml:space="preserve"> </v>
      </c>
      <c r="D489" s="445">
        <v>3.25</v>
      </c>
      <c r="E489" s="422" t="str">
        <f>VLOOKUP($B489,[1]DG!A:D,[1]DG!$B$2,)</f>
        <v>03.1013</v>
      </c>
      <c r="F489" s="434" t="str">
        <f>VLOOKUP($B489,[1]DG!A:D,[1]DG!$C$2,)</f>
        <v>Đào hố móng đất cấp 3 sâu &gt;1m</v>
      </c>
      <c r="G489" s="422" t="str">
        <f>VLOOKUP($B489,[1]DG!A:D,[1]DG!$D$2,)</f>
        <v>m3</v>
      </c>
      <c r="H489" s="436"/>
      <c r="I489" s="436"/>
      <c r="J489" s="436"/>
      <c r="K489" s="436"/>
      <c r="L489" s="436"/>
      <c r="M489" s="436"/>
      <c r="N489" s="436"/>
      <c r="O489" s="436"/>
      <c r="P489" s="436"/>
      <c r="Q489" s="444"/>
      <c r="R489" s="444"/>
      <c r="S489" s="444"/>
      <c r="T489" s="432">
        <f t="shared" si="80"/>
        <v>0</v>
      </c>
    </row>
    <row r="490" spans="1:20" ht="22.2" hidden="1" customHeight="1">
      <c r="A490" s="379"/>
      <c r="B490" s="410" t="s">
        <v>76</v>
      </c>
      <c r="C490" s="411" t="str">
        <f t="shared" si="78"/>
        <v xml:space="preserve"> </v>
      </c>
      <c r="D490" s="445">
        <v>3.44</v>
      </c>
      <c r="E490" s="422" t="str">
        <f>VLOOKUP($B490,[1]DG!A:D,[1]DG!$B$2,)</f>
        <v>03.4113</v>
      </c>
      <c r="F490" s="434" t="str">
        <f>VLOOKUP($B490,[1]DG!A:D,[1]DG!$C$2,)</f>
        <v>Đắp đất hố móng, độ chặt k=0,95</v>
      </c>
      <c r="G490" s="422" t="str">
        <f>VLOOKUP($B490,[1]DG!A:D,[1]DG!$D$2,)</f>
        <v>m3</v>
      </c>
      <c r="H490" s="436"/>
      <c r="I490" s="436"/>
      <c r="J490" s="436"/>
      <c r="K490" s="436"/>
      <c r="L490" s="436"/>
      <c r="M490" s="436"/>
      <c r="N490" s="436"/>
      <c r="O490" s="436"/>
      <c r="P490" s="436"/>
      <c r="Q490" s="444"/>
      <c r="R490" s="444"/>
      <c r="S490" s="444"/>
      <c r="T490" s="432">
        <f t="shared" si="80"/>
        <v>0</v>
      </c>
    </row>
    <row r="491" spans="1:20" ht="22.2" hidden="1" customHeight="1">
      <c r="A491" s="379"/>
      <c r="B491" s="410" t="s">
        <v>624</v>
      </c>
      <c r="C491" s="411" t="str">
        <f t="shared" si="78"/>
        <v xml:space="preserve"> </v>
      </c>
      <c r="D491" s="445">
        <f>0.1*2</f>
        <v>0.2</v>
      </c>
      <c r="E491" s="422" t="str">
        <f>VLOOKUP($B491,[1]DG!A:D,[1]DG!$B$2,)</f>
        <v>02.1123</v>
      </c>
      <c r="F491" s="434" t="str">
        <f>VLOOKUP($B491,[1]DG!A:D,[1]DG!$C$2,)</f>
        <v>Bốc dỡ đà cản, đế néo</v>
      </c>
      <c r="G491" s="422" t="str">
        <f>VLOOKUP($B491,[1]DG!A:D,[1]DG!$D$2,)</f>
        <v>tấn</v>
      </c>
      <c r="H491" s="436"/>
      <c r="I491" s="436"/>
      <c r="J491" s="436"/>
      <c r="K491" s="436"/>
      <c r="L491" s="436"/>
      <c r="M491" s="436"/>
      <c r="N491" s="436"/>
      <c r="O491" s="436"/>
      <c r="P491" s="436"/>
      <c r="Q491" s="447"/>
      <c r="R491" s="447"/>
      <c r="S491" s="447"/>
      <c r="T491" s="432">
        <f t="shared" si="80"/>
        <v>0</v>
      </c>
    </row>
    <row r="492" spans="1:20" ht="22.2" hidden="1" customHeight="1">
      <c r="A492" s="379"/>
      <c r="B492" s="438" t="s">
        <v>625</v>
      </c>
      <c r="C492" s="411" t="str">
        <f t="shared" si="78"/>
        <v xml:space="preserve"> </v>
      </c>
      <c r="D492" s="445">
        <f>D491</f>
        <v>0.2</v>
      </c>
      <c r="E492" s="422" t="str">
        <f>VLOOKUP($B492,[1]DG!A:C,2,)</f>
        <v>02.1451</v>
      </c>
      <c r="F492" s="434" t="str">
        <f>VLOOKUP($B492,[1]DG!A:C,3,)</f>
        <v>V/c đà cản vào vị trí (cự ly &lt;=100m)</v>
      </c>
      <c r="G492" s="422" t="str">
        <f>VLOOKUP($B492,[1]DG!A:D,4,0)</f>
        <v>tấn</v>
      </c>
      <c r="H492" s="436"/>
      <c r="I492" s="436"/>
      <c r="J492" s="436"/>
      <c r="K492" s="436"/>
      <c r="L492" s="436"/>
      <c r="M492" s="436"/>
      <c r="N492" s="436"/>
      <c r="O492" s="436"/>
      <c r="P492" s="436"/>
      <c r="Q492" s="444"/>
      <c r="R492" s="444"/>
      <c r="S492" s="444"/>
      <c r="T492" s="432">
        <f t="shared" si="80"/>
        <v>0</v>
      </c>
    </row>
    <row r="493" spans="1:20" ht="22.2" hidden="1" customHeight="1">
      <c r="A493" s="379"/>
      <c r="B493" s="438" t="s">
        <v>626</v>
      </c>
      <c r="C493" s="411" t="str">
        <f t="shared" si="78"/>
        <v xml:space="preserve"> </v>
      </c>
      <c r="D493" s="433">
        <f>D488</f>
        <v>0.42099999999999999</v>
      </c>
      <c r="E493" s="422" t="str">
        <f>VLOOKUP($B493,[1]DG!A:C,2,)</f>
        <v>02.1241</v>
      </c>
      <c r="F493" s="434" t="str">
        <f>VLOOKUP($B493,[1]DG!A:C,3,)</f>
        <v>V/c đá dăm ( cự ly &lt;=100m)</v>
      </c>
      <c r="G493" s="422" t="str">
        <f>VLOOKUP($B493,[1]DG!A:D,4,0)</f>
        <v>m3</v>
      </c>
      <c r="H493" s="435"/>
      <c r="I493" s="435"/>
      <c r="J493" s="435"/>
      <c r="K493" s="435"/>
      <c r="L493" s="435"/>
      <c r="M493" s="435"/>
      <c r="N493" s="435"/>
      <c r="O493" s="435"/>
      <c r="P493" s="435"/>
      <c r="Q493" s="437"/>
      <c r="R493" s="437"/>
      <c r="S493" s="437"/>
      <c r="T493" s="432">
        <f t="shared" si="80"/>
        <v>0</v>
      </c>
    </row>
    <row r="494" spans="1:20" ht="22.2" hidden="1" customHeight="1">
      <c r="A494" s="379"/>
      <c r="B494" s="438" t="s">
        <v>620</v>
      </c>
      <c r="C494" s="411" t="str">
        <f t="shared" si="78"/>
        <v xml:space="preserve"> </v>
      </c>
      <c r="D494" s="445">
        <v>0.2</v>
      </c>
      <c r="E494" s="422" t="str">
        <f>VLOOKUP($B494,[1]DG!A:C,2,)</f>
        <v>02.1482</v>
      </c>
      <c r="F494" s="434" t="str">
        <f>VLOOKUP($B494,[1]DG!A:C,3,)</f>
        <v>V/c dụng cụ thi công vào vị trí (cự ly &lt;=100m)</v>
      </c>
      <c r="G494" s="422" t="str">
        <f>VLOOKUP($B494,[1]DG!A:D,4,0)</f>
        <v>tấn</v>
      </c>
      <c r="H494" s="436"/>
      <c r="I494" s="436"/>
      <c r="J494" s="436"/>
      <c r="K494" s="436"/>
      <c r="L494" s="436"/>
      <c r="M494" s="436"/>
      <c r="N494" s="436"/>
      <c r="O494" s="436"/>
      <c r="P494" s="436"/>
      <c r="Q494" s="444"/>
      <c r="R494" s="444"/>
      <c r="S494" s="444"/>
      <c r="T494" s="432">
        <f t="shared" si="80"/>
        <v>0</v>
      </c>
    </row>
    <row r="495" spans="1:20" ht="22.2" hidden="1" customHeight="1">
      <c r="A495" s="423" t="s">
        <v>765</v>
      </c>
      <c r="B495" s="424" t="s">
        <v>765</v>
      </c>
      <c r="C495" s="425" t="str">
        <f t="shared" si="78"/>
        <v xml:space="preserve"> </v>
      </c>
      <c r="D495" s="426"/>
      <c r="E495" s="427"/>
      <c r="F495" s="428" t="s">
        <v>766</v>
      </c>
      <c r="G495" s="349" t="s">
        <v>344</v>
      </c>
      <c r="H495" s="429">
        <f>SUM(I495:O495)</f>
        <v>0</v>
      </c>
      <c r="I495" s="430"/>
      <c r="J495" s="430"/>
      <c r="K495" s="430">
        <f>IFERROR(HLOOKUP(B495,[1]pp3p1m!$1:$3,3,0),0)</f>
        <v>0</v>
      </c>
      <c r="L495" s="430">
        <f>IFERROR(HLOOKUP(chitiet!B495,[1]pp1p!$1:$3,3,0),0)</f>
        <v>0</v>
      </c>
      <c r="M495" s="430"/>
      <c r="N495" s="430"/>
      <c r="O495" s="430"/>
      <c r="P495" s="430"/>
      <c r="Q495" s="431"/>
      <c r="R495" s="431"/>
      <c r="S495" s="431"/>
      <c r="T495" s="432">
        <f>IFERROR(HLOOKUP(B495,[1]pp1p!$1:$3,3,0),0)+IFERROR(HLOOKUP(B495,[1]pp3p1m!$1:$3,3,0),0)</f>
        <v>0</v>
      </c>
    </row>
    <row r="496" spans="1:20" ht="22.2" hidden="1" customHeight="1">
      <c r="A496" s="379"/>
      <c r="B496" s="410" t="s">
        <v>629</v>
      </c>
      <c r="C496" s="411" t="str">
        <f t="shared" si="78"/>
        <v xml:space="preserve"> </v>
      </c>
      <c r="D496" s="446">
        <v>2</v>
      </c>
      <c r="E496" s="422" t="str">
        <f>VLOOKUP($B496,[1]DG!A:D,[1]DG!$B$2,)</f>
        <v>04.3801</v>
      </c>
      <c r="F496" s="441" t="str">
        <f>VLOOKUP($B496,[1]DG!A:D,[1]DG!$C$2,)</f>
        <v>Đà cản BTCT 1,5m</v>
      </c>
      <c r="G496" s="422" t="str">
        <f>VLOOKUP($B496,[1]DG!A:D,[1]DG!$D$2,)</f>
        <v>cái</v>
      </c>
      <c r="H496" s="436">
        <f t="shared" ref="H496:N497" si="84">H$495*$D496</f>
        <v>0</v>
      </c>
      <c r="I496" s="436">
        <f t="shared" si="84"/>
        <v>0</v>
      </c>
      <c r="J496" s="436">
        <f t="shared" si="84"/>
        <v>0</v>
      </c>
      <c r="K496" s="436">
        <f t="shared" si="84"/>
        <v>0</v>
      </c>
      <c r="L496" s="436">
        <f t="shared" si="84"/>
        <v>0</v>
      </c>
      <c r="M496" s="436">
        <f t="shared" si="84"/>
        <v>0</v>
      </c>
      <c r="N496" s="436">
        <f t="shared" si="84"/>
        <v>0</v>
      </c>
      <c r="O496" s="436"/>
      <c r="P496" s="436"/>
      <c r="Q496" s="447"/>
      <c r="R496" s="447"/>
      <c r="S496" s="447"/>
      <c r="T496" s="432">
        <f t="shared" si="80"/>
        <v>0</v>
      </c>
    </row>
    <row r="497" spans="1:20" ht="22.2" hidden="1" customHeight="1">
      <c r="A497" s="379"/>
      <c r="B497" s="410" t="s">
        <v>687</v>
      </c>
      <c r="C497" s="411" t="str">
        <f t="shared" si="78"/>
        <v xml:space="preserve"> </v>
      </c>
      <c r="D497" s="446">
        <v>1</v>
      </c>
      <c r="E497" s="422"/>
      <c r="F497" s="441" t="str">
        <f>VLOOKUP($B497,[1]DG!A:D,[1]DG!$C$2,)</f>
        <v>Boulon 22x800+ 2 long đền vuông D24-50x50x3/Zn</v>
      </c>
      <c r="G497" s="422" t="str">
        <f>VLOOKUP($B497,[1]DG!A:D,[1]DG!$D$2,)</f>
        <v>bộ</v>
      </c>
      <c r="H497" s="436">
        <f t="shared" si="84"/>
        <v>0</v>
      </c>
      <c r="I497" s="436">
        <f t="shared" si="84"/>
        <v>0</v>
      </c>
      <c r="J497" s="436">
        <f t="shared" si="84"/>
        <v>0</v>
      </c>
      <c r="K497" s="436">
        <f t="shared" si="84"/>
        <v>0</v>
      </c>
      <c r="L497" s="436">
        <f t="shared" si="84"/>
        <v>0</v>
      </c>
      <c r="M497" s="436">
        <f t="shared" si="84"/>
        <v>0</v>
      </c>
      <c r="N497" s="436">
        <f t="shared" si="84"/>
        <v>0</v>
      </c>
      <c r="O497" s="436"/>
      <c r="P497" s="436"/>
      <c r="Q497" s="447"/>
      <c r="R497" s="447"/>
      <c r="S497" s="447"/>
      <c r="T497" s="432">
        <f t="shared" si="80"/>
        <v>0</v>
      </c>
    </row>
    <row r="498" spans="1:20" ht="22.2" hidden="1" customHeight="1">
      <c r="A498" s="379"/>
      <c r="B498" s="410" t="s">
        <v>630</v>
      </c>
      <c r="C498" s="411" t="str">
        <f t="shared" si="78"/>
        <v xml:space="preserve"> </v>
      </c>
      <c r="D498" s="433">
        <v>0.42099999999999999</v>
      </c>
      <c r="E498" s="422">
        <f>VLOOKUP($B498,[1]DG!A:D,[1]DG!$B$2,)</f>
        <v>0</v>
      </c>
      <c r="F498" s="434" t="str">
        <f>VLOOKUP($B498,[1]DG!A:D,[1]DG!$C$2,)</f>
        <v>Đá 2x4</v>
      </c>
      <c r="G498" s="422" t="str">
        <f>VLOOKUP($B498,[1]DG!A:D,[1]DG!$D$2,)</f>
        <v>m3</v>
      </c>
      <c r="H498" s="435">
        <f t="shared" ref="H498:N498" si="85">H$18*$D498</f>
        <v>0</v>
      </c>
      <c r="I498" s="435">
        <f t="shared" si="85"/>
        <v>0</v>
      </c>
      <c r="J498" s="435">
        <f t="shared" si="85"/>
        <v>0</v>
      </c>
      <c r="K498" s="435">
        <f t="shared" si="85"/>
        <v>0</v>
      </c>
      <c r="L498" s="435">
        <f t="shared" si="85"/>
        <v>0</v>
      </c>
      <c r="M498" s="435">
        <f t="shared" si="85"/>
        <v>0</v>
      </c>
      <c r="N498" s="435">
        <f t="shared" si="85"/>
        <v>0</v>
      </c>
      <c r="O498" s="435"/>
      <c r="P498" s="435"/>
      <c r="Q498" s="442"/>
      <c r="R498" s="442"/>
      <c r="S498" s="442"/>
      <c r="T498" s="432">
        <f t="shared" si="80"/>
        <v>0</v>
      </c>
    </row>
    <row r="499" spans="1:20" ht="22.2" hidden="1" customHeight="1">
      <c r="A499" s="379"/>
      <c r="B499" s="410" t="s">
        <v>75</v>
      </c>
      <c r="C499" s="411" t="str">
        <f t="shared" si="78"/>
        <v xml:space="preserve"> </v>
      </c>
      <c r="D499" s="445">
        <v>4.03</v>
      </c>
      <c r="E499" s="422" t="str">
        <f>VLOOKUP($B499,[1]DG!A:D,[1]DG!$B$2,)</f>
        <v>03.1013</v>
      </c>
      <c r="F499" s="434" t="str">
        <f>VLOOKUP($B499,[1]DG!A:D,[1]DG!$C$2,)</f>
        <v>Đào hố móng đất cấp 3 sâu &gt;1m</v>
      </c>
      <c r="G499" s="422" t="str">
        <f>VLOOKUP($B499,[1]DG!A:D,[1]DG!$D$2,)</f>
        <v>m3</v>
      </c>
      <c r="H499" s="436"/>
      <c r="I499" s="436"/>
      <c r="J499" s="436"/>
      <c r="K499" s="436"/>
      <c r="L499" s="436"/>
      <c r="M499" s="436"/>
      <c r="N499" s="436"/>
      <c r="O499" s="436"/>
      <c r="P499" s="436"/>
      <c r="Q499" s="444"/>
      <c r="R499" s="444"/>
      <c r="S499" s="444"/>
      <c r="T499" s="432">
        <f t="shared" si="80"/>
        <v>0</v>
      </c>
    </row>
    <row r="500" spans="1:20" ht="22.2" hidden="1" customHeight="1">
      <c r="A500" s="379"/>
      <c r="B500" s="410" t="s">
        <v>76</v>
      </c>
      <c r="C500" s="411" t="str">
        <f t="shared" si="78"/>
        <v xml:space="preserve"> </v>
      </c>
      <c r="D500" s="445">
        <v>4.3140000000000001</v>
      </c>
      <c r="E500" s="422" t="str">
        <f>VLOOKUP($B500,[1]DG!A:D,[1]DG!$B$2,)</f>
        <v>03.4113</v>
      </c>
      <c r="F500" s="434" t="str">
        <f>VLOOKUP($B500,[1]DG!A:D,[1]DG!$C$2,)</f>
        <v>Đắp đất hố móng, độ chặt k=0,95</v>
      </c>
      <c r="G500" s="422" t="str">
        <f>VLOOKUP($B500,[1]DG!A:D,[1]DG!$D$2,)</f>
        <v>m3</v>
      </c>
      <c r="H500" s="436"/>
      <c r="I500" s="436"/>
      <c r="J500" s="436"/>
      <c r="K500" s="436"/>
      <c r="L500" s="436"/>
      <c r="M500" s="436"/>
      <c r="N500" s="436"/>
      <c r="O500" s="436"/>
      <c r="P500" s="436"/>
      <c r="Q500" s="444"/>
      <c r="R500" s="444"/>
      <c r="S500" s="444"/>
      <c r="T500" s="432">
        <f t="shared" si="80"/>
        <v>0</v>
      </c>
    </row>
    <row r="501" spans="1:20" ht="22.2" hidden="1" customHeight="1">
      <c r="A501" s="379"/>
      <c r="B501" s="410" t="s">
        <v>624</v>
      </c>
      <c r="C501" s="411" t="str">
        <f t="shared" si="78"/>
        <v xml:space="preserve"> </v>
      </c>
      <c r="D501" s="445">
        <f>0.255*2</f>
        <v>0.51</v>
      </c>
      <c r="E501" s="422" t="str">
        <f>VLOOKUP($B501,[1]DG!A:D,[1]DG!$B$2,)</f>
        <v>02.1123</v>
      </c>
      <c r="F501" s="434" t="str">
        <f>VLOOKUP($B501,[1]DG!A:D,[1]DG!$C$2,)</f>
        <v>Bốc dỡ đà cản, đế néo</v>
      </c>
      <c r="G501" s="422" t="str">
        <f>VLOOKUP($B501,[1]DG!A:D,[1]DG!$D$2,)</f>
        <v>tấn</v>
      </c>
      <c r="H501" s="436"/>
      <c r="I501" s="436"/>
      <c r="J501" s="436"/>
      <c r="K501" s="436"/>
      <c r="L501" s="436"/>
      <c r="M501" s="436"/>
      <c r="N501" s="436"/>
      <c r="O501" s="436"/>
      <c r="P501" s="436"/>
      <c r="Q501" s="447"/>
      <c r="R501" s="447"/>
      <c r="S501" s="447"/>
      <c r="T501" s="432">
        <f t="shared" si="80"/>
        <v>0</v>
      </c>
    </row>
    <row r="502" spans="1:20" ht="22.2" hidden="1" customHeight="1">
      <c r="A502" s="379"/>
      <c r="B502" s="438" t="s">
        <v>625</v>
      </c>
      <c r="C502" s="411" t="str">
        <f t="shared" si="78"/>
        <v xml:space="preserve"> </v>
      </c>
      <c r="D502" s="445">
        <f>D501</f>
        <v>0.51</v>
      </c>
      <c r="E502" s="422" t="str">
        <f>VLOOKUP($B502,[1]DG!A:C,2,)</f>
        <v>02.1451</v>
      </c>
      <c r="F502" s="434" t="str">
        <f>VLOOKUP($B502,[1]DG!A:C,3,)</f>
        <v>V/c đà cản vào vị trí (cự ly &lt;=100m)</v>
      </c>
      <c r="G502" s="422" t="str">
        <f>VLOOKUP($B502,[1]DG!A:D,4,0)</f>
        <v>tấn</v>
      </c>
      <c r="H502" s="436"/>
      <c r="I502" s="436"/>
      <c r="J502" s="436"/>
      <c r="K502" s="436"/>
      <c r="L502" s="436"/>
      <c r="M502" s="436"/>
      <c r="N502" s="436"/>
      <c r="O502" s="436"/>
      <c r="P502" s="436"/>
      <c r="Q502" s="444"/>
      <c r="R502" s="444"/>
      <c r="S502" s="444"/>
      <c r="T502" s="432">
        <f t="shared" si="80"/>
        <v>0</v>
      </c>
    </row>
    <row r="503" spans="1:20" ht="22.2" hidden="1" customHeight="1">
      <c r="A503" s="379"/>
      <c r="B503" s="438" t="s">
        <v>626</v>
      </c>
      <c r="C503" s="411" t="str">
        <f t="shared" si="78"/>
        <v xml:space="preserve"> </v>
      </c>
      <c r="D503" s="433">
        <f>D498</f>
        <v>0.42099999999999999</v>
      </c>
      <c r="E503" s="422" t="str">
        <f>VLOOKUP($B503,[1]DG!A:C,2,)</f>
        <v>02.1241</v>
      </c>
      <c r="F503" s="434" t="str">
        <f>VLOOKUP($B503,[1]DG!A:C,3,)</f>
        <v>V/c đá dăm ( cự ly &lt;=100m)</v>
      </c>
      <c r="G503" s="422" t="str">
        <f>VLOOKUP($B503,[1]DG!A:D,4,0)</f>
        <v>m3</v>
      </c>
      <c r="H503" s="435"/>
      <c r="I503" s="435"/>
      <c r="J503" s="435"/>
      <c r="K503" s="435"/>
      <c r="L503" s="435"/>
      <c r="M503" s="435"/>
      <c r="N503" s="435"/>
      <c r="O503" s="435"/>
      <c r="P503" s="435"/>
      <c r="Q503" s="437"/>
      <c r="R503" s="437"/>
      <c r="S503" s="437"/>
      <c r="T503" s="432">
        <f t="shared" si="80"/>
        <v>0</v>
      </c>
    </row>
    <row r="504" spans="1:20" ht="22.2" hidden="1" customHeight="1">
      <c r="A504" s="379"/>
      <c r="B504" s="438" t="s">
        <v>620</v>
      </c>
      <c r="C504" s="411" t="str">
        <f t="shared" si="78"/>
        <v xml:space="preserve"> </v>
      </c>
      <c r="D504" s="445">
        <v>0.2</v>
      </c>
      <c r="E504" s="422" t="str">
        <f>VLOOKUP($B504,[1]DG!A:C,2,)</f>
        <v>02.1482</v>
      </c>
      <c r="F504" s="434" t="str">
        <f>VLOOKUP($B504,[1]DG!A:C,3,)</f>
        <v>V/c dụng cụ thi công vào vị trí (cự ly &lt;=100m)</v>
      </c>
      <c r="G504" s="422" t="str">
        <f>VLOOKUP($B504,[1]DG!A:D,4,0)</f>
        <v>tấn</v>
      </c>
      <c r="H504" s="436"/>
      <c r="I504" s="436"/>
      <c r="J504" s="436"/>
      <c r="K504" s="436"/>
      <c r="L504" s="436"/>
      <c r="M504" s="436"/>
      <c r="N504" s="436"/>
      <c r="O504" s="436"/>
      <c r="P504" s="436"/>
      <c r="Q504" s="444"/>
      <c r="R504" s="444"/>
      <c r="S504" s="444"/>
      <c r="T504" s="432">
        <f t="shared" si="80"/>
        <v>0</v>
      </c>
    </row>
    <row r="505" spans="1:20" ht="22.2" hidden="1" customHeight="1">
      <c r="A505" s="423" t="s">
        <v>767</v>
      </c>
      <c r="B505" s="424" t="s">
        <v>767</v>
      </c>
      <c r="C505" s="425" t="str">
        <f t="shared" si="78"/>
        <v xml:space="preserve"> </v>
      </c>
      <c r="D505" s="426"/>
      <c r="E505" s="427"/>
      <c r="F505" s="428" t="s">
        <v>768</v>
      </c>
      <c r="G505" s="349" t="s">
        <v>344</v>
      </c>
      <c r="H505" s="429">
        <f>SUM(I505:O505)</f>
        <v>0</v>
      </c>
      <c r="I505" s="430"/>
      <c r="J505" s="430"/>
      <c r="K505" s="430">
        <f>IFERROR(HLOOKUP(B505,[1]pp3p1m!$1:$3,3,0),0)</f>
        <v>0</v>
      </c>
      <c r="L505" s="430">
        <f>IFERROR(HLOOKUP(chitiet!B505,[1]pp1p!$1:$3,3,0),0)</f>
        <v>0</v>
      </c>
      <c r="M505" s="430"/>
      <c r="N505" s="430"/>
      <c r="O505" s="430"/>
      <c r="P505" s="430"/>
      <c r="Q505" s="431"/>
      <c r="R505" s="431"/>
      <c r="S505" s="431"/>
      <c r="T505" s="432">
        <f>IFERROR(HLOOKUP(B505,[1]pp1p!$1:$3,3,0),0)+IFERROR(HLOOKUP(B505,[1]pp3p1m!$1:$3,3,0),0)</f>
        <v>0</v>
      </c>
    </row>
    <row r="506" spans="1:20" ht="22.2" hidden="1" customHeight="1">
      <c r="A506" s="379"/>
      <c r="B506" s="410" t="s">
        <v>629</v>
      </c>
      <c r="C506" s="411" t="str">
        <f t="shared" si="78"/>
        <v xml:space="preserve"> </v>
      </c>
      <c r="D506" s="446">
        <v>4</v>
      </c>
      <c r="E506" s="422" t="str">
        <f>VLOOKUP($B506,[1]DG!A:D,[1]DG!$B$2,)</f>
        <v>04.3801</v>
      </c>
      <c r="F506" s="441" t="str">
        <f>VLOOKUP($B506,[1]DG!A:D,[1]DG!$C$2,)</f>
        <v>Đà cản BTCT 1,5m</v>
      </c>
      <c r="G506" s="422" t="str">
        <f>VLOOKUP($B506,[1]DG!A:D,[1]DG!$D$2,)</f>
        <v>cái</v>
      </c>
      <c r="H506" s="436">
        <f t="shared" ref="H506:N507" si="86">H$505*$D506</f>
        <v>0</v>
      </c>
      <c r="I506" s="436">
        <f t="shared" si="86"/>
        <v>0</v>
      </c>
      <c r="J506" s="436">
        <f t="shared" si="86"/>
        <v>0</v>
      </c>
      <c r="K506" s="436">
        <f t="shared" si="86"/>
        <v>0</v>
      </c>
      <c r="L506" s="436">
        <f t="shared" si="86"/>
        <v>0</v>
      </c>
      <c r="M506" s="436">
        <f t="shared" si="86"/>
        <v>0</v>
      </c>
      <c r="N506" s="436">
        <f t="shared" si="86"/>
        <v>0</v>
      </c>
      <c r="O506" s="436"/>
      <c r="P506" s="436"/>
      <c r="Q506" s="447"/>
      <c r="R506" s="447"/>
      <c r="S506" s="447"/>
      <c r="T506" s="432">
        <f t="shared" si="80"/>
        <v>0</v>
      </c>
    </row>
    <row r="507" spans="1:20" ht="22.2" hidden="1" customHeight="1">
      <c r="A507" s="379"/>
      <c r="B507" s="410" t="s">
        <v>74</v>
      </c>
      <c r="C507" s="411" t="str">
        <f t="shared" si="78"/>
        <v xml:space="preserve"> </v>
      </c>
      <c r="D507" s="446">
        <v>4</v>
      </c>
      <c r="E507" s="422"/>
      <c r="F507" s="441" t="str">
        <f>VLOOKUP($B507,[1]DG!A:D,[1]DG!$C$2,)</f>
        <v>Boulon 22x650+ 2 long đền vuông D24-50x50x3/Zn</v>
      </c>
      <c r="G507" s="422" t="str">
        <f>VLOOKUP($B507,[1]DG!A:D,[1]DG!$D$2,)</f>
        <v>bộ</v>
      </c>
      <c r="H507" s="436">
        <f t="shared" si="86"/>
        <v>0</v>
      </c>
      <c r="I507" s="436">
        <f t="shared" si="86"/>
        <v>0</v>
      </c>
      <c r="J507" s="436">
        <f t="shared" si="86"/>
        <v>0</v>
      </c>
      <c r="K507" s="436">
        <f t="shared" si="86"/>
        <v>0</v>
      </c>
      <c r="L507" s="436">
        <f t="shared" si="86"/>
        <v>0</v>
      </c>
      <c r="M507" s="436">
        <f t="shared" si="86"/>
        <v>0</v>
      </c>
      <c r="N507" s="436">
        <f t="shared" si="86"/>
        <v>0</v>
      </c>
      <c r="O507" s="436"/>
      <c r="P507" s="436"/>
      <c r="Q507" s="447"/>
      <c r="R507" s="447"/>
      <c r="S507" s="447"/>
      <c r="T507" s="432">
        <f t="shared" si="80"/>
        <v>0</v>
      </c>
    </row>
    <row r="508" spans="1:20" ht="22.2" hidden="1" customHeight="1">
      <c r="A508" s="379"/>
      <c r="B508" s="410" t="s">
        <v>75</v>
      </c>
      <c r="C508" s="411" t="str">
        <f t="shared" si="78"/>
        <v xml:space="preserve"> </v>
      </c>
      <c r="D508" s="445">
        <v>10.63</v>
      </c>
      <c r="E508" s="422" t="str">
        <f>VLOOKUP($B508,[1]DG!A:D,[1]DG!$B$2,)</f>
        <v>03.1013</v>
      </c>
      <c r="F508" s="434" t="str">
        <f>VLOOKUP($B508,[1]DG!A:D,[1]DG!$C$2,)</f>
        <v>Đào hố móng đất cấp 3 sâu &gt;1m</v>
      </c>
      <c r="G508" s="422" t="str">
        <f>VLOOKUP($B508,[1]DG!A:D,[1]DG!$D$2,)</f>
        <v>m3</v>
      </c>
      <c r="H508" s="436"/>
      <c r="I508" s="436"/>
      <c r="J508" s="436"/>
      <c r="K508" s="436"/>
      <c r="L508" s="436"/>
      <c r="M508" s="436"/>
      <c r="N508" s="436"/>
      <c r="O508" s="436"/>
      <c r="P508" s="436"/>
      <c r="Q508" s="444"/>
      <c r="R508" s="444"/>
      <c r="S508" s="444"/>
      <c r="T508" s="432">
        <f t="shared" si="80"/>
        <v>0</v>
      </c>
    </row>
    <row r="509" spans="1:20" ht="22.2" hidden="1" customHeight="1">
      <c r="A509" s="379"/>
      <c r="B509" s="410" t="s">
        <v>76</v>
      </c>
      <c r="C509" s="411" t="str">
        <f t="shared" si="78"/>
        <v xml:space="preserve"> </v>
      </c>
      <c r="D509" s="445">
        <v>10.63</v>
      </c>
      <c r="E509" s="422" t="str">
        <f>VLOOKUP($B509,[1]DG!A:D,[1]DG!$B$2,)</f>
        <v>03.4113</v>
      </c>
      <c r="F509" s="434" t="str">
        <f>VLOOKUP($B509,[1]DG!A:D,[1]DG!$C$2,)</f>
        <v>Đắp đất hố móng, độ chặt k=0,95</v>
      </c>
      <c r="G509" s="422" t="str">
        <f>VLOOKUP($B509,[1]DG!A:D,[1]DG!$D$2,)</f>
        <v>m3</v>
      </c>
      <c r="H509" s="436"/>
      <c r="I509" s="436"/>
      <c r="J509" s="436"/>
      <c r="K509" s="436"/>
      <c r="L509" s="436"/>
      <c r="M509" s="436"/>
      <c r="N509" s="436"/>
      <c r="O509" s="436"/>
      <c r="P509" s="436"/>
      <c r="Q509" s="444"/>
      <c r="R509" s="444"/>
      <c r="S509" s="444"/>
      <c r="T509" s="432">
        <f t="shared" si="80"/>
        <v>0</v>
      </c>
    </row>
    <row r="510" spans="1:20" ht="22.2" hidden="1" customHeight="1">
      <c r="A510" s="379"/>
      <c r="B510" s="410" t="s">
        <v>624</v>
      </c>
      <c r="C510" s="411" t="str">
        <f t="shared" si="78"/>
        <v xml:space="preserve"> </v>
      </c>
      <c r="D510" s="445">
        <f>0.255*D506</f>
        <v>1.02</v>
      </c>
      <c r="E510" s="422" t="str">
        <f>VLOOKUP($B510,[1]DG!A:D,[1]DG!$B$2,)</f>
        <v>02.1123</v>
      </c>
      <c r="F510" s="434" t="str">
        <f>VLOOKUP($B510,[1]DG!A:D,[1]DG!$C$2,)</f>
        <v>Bốc dỡ đà cản, đế néo</v>
      </c>
      <c r="G510" s="422" t="str">
        <f>VLOOKUP($B510,[1]DG!A:D,[1]DG!$D$2,)</f>
        <v>tấn</v>
      </c>
      <c r="H510" s="436"/>
      <c r="I510" s="436"/>
      <c r="J510" s="436"/>
      <c r="K510" s="436"/>
      <c r="L510" s="436"/>
      <c r="M510" s="436"/>
      <c r="N510" s="436"/>
      <c r="O510" s="436"/>
      <c r="P510" s="436"/>
      <c r="Q510" s="447"/>
      <c r="R510" s="447"/>
      <c r="S510" s="447"/>
      <c r="T510" s="432">
        <f t="shared" si="80"/>
        <v>0</v>
      </c>
    </row>
    <row r="511" spans="1:20" ht="22.2" hidden="1" customHeight="1">
      <c r="A511" s="379"/>
      <c r="B511" s="438" t="s">
        <v>625</v>
      </c>
      <c r="C511" s="411" t="str">
        <f t="shared" si="78"/>
        <v xml:space="preserve"> </v>
      </c>
      <c r="D511" s="445">
        <f>D510</f>
        <v>1.02</v>
      </c>
      <c r="E511" s="422" t="str">
        <f>VLOOKUP($B511,[1]DG!A:C,2,)</f>
        <v>02.1451</v>
      </c>
      <c r="F511" s="434" t="str">
        <f>VLOOKUP($B511,[1]DG!A:C,3,)</f>
        <v>V/c đà cản vào vị trí (cự ly &lt;=100m)</v>
      </c>
      <c r="G511" s="422" t="str">
        <f>VLOOKUP($B511,[1]DG!A:D,4,0)</f>
        <v>tấn</v>
      </c>
      <c r="H511" s="436"/>
      <c r="I511" s="436"/>
      <c r="J511" s="436"/>
      <c r="K511" s="436"/>
      <c r="L511" s="436"/>
      <c r="M511" s="436"/>
      <c r="N511" s="436"/>
      <c r="O511" s="436"/>
      <c r="P511" s="436"/>
      <c r="Q511" s="444"/>
      <c r="R511" s="444"/>
      <c r="S511" s="444"/>
      <c r="T511" s="432">
        <f t="shared" si="80"/>
        <v>0</v>
      </c>
    </row>
    <row r="512" spans="1:20" ht="22.2" hidden="1" customHeight="1">
      <c r="A512" s="379"/>
      <c r="B512" s="438" t="s">
        <v>620</v>
      </c>
      <c r="C512" s="411" t="str">
        <f t="shared" si="78"/>
        <v xml:space="preserve"> </v>
      </c>
      <c r="D512" s="445">
        <v>0.2</v>
      </c>
      <c r="E512" s="422" t="str">
        <f>VLOOKUP($B512,[1]DG!A:C,2,)</f>
        <v>02.1482</v>
      </c>
      <c r="F512" s="434" t="str">
        <f>VLOOKUP($B512,[1]DG!A:C,3,)</f>
        <v>V/c dụng cụ thi công vào vị trí (cự ly &lt;=100m)</v>
      </c>
      <c r="G512" s="422" t="str">
        <f>VLOOKUP($B512,[1]DG!A:D,4,0)</f>
        <v>tấn</v>
      </c>
      <c r="H512" s="436"/>
      <c r="I512" s="436"/>
      <c r="J512" s="436"/>
      <c r="K512" s="436"/>
      <c r="L512" s="436"/>
      <c r="M512" s="436"/>
      <c r="N512" s="436"/>
      <c r="O512" s="436"/>
      <c r="P512" s="436"/>
      <c r="Q512" s="444"/>
      <c r="R512" s="444"/>
      <c r="S512" s="444"/>
      <c r="T512" s="432">
        <f t="shared" si="80"/>
        <v>0</v>
      </c>
    </row>
    <row r="513" spans="1:20" ht="22.2" hidden="1" customHeight="1">
      <c r="A513" s="423" t="s">
        <v>769</v>
      </c>
      <c r="B513" s="424" t="s">
        <v>769</v>
      </c>
      <c r="C513" s="425" t="str">
        <f t="shared" si="78"/>
        <v xml:space="preserve"> </v>
      </c>
      <c r="D513" s="426"/>
      <c r="E513" s="427"/>
      <c r="F513" s="428" t="s">
        <v>770</v>
      </c>
      <c r="G513" s="349" t="s">
        <v>344</v>
      </c>
      <c r="H513" s="429">
        <f>SUM(I513:O513)</f>
        <v>0</v>
      </c>
      <c r="I513" s="430"/>
      <c r="J513" s="430"/>
      <c r="K513" s="430">
        <f>IFERROR(HLOOKUP(B513,[1]pp3p1m!$1:$3,3,0),0)</f>
        <v>0</v>
      </c>
      <c r="L513" s="430">
        <f>IFERROR(HLOOKUP(chitiet!B513,[1]pp1p!$1:$3,3,0),0)</f>
        <v>0</v>
      </c>
      <c r="M513" s="430"/>
      <c r="N513" s="430"/>
      <c r="O513" s="430"/>
      <c r="P513" s="430"/>
      <c r="Q513" s="431"/>
      <c r="R513" s="431"/>
      <c r="S513" s="431"/>
      <c r="T513" s="432">
        <f>IFERROR(HLOOKUP(B513,[1]pp1p!$1:$3,3,0),0)+IFERROR(HLOOKUP(B513,[1]pp3p1m!$1:$3,3,0),0)</f>
        <v>0</v>
      </c>
    </row>
    <row r="514" spans="1:20" ht="22.2" hidden="1" customHeight="1">
      <c r="A514" s="379"/>
      <c r="B514" s="410" t="s">
        <v>654</v>
      </c>
      <c r="C514" s="411" t="str">
        <f t="shared" si="78"/>
        <v xml:space="preserve"> </v>
      </c>
      <c r="D514" s="443">
        <v>2.0139999999999998</v>
      </c>
      <c r="E514" s="422" t="str">
        <f>VLOOKUP($B514,[1]DG!A:D,[1]DG!$B$2,)</f>
        <v>04.1203c</v>
      </c>
      <c r="F514" s="434" t="str">
        <f>VLOOKUP($B514,[1]DG!A:D,[1]DG!$C$2,)</f>
        <v>Đổ bê tông móng trụ &lt;=250cm-M200 đá 1x2</v>
      </c>
      <c r="G514" s="422" t="str">
        <f>VLOOKUP($B514,[1]DG!A:D,[1]DG!$D$2,)</f>
        <v>m3</v>
      </c>
      <c r="H514" s="436">
        <f t="shared" ref="H514:N517" si="87">H$513*$D514</f>
        <v>0</v>
      </c>
      <c r="I514" s="436">
        <f t="shared" si="87"/>
        <v>0</v>
      </c>
      <c r="J514" s="436">
        <f t="shared" si="87"/>
        <v>0</v>
      </c>
      <c r="K514" s="436">
        <f t="shared" si="87"/>
        <v>0</v>
      </c>
      <c r="L514" s="436">
        <f t="shared" si="87"/>
        <v>0</v>
      </c>
      <c r="M514" s="436">
        <f t="shared" si="87"/>
        <v>0</v>
      </c>
      <c r="N514" s="436">
        <f t="shared" si="87"/>
        <v>0</v>
      </c>
      <c r="O514" s="436"/>
      <c r="P514" s="436"/>
      <c r="Q514" s="447"/>
      <c r="R514" s="447"/>
      <c r="S514" s="447"/>
      <c r="T514" s="432">
        <f t="shared" si="80"/>
        <v>0</v>
      </c>
    </row>
    <row r="515" spans="1:20" ht="22.2" hidden="1" customHeight="1">
      <c r="A515" s="379"/>
      <c r="B515" s="410" t="s">
        <v>771</v>
      </c>
      <c r="C515" s="411" t="str">
        <f t="shared" si="78"/>
        <v xml:space="preserve"> </v>
      </c>
      <c r="D515" s="443">
        <v>0.20399999999999999</v>
      </c>
      <c r="E515" s="422" t="str">
        <f>VLOOKUP($B515,[1]DG!A:D,[1]DG!$B$2,)</f>
        <v>04.3112</v>
      </c>
      <c r="F515" s="434" t="str">
        <f>VLOOKUP($B515,[1]DG!A:D,[1]DG!$C$2,)</f>
        <v>Đổ bê tông mác M100 đá 4x6</v>
      </c>
      <c r="G515" s="422" t="str">
        <f>VLOOKUP($B515,[1]DG!A:D,[1]DG!$D$2,)</f>
        <v>m3</v>
      </c>
      <c r="H515" s="436">
        <f t="shared" si="87"/>
        <v>0</v>
      </c>
      <c r="I515" s="436">
        <f t="shared" si="87"/>
        <v>0</v>
      </c>
      <c r="J515" s="436">
        <f t="shared" si="87"/>
        <v>0</v>
      </c>
      <c r="K515" s="436">
        <f t="shared" si="87"/>
        <v>0</v>
      </c>
      <c r="L515" s="436">
        <f t="shared" si="87"/>
        <v>0</v>
      </c>
      <c r="M515" s="436">
        <f t="shared" si="87"/>
        <v>0</v>
      </c>
      <c r="N515" s="436">
        <f t="shared" si="87"/>
        <v>0</v>
      </c>
      <c r="O515" s="436"/>
      <c r="P515" s="436"/>
      <c r="Q515" s="447"/>
      <c r="R515" s="447"/>
      <c r="S515" s="447"/>
      <c r="T515" s="432">
        <f t="shared" si="80"/>
        <v>0</v>
      </c>
    </row>
    <row r="516" spans="1:20" ht="22.2" hidden="1" customHeight="1">
      <c r="A516" s="379"/>
      <c r="B516" s="449" t="s">
        <v>389</v>
      </c>
      <c r="C516" s="411" t="str">
        <f t="shared" si="78"/>
        <v xml:space="preserve"> </v>
      </c>
      <c r="D516" s="445">
        <v>0.24</v>
      </c>
      <c r="E516" s="422"/>
      <c r="F516" s="434" t="str">
        <f>VLOOKUP($B516,[1]DG!A:D,[1]DG!$C$2,)</f>
        <v>Cát vàng</v>
      </c>
      <c r="G516" s="422" t="str">
        <f>VLOOKUP($B516,[1]DG!A:D,[1]DG!$D$2,)</f>
        <v>m3</v>
      </c>
      <c r="H516" s="436">
        <f t="shared" si="87"/>
        <v>0</v>
      </c>
      <c r="I516" s="436">
        <f t="shared" si="87"/>
        <v>0</v>
      </c>
      <c r="J516" s="436">
        <f t="shared" si="87"/>
        <v>0</v>
      </c>
      <c r="K516" s="436">
        <f t="shared" si="87"/>
        <v>0</v>
      </c>
      <c r="L516" s="436">
        <f t="shared" si="87"/>
        <v>0</v>
      </c>
      <c r="M516" s="436">
        <f t="shared" si="87"/>
        <v>0</v>
      </c>
      <c r="N516" s="436">
        <f t="shared" si="87"/>
        <v>0</v>
      </c>
      <c r="O516" s="436"/>
      <c r="P516" s="436"/>
      <c r="Q516" s="447"/>
      <c r="R516" s="447"/>
      <c r="S516" s="447"/>
      <c r="T516" s="432">
        <f t="shared" si="80"/>
        <v>0</v>
      </c>
    </row>
    <row r="517" spans="1:20" ht="22.2" hidden="1" customHeight="1">
      <c r="A517" s="379"/>
      <c r="B517" s="410" t="s">
        <v>772</v>
      </c>
      <c r="C517" s="411" t="str">
        <f t="shared" si="78"/>
        <v xml:space="preserve"> </v>
      </c>
      <c r="D517" s="446">
        <v>193.05</v>
      </c>
      <c r="E517" s="422"/>
      <c r="F517" s="441" t="str">
        <f>VLOOKUP($B517,[1]DG!A:D,[1]DG!$C$2,)</f>
        <v>Sắt Ø6</v>
      </c>
      <c r="G517" s="422" t="str">
        <f>VLOOKUP($B517,[1]DG!A:D,[1]DG!$D$2,)</f>
        <v>kg</v>
      </c>
      <c r="H517" s="436">
        <f t="shared" si="87"/>
        <v>0</v>
      </c>
      <c r="I517" s="436">
        <f t="shared" si="87"/>
        <v>0</v>
      </c>
      <c r="J517" s="436">
        <f t="shared" si="87"/>
        <v>0</v>
      </c>
      <c r="K517" s="436">
        <f t="shared" si="87"/>
        <v>0</v>
      </c>
      <c r="L517" s="436">
        <f t="shared" si="87"/>
        <v>0</v>
      </c>
      <c r="M517" s="436">
        <f t="shared" si="87"/>
        <v>0</v>
      </c>
      <c r="N517" s="436">
        <f t="shared" si="87"/>
        <v>0</v>
      </c>
      <c r="O517" s="436"/>
      <c r="P517" s="436"/>
      <c r="Q517" s="447"/>
      <c r="R517" s="447"/>
      <c r="S517" s="447"/>
      <c r="T517" s="432">
        <f t="shared" si="80"/>
        <v>0</v>
      </c>
    </row>
    <row r="518" spans="1:20" ht="22.2" hidden="1" customHeight="1">
      <c r="A518" s="379"/>
      <c r="B518" s="410" t="s">
        <v>75</v>
      </c>
      <c r="C518" s="411" t="str">
        <f t="shared" si="78"/>
        <v xml:space="preserve"> </v>
      </c>
      <c r="D518" s="454">
        <v>5.3040000000000003</v>
      </c>
      <c r="E518" s="422" t="str">
        <f>VLOOKUP($B518,[1]DG!A:D,[1]DG!$B$2,)</f>
        <v>03.1013</v>
      </c>
      <c r="F518" s="434" t="str">
        <f>VLOOKUP($B518,[1]DG!A:D,[1]DG!$C$2,)</f>
        <v>Đào hố móng đất cấp 3 sâu &gt;1m</v>
      </c>
      <c r="G518" s="422" t="str">
        <f>VLOOKUP($B518,[1]DG!A:D,[1]DG!$D$2,)</f>
        <v>m3</v>
      </c>
      <c r="H518" s="436"/>
      <c r="I518" s="436"/>
      <c r="J518" s="436"/>
      <c r="K518" s="436"/>
      <c r="L518" s="436"/>
      <c r="M518" s="436"/>
      <c r="N518" s="436"/>
      <c r="O518" s="436"/>
      <c r="P518" s="436"/>
      <c r="Q518" s="444"/>
      <c r="R518" s="444"/>
      <c r="S518" s="444"/>
      <c r="T518" s="432">
        <f t="shared" si="80"/>
        <v>0</v>
      </c>
    </row>
    <row r="519" spans="1:20" ht="22.2" hidden="1" customHeight="1">
      <c r="A519" s="379"/>
      <c r="B519" s="410" t="s">
        <v>76</v>
      </c>
      <c r="C519" s="411" t="str">
        <f t="shared" si="78"/>
        <v xml:space="preserve"> </v>
      </c>
      <c r="D519" s="454">
        <v>2.8450000000000002</v>
      </c>
      <c r="E519" s="422" t="str">
        <f>VLOOKUP($B519,[1]DG!A:D,[1]DG!$B$2,)</f>
        <v>03.4113</v>
      </c>
      <c r="F519" s="434" t="str">
        <f>VLOOKUP($B519,[1]DG!A:D,[1]DG!$C$2,)</f>
        <v>Đắp đất hố móng, độ chặt k=0,95</v>
      </c>
      <c r="G519" s="422" t="str">
        <f>VLOOKUP($B519,[1]DG!A:D,[1]DG!$D$2,)</f>
        <v>m3</v>
      </c>
      <c r="H519" s="436"/>
      <c r="I519" s="436"/>
      <c r="J519" s="436"/>
      <c r="K519" s="436"/>
      <c r="L519" s="436"/>
      <c r="M519" s="436"/>
      <c r="N519" s="436"/>
      <c r="O519" s="436"/>
      <c r="P519" s="436"/>
      <c r="Q519" s="444"/>
      <c r="R519" s="444"/>
      <c r="S519" s="444"/>
      <c r="T519" s="432">
        <f t="shared" si="80"/>
        <v>0</v>
      </c>
    </row>
    <row r="520" spans="1:20" ht="22.2" hidden="1" customHeight="1">
      <c r="A520" s="379"/>
      <c r="B520" s="410" t="s">
        <v>773</v>
      </c>
      <c r="C520" s="411" t="str">
        <f t="shared" si="78"/>
        <v xml:space="preserve"> </v>
      </c>
      <c r="D520" s="445">
        <f>D516</f>
        <v>0.24</v>
      </c>
      <c r="E520" s="422" t="str">
        <f>VLOOKUP($B520,[1]DG!A:D,[1]DG!$B$2,)</f>
        <v>03.7000</v>
      </c>
      <c r="F520" s="434" t="str">
        <f>VLOOKUP($B520,[1]DG!A:D,[1]DG!$C$2,)&amp;"san phaúng ñaàu cöø"</f>
        <v>Đắp cát san phaúng ñaàu cöø</v>
      </c>
      <c r="G520" s="422" t="str">
        <f>VLOOKUP($B520,[1]DG!A:D,[1]DG!$D$2,)</f>
        <v>m3</v>
      </c>
      <c r="H520" s="436"/>
      <c r="I520" s="436"/>
      <c r="J520" s="436"/>
      <c r="K520" s="436"/>
      <c r="L520" s="436"/>
      <c r="M520" s="436"/>
      <c r="N520" s="436"/>
      <c r="O520" s="436"/>
      <c r="P520" s="436"/>
      <c r="Q520" s="447"/>
      <c r="R520" s="447"/>
      <c r="S520" s="447"/>
      <c r="T520" s="432">
        <f t="shared" si="80"/>
        <v>0</v>
      </c>
    </row>
    <row r="521" spans="1:20" ht="22.2" hidden="1" customHeight="1">
      <c r="A521" s="379"/>
      <c r="B521" s="410" t="s">
        <v>649</v>
      </c>
      <c r="C521" s="411" t="str">
        <f t="shared" si="78"/>
        <v xml:space="preserve"> </v>
      </c>
      <c r="D521" s="446">
        <f>D517</f>
        <v>193.05</v>
      </c>
      <c r="E521" s="422" t="str">
        <f>VLOOKUP($B521,[1]DG!A:D,[1]DG!$B$2,)</f>
        <v>04.5101</v>
      </c>
      <c r="F521" s="434" t="str">
        <f>VLOOKUP($B521,[1]DG!A:D,[1]DG!$C$2,)</f>
        <v>Gia công và lắp dựng cốt thép D&lt;=10</v>
      </c>
      <c r="G521" s="422" t="str">
        <f>VLOOKUP($B521,[1]DG!A:D,[1]DG!$D$2,)</f>
        <v>kg</v>
      </c>
      <c r="H521" s="436"/>
      <c r="I521" s="436"/>
      <c r="J521" s="436"/>
      <c r="K521" s="436"/>
      <c r="L521" s="436"/>
      <c r="M521" s="436"/>
      <c r="N521" s="436"/>
      <c r="O521" s="436"/>
      <c r="P521" s="436"/>
      <c r="Q521" s="447"/>
      <c r="R521" s="447"/>
      <c r="S521" s="447"/>
      <c r="T521" s="432">
        <f t="shared" si="80"/>
        <v>0</v>
      </c>
    </row>
    <row r="522" spans="1:20" ht="22.2" hidden="1" customHeight="1">
      <c r="A522" s="379"/>
      <c r="B522" s="410" t="s">
        <v>774</v>
      </c>
      <c r="C522" s="411" t="str">
        <f t="shared" si="78"/>
        <v xml:space="preserve"> </v>
      </c>
      <c r="D522" s="445">
        <v>8</v>
      </c>
      <c r="E522" s="422" t="str">
        <f>VLOOKUP($B522,[1]DG!A:D,[1]DG!$B$2,)</f>
        <v>04.2001</v>
      </c>
      <c r="F522" s="434" t="str">
        <f>VLOOKUP($B522,[1]DG!A:D,[1]DG!$C$2,)</f>
        <v>Gia công và lắp dựng ván khuôn</v>
      </c>
      <c r="G522" s="422" t="str">
        <f>VLOOKUP($B522,[1]DG!A:D,[1]DG!$D$2,)</f>
        <v>m2</v>
      </c>
      <c r="H522" s="436"/>
      <c r="I522" s="436"/>
      <c r="J522" s="436"/>
      <c r="K522" s="436"/>
      <c r="L522" s="436"/>
      <c r="M522" s="436"/>
      <c r="N522" s="436"/>
      <c r="O522" s="436"/>
      <c r="P522" s="436"/>
      <c r="Q522" s="447"/>
      <c r="R522" s="447"/>
      <c r="S522" s="447"/>
      <c r="T522" s="432">
        <f t="shared" si="80"/>
        <v>0</v>
      </c>
    </row>
    <row r="523" spans="1:20" ht="22.2" hidden="1" customHeight="1">
      <c r="A523" s="379"/>
      <c r="B523" s="438" t="s">
        <v>775</v>
      </c>
      <c r="C523" s="411" t="str">
        <f t="shared" si="78"/>
        <v xml:space="preserve"> </v>
      </c>
      <c r="D523" s="445">
        <f>D517/1000</f>
        <v>0.19305</v>
      </c>
      <c r="E523" s="422" t="str">
        <f>VLOOKUP($B523,[1]DG!A:C,2,)</f>
        <v>02.1351</v>
      </c>
      <c r="F523" s="434" t="str">
        <f>VLOOKUP($B523,[1]DG!A:C,3,)</f>
        <v>V/c cốt thép ( cự ly &lt;=100m)</v>
      </c>
      <c r="G523" s="422" t="str">
        <f>VLOOKUP($B523,[1]DG!A:D,4,0)</f>
        <v>tấn</v>
      </c>
      <c r="H523" s="436"/>
      <c r="I523" s="436"/>
      <c r="J523" s="436"/>
      <c r="K523" s="436"/>
      <c r="L523" s="436"/>
      <c r="M523" s="436"/>
      <c r="N523" s="436"/>
      <c r="O523" s="436"/>
      <c r="P523" s="436"/>
      <c r="Q523" s="444"/>
      <c r="R523" s="444"/>
      <c r="S523" s="444"/>
      <c r="T523" s="432">
        <f t="shared" si="80"/>
        <v>0</v>
      </c>
    </row>
    <row r="524" spans="1:20" ht="22.2" hidden="1" customHeight="1">
      <c r="A524" s="379"/>
      <c r="B524" s="438" t="s">
        <v>776</v>
      </c>
      <c r="C524" s="411" t="str">
        <f t="shared" si="78"/>
        <v xml:space="preserve"> </v>
      </c>
      <c r="D524" s="445">
        <f>D516</f>
        <v>0.24</v>
      </c>
      <c r="E524" s="422">
        <f>VLOOKUP($B524,[1]DG!A:C,2,)</f>
        <v>0</v>
      </c>
      <c r="F524" s="434" t="str">
        <f>VLOOKUP($B524,[1]DG!A:C,3,)</f>
        <v>Cát vàng</v>
      </c>
      <c r="G524" s="422" t="str">
        <f>VLOOKUP($B524,[1]DG!A:D,4,0)</f>
        <v>m3</v>
      </c>
      <c r="H524" s="436"/>
      <c r="I524" s="436"/>
      <c r="J524" s="436"/>
      <c r="K524" s="436"/>
      <c r="L524" s="436"/>
      <c r="M524" s="436"/>
      <c r="N524" s="436"/>
      <c r="O524" s="436"/>
      <c r="P524" s="436"/>
      <c r="Q524" s="444"/>
      <c r="R524" s="444"/>
      <c r="S524" s="444"/>
      <c r="T524" s="432">
        <f t="shared" si="80"/>
        <v>0</v>
      </c>
    </row>
    <row r="525" spans="1:20" ht="22.2" hidden="1" customHeight="1">
      <c r="A525" s="379"/>
      <c r="B525" s="438" t="s">
        <v>620</v>
      </c>
      <c r="C525" s="411" t="str">
        <f t="shared" si="78"/>
        <v xml:space="preserve"> </v>
      </c>
      <c r="D525" s="445">
        <v>0.2</v>
      </c>
      <c r="E525" s="422" t="str">
        <f>VLOOKUP($B525,[1]DG!A:C,2,)</f>
        <v>02.1482</v>
      </c>
      <c r="F525" s="434" t="str">
        <f>VLOOKUP($B525,[1]DG!A:C,3,)</f>
        <v>V/c dụng cụ thi công vào vị trí (cự ly &lt;=100m)</v>
      </c>
      <c r="G525" s="422" t="str">
        <f>VLOOKUP($B525,[1]DG!A:D,4,0)</f>
        <v>tấn</v>
      </c>
      <c r="H525" s="436"/>
      <c r="I525" s="436"/>
      <c r="J525" s="436"/>
      <c r="K525" s="436"/>
      <c r="L525" s="436"/>
      <c r="M525" s="436"/>
      <c r="N525" s="436"/>
      <c r="O525" s="436"/>
      <c r="P525" s="436"/>
      <c r="Q525" s="444"/>
      <c r="R525" s="444"/>
      <c r="S525" s="444"/>
      <c r="T525" s="432">
        <f t="shared" si="80"/>
        <v>0</v>
      </c>
    </row>
    <row r="526" spans="1:20" ht="22.2" hidden="1" customHeight="1">
      <c r="A526" s="423" t="s">
        <v>777</v>
      </c>
      <c r="B526" s="424" t="s">
        <v>777</v>
      </c>
      <c r="C526" s="425" t="str">
        <f t="shared" si="78"/>
        <v xml:space="preserve"> </v>
      </c>
      <c r="D526" s="426"/>
      <c r="E526" s="427"/>
      <c r="F526" s="428" t="s">
        <v>778</v>
      </c>
      <c r="G526" s="349" t="s">
        <v>344</v>
      </c>
      <c r="H526" s="429">
        <f>SUM(I526:O526)</f>
        <v>0</v>
      </c>
      <c r="I526" s="430"/>
      <c r="J526" s="430"/>
      <c r="K526" s="430">
        <f>IFERROR(HLOOKUP(B526,[1]pp3p1m!$1:$3,3,0),0)</f>
        <v>0</v>
      </c>
      <c r="L526" s="430">
        <f>IFERROR(HLOOKUP(chitiet!B526,[1]pp1p!$1:$3,3,0),0)</f>
        <v>0</v>
      </c>
      <c r="M526" s="430"/>
      <c r="N526" s="430"/>
      <c r="O526" s="430"/>
      <c r="P526" s="430"/>
      <c r="Q526" s="431"/>
      <c r="R526" s="431"/>
      <c r="S526" s="431"/>
      <c r="T526" s="432">
        <f>IFERROR(HLOOKUP(B526,[1]pp1p!$1:$3,3,0),0)+IFERROR(HLOOKUP(B526,[1]pp3p1m!$1:$3,3,0),0)</f>
        <v>0</v>
      </c>
    </row>
    <row r="527" spans="1:20" ht="22.2" hidden="1" customHeight="1">
      <c r="A527" s="379"/>
      <c r="B527" s="410" t="s">
        <v>629</v>
      </c>
      <c r="C527" s="411" t="str">
        <f t="shared" si="78"/>
        <v xml:space="preserve"> </v>
      </c>
      <c r="D527" s="446">
        <v>4</v>
      </c>
      <c r="E527" s="422" t="str">
        <f>VLOOKUP($B527,[1]DG!A:D,[1]DG!$B$2,)</f>
        <v>04.3801</v>
      </c>
      <c r="F527" s="441" t="str">
        <f>VLOOKUP($B527,[1]DG!A:D,[1]DG!$C$2,)</f>
        <v>Đà cản BTCT 1,5m</v>
      </c>
      <c r="G527" s="422" t="str">
        <f>VLOOKUP($B527,[1]DG!A:D,[1]DG!$D$2,)</f>
        <v>cái</v>
      </c>
      <c r="H527" s="436">
        <f t="shared" ref="H527:N528" si="88">H$526*$D527</f>
        <v>0</v>
      </c>
      <c r="I527" s="436">
        <f t="shared" si="88"/>
        <v>0</v>
      </c>
      <c r="J527" s="436">
        <f t="shared" si="88"/>
        <v>0</v>
      </c>
      <c r="K527" s="436">
        <f t="shared" si="88"/>
        <v>0</v>
      </c>
      <c r="L527" s="436">
        <f t="shared" si="88"/>
        <v>0</v>
      </c>
      <c r="M527" s="436">
        <f t="shared" si="88"/>
        <v>0</v>
      </c>
      <c r="N527" s="436">
        <f t="shared" si="88"/>
        <v>0</v>
      </c>
      <c r="O527" s="436"/>
      <c r="P527" s="436"/>
      <c r="Q527" s="447"/>
      <c r="R527" s="447"/>
      <c r="S527" s="447"/>
      <c r="T527" s="432">
        <f t="shared" si="80"/>
        <v>0</v>
      </c>
    </row>
    <row r="528" spans="1:20" ht="22.2" hidden="1" customHeight="1">
      <c r="A528" s="379"/>
      <c r="B528" s="410" t="s">
        <v>687</v>
      </c>
      <c r="C528" s="411" t="str">
        <f t="shared" si="78"/>
        <v xml:space="preserve"> </v>
      </c>
      <c r="D528" s="446">
        <v>4</v>
      </c>
      <c r="E528" s="422"/>
      <c r="F528" s="455" t="str">
        <f>VLOOKUP($B528,[1]DG!A:D,[1]DG!$C$2,)</f>
        <v>Boulon 22x800+ 2 long đền vuông D24-50x50x3/Zn</v>
      </c>
      <c r="G528" s="422" t="str">
        <f>VLOOKUP($B528,[1]DG!A:D,[1]DG!$D$2,)</f>
        <v>bộ</v>
      </c>
      <c r="H528" s="436">
        <f t="shared" si="88"/>
        <v>0</v>
      </c>
      <c r="I528" s="436">
        <f t="shared" si="88"/>
        <v>0</v>
      </c>
      <c r="J528" s="436">
        <f t="shared" si="88"/>
        <v>0</v>
      </c>
      <c r="K528" s="436">
        <f t="shared" si="88"/>
        <v>0</v>
      </c>
      <c r="L528" s="436">
        <f t="shared" si="88"/>
        <v>0</v>
      </c>
      <c r="M528" s="436">
        <f t="shared" si="88"/>
        <v>0</v>
      </c>
      <c r="N528" s="436">
        <f t="shared" si="88"/>
        <v>0</v>
      </c>
      <c r="O528" s="436"/>
      <c r="P528" s="436"/>
      <c r="Q528" s="447"/>
      <c r="R528" s="447"/>
      <c r="S528" s="447"/>
      <c r="T528" s="432">
        <f t="shared" si="80"/>
        <v>0</v>
      </c>
    </row>
    <row r="529" spans="1:20" ht="22.2" hidden="1" customHeight="1">
      <c r="A529" s="379"/>
      <c r="B529" s="410" t="s">
        <v>75</v>
      </c>
      <c r="C529" s="411" t="str">
        <f t="shared" si="78"/>
        <v xml:space="preserve"> </v>
      </c>
      <c r="D529" s="445">
        <v>21.8</v>
      </c>
      <c r="E529" s="422" t="str">
        <f>VLOOKUP($B529,[1]DG!A:D,[1]DG!$B$2,)</f>
        <v>03.1013</v>
      </c>
      <c r="F529" s="434" t="str">
        <f>VLOOKUP($B529,[1]DG!A:D,[1]DG!$C$2,)</f>
        <v>Đào hố móng đất cấp 3 sâu &gt;1m</v>
      </c>
      <c r="G529" s="422" t="str">
        <f>VLOOKUP($B529,[1]DG!A:D,[1]DG!$D$2,)</f>
        <v>m3</v>
      </c>
      <c r="H529" s="436"/>
      <c r="I529" s="436"/>
      <c r="J529" s="436"/>
      <c r="K529" s="436"/>
      <c r="L529" s="436"/>
      <c r="M529" s="436"/>
      <c r="N529" s="436"/>
      <c r="O529" s="436"/>
      <c r="P529" s="436"/>
      <c r="Q529" s="444"/>
      <c r="R529" s="444"/>
      <c r="S529" s="444"/>
      <c r="T529" s="432">
        <f t="shared" ref="T529:T592" si="89">IFERROR(HLOOKUP(B529,BangKeTru,3,0),0)</f>
        <v>0</v>
      </c>
    </row>
    <row r="530" spans="1:20" ht="22.2" hidden="1" customHeight="1">
      <c r="A530" s="379"/>
      <c r="B530" s="410" t="s">
        <v>76</v>
      </c>
      <c r="C530" s="411" t="str">
        <f t="shared" ref="C530:C593" si="90">IF(OR(P530&lt;&gt;0,H530&lt;&gt;0),"x"," ")</f>
        <v xml:space="preserve"> </v>
      </c>
      <c r="D530" s="445">
        <v>23.1</v>
      </c>
      <c r="E530" s="422" t="str">
        <f>VLOOKUP($B530,[1]DG!A:D,[1]DG!$B$2,)</f>
        <v>03.4113</v>
      </c>
      <c r="F530" s="434" t="str">
        <f>VLOOKUP($B530,[1]DG!A:D,[1]DG!$C$2,)</f>
        <v>Đắp đất hố móng, độ chặt k=0,95</v>
      </c>
      <c r="G530" s="422" t="str">
        <f>VLOOKUP($B530,[1]DG!A:D,[1]DG!$D$2,)</f>
        <v>m3</v>
      </c>
      <c r="H530" s="436"/>
      <c r="I530" s="436"/>
      <c r="J530" s="436"/>
      <c r="K530" s="436"/>
      <c r="L530" s="436"/>
      <c r="M530" s="436"/>
      <c r="N530" s="436"/>
      <c r="O530" s="436"/>
      <c r="P530" s="436"/>
      <c r="Q530" s="444"/>
      <c r="R530" s="444"/>
      <c r="S530" s="444"/>
      <c r="T530" s="432">
        <f t="shared" si="89"/>
        <v>0</v>
      </c>
    </row>
    <row r="531" spans="1:20" ht="22.2" hidden="1" customHeight="1">
      <c r="A531" s="379"/>
      <c r="B531" s="410" t="s">
        <v>624</v>
      </c>
      <c r="C531" s="411" t="str">
        <f t="shared" si="90"/>
        <v xml:space="preserve"> </v>
      </c>
      <c r="D531" s="445">
        <f>0.255*D527</f>
        <v>1.02</v>
      </c>
      <c r="E531" s="422" t="str">
        <f>VLOOKUP($B531,[1]DG!A:D,[1]DG!$B$2,)</f>
        <v>02.1123</v>
      </c>
      <c r="F531" s="434" t="str">
        <f>VLOOKUP($B531,[1]DG!A:D,[1]DG!$C$2,)</f>
        <v>Bốc dỡ đà cản, đế néo</v>
      </c>
      <c r="G531" s="422" t="str">
        <f>VLOOKUP($B531,[1]DG!A:D,[1]DG!$D$2,)</f>
        <v>tấn</v>
      </c>
      <c r="H531" s="436"/>
      <c r="I531" s="436"/>
      <c r="J531" s="436"/>
      <c r="K531" s="436"/>
      <c r="L531" s="436"/>
      <c r="M531" s="436"/>
      <c r="N531" s="436"/>
      <c r="O531" s="436"/>
      <c r="P531" s="436"/>
      <c r="Q531" s="447"/>
      <c r="R531" s="447"/>
      <c r="S531" s="447"/>
      <c r="T531" s="432">
        <f t="shared" si="89"/>
        <v>0</v>
      </c>
    </row>
    <row r="532" spans="1:20" ht="22.2" hidden="1" customHeight="1">
      <c r="A532" s="379"/>
      <c r="B532" s="438" t="s">
        <v>625</v>
      </c>
      <c r="C532" s="411" t="str">
        <f t="shared" si="90"/>
        <v xml:space="preserve"> </v>
      </c>
      <c r="D532" s="445">
        <f>D531</f>
        <v>1.02</v>
      </c>
      <c r="E532" s="422" t="str">
        <f>VLOOKUP($B532,[1]DG!A:C,2,)</f>
        <v>02.1451</v>
      </c>
      <c r="F532" s="434" t="str">
        <f>VLOOKUP($B532,[1]DG!A:C,3,)</f>
        <v>V/c đà cản vào vị trí (cự ly &lt;=100m)</v>
      </c>
      <c r="G532" s="422" t="str">
        <f>VLOOKUP($B532,[1]DG!A:D,4,0)</f>
        <v>tấn</v>
      </c>
      <c r="H532" s="436"/>
      <c r="I532" s="436"/>
      <c r="J532" s="436"/>
      <c r="K532" s="436"/>
      <c r="L532" s="436"/>
      <c r="M532" s="436"/>
      <c r="N532" s="436"/>
      <c r="O532" s="436"/>
      <c r="P532" s="436"/>
      <c r="Q532" s="444"/>
      <c r="R532" s="444"/>
      <c r="S532" s="444"/>
      <c r="T532" s="432">
        <f t="shared" si="89"/>
        <v>0</v>
      </c>
    </row>
    <row r="533" spans="1:20" ht="22.2" hidden="1" customHeight="1">
      <c r="A533" s="379"/>
      <c r="B533" s="438" t="s">
        <v>620</v>
      </c>
      <c r="C533" s="411" t="str">
        <f t="shared" si="90"/>
        <v xml:space="preserve"> </v>
      </c>
      <c r="D533" s="445">
        <v>0.2</v>
      </c>
      <c r="E533" s="422" t="str">
        <f>VLOOKUP($B533,[1]DG!A:C,2,)</f>
        <v>02.1482</v>
      </c>
      <c r="F533" s="434" t="str">
        <f>VLOOKUP($B533,[1]DG!A:C,3,)</f>
        <v>V/c dụng cụ thi công vào vị trí (cự ly &lt;=100m)</v>
      </c>
      <c r="G533" s="422" t="str">
        <f>VLOOKUP($B533,[1]DG!A:D,4,0)</f>
        <v>tấn</v>
      </c>
      <c r="H533" s="436"/>
      <c r="I533" s="436"/>
      <c r="J533" s="436"/>
      <c r="K533" s="436"/>
      <c r="L533" s="436"/>
      <c r="M533" s="436"/>
      <c r="N533" s="436"/>
      <c r="O533" s="436"/>
      <c r="P533" s="436"/>
      <c r="Q533" s="444"/>
      <c r="R533" s="444"/>
      <c r="S533" s="444"/>
      <c r="T533" s="432">
        <f t="shared" si="89"/>
        <v>0</v>
      </c>
    </row>
    <row r="534" spans="1:20" ht="22.2" hidden="1" customHeight="1">
      <c r="A534" s="423" t="s">
        <v>779</v>
      </c>
      <c r="B534" s="424" t="s">
        <v>779</v>
      </c>
      <c r="C534" s="425" t="str">
        <f t="shared" si="90"/>
        <v xml:space="preserve"> </v>
      </c>
      <c r="D534" s="426"/>
      <c r="E534" s="427"/>
      <c r="F534" s="428" t="s">
        <v>780</v>
      </c>
      <c r="G534" s="349" t="s">
        <v>781</v>
      </c>
      <c r="H534" s="429">
        <f>SUM(I534:O534)</f>
        <v>0</v>
      </c>
      <c r="I534" s="430"/>
      <c r="J534" s="430"/>
      <c r="K534" s="430">
        <f>IFERROR(HLOOKUP(B534,[1]pp3p1m!$1:$3,3,0),0)</f>
        <v>0</v>
      </c>
      <c r="L534" s="430">
        <f>IFERROR(HLOOKUP(chitiet!B534,[1]pp1p!$1:$3,3,0),0)</f>
        <v>0</v>
      </c>
      <c r="M534" s="430"/>
      <c r="N534" s="430"/>
      <c r="O534" s="430"/>
      <c r="P534" s="430"/>
      <c r="Q534" s="431"/>
      <c r="R534" s="431"/>
      <c r="S534" s="431"/>
      <c r="T534" s="432">
        <f>IFERROR(HLOOKUP(B534,[1]pp1p!$1:$3,3,0),0)+IFERROR(HLOOKUP(B534,[1]pp3p1m!$1:$3,3,0),0)</f>
        <v>0</v>
      </c>
    </row>
    <row r="535" spans="1:20" ht="22.2" hidden="1" customHeight="1">
      <c r="A535" s="379"/>
      <c r="B535" s="438" t="s">
        <v>643</v>
      </c>
      <c r="C535" s="411" t="str">
        <f t="shared" si="90"/>
        <v xml:space="preserve"> </v>
      </c>
      <c r="D535" s="443">
        <f>D548*P548+D549*P549</f>
        <v>0</v>
      </c>
      <c r="E535" s="422"/>
      <c r="F535" s="434" t="str">
        <f>VLOOKUP($B535,[1]DG!A:D,[1]DG!$C$2,)</f>
        <v>Ximăng (PC40)</v>
      </c>
      <c r="G535" s="422" t="str">
        <f>VLOOKUP($B535,[1]DG!A:D,[1]DG!$D$2,)</f>
        <v>kg</v>
      </c>
      <c r="H535" s="435">
        <f t="shared" ref="H535:N537" si="91">H$534*$D535</f>
        <v>0</v>
      </c>
      <c r="I535" s="435">
        <f t="shared" si="91"/>
        <v>0</v>
      </c>
      <c r="J535" s="435">
        <f t="shared" si="91"/>
        <v>0</v>
      </c>
      <c r="K535" s="435">
        <f t="shared" si="91"/>
        <v>0</v>
      </c>
      <c r="L535" s="435">
        <f t="shared" si="91"/>
        <v>0</v>
      </c>
      <c r="M535" s="435">
        <f t="shared" si="91"/>
        <v>0</v>
      </c>
      <c r="N535" s="435">
        <f t="shared" si="91"/>
        <v>0</v>
      </c>
      <c r="O535" s="435"/>
      <c r="P535" s="435"/>
      <c r="Q535" s="442"/>
      <c r="R535" s="442"/>
      <c r="S535" s="442"/>
      <c r="T535" s="432">
        <f t="shared" si="89"/>
        <v>0</v>
      </c>
    </row>
    <row r="536" spans="1:20" ht="22.2" hidden="1" customHeight="1">
      <c r="A536" s="379"/>
      <c r="B536" s="449" t="s">
        <v>389</v>
      </c>
      <c r="C536" s="411" t="str">
        <f t="shared" si="90"/>
        <v xml:space="preserve"> </v>
      </c>
      <c r="D536" s="443">
        <f>D548*Q548+D549*Q549</f>
        <v>0</v>
      </c>
      <c r="E536" s="422"/>
      <c r="F536" s="434" t="str">
        <f>VLOOKUP($B536,[1]DG!A:D,[1]DG!$C$2,)</f>
        <v>Cát vàng</v>
      </c>
      <c r="G536" s="422" t="str">
        <f>VLOOKUP($B536,[1]DG!A:D,[1]DG!$D$2,)</f>
        <v>m3</v>
      </c>
      <c r="H536" s="435">
        <f t="shared" si="91"/>
        <v>0</v>
      </c>
      <c r="I536" s="435">
        <f t="shared" si="91"/>
        <v>0</v>
      </c>
      <c r="J536" s="435">
        <f t="shared" si="91"/>
        <v>0</v>
      </c>
      <c r="K536" s="435">
        <f t="shared" si="91"/>
        <v>0</v>
      </c>
      <c r="L536" s="435">
        <f t="shared" si="91"/>
        <v>0</v>
      </c>
      <c r="M536" s="435">
        <f t="shared" si="91"/>
        <v>0</v>
      </c>
      <c r="N536" s="435">
        <f t="shared" si="91"/>
        <v>0</v>
      </c>
      <c r="O536" s="435"/>
      <c r="P536" s="435"/>
      <c r="Q536" s="442"/>
      <c r="R536" s="442"/>
      <c r="S536" s="442"/>
      <c r="T536" s="432">
        <f t="shared" si="89"/>
        <v>0</v>
      </c>
    </row>
    <row r="537" spans="1:20" ht="22.2" hidden="1" customHeight="1">
      <c r="A537" s="379"/>
      <c r="B537" s="438" t="s">
        <v>580</v>
      </c>
      <c r="C537" s="411" t="str">
        <f t="shared" si="90"/>
        <v xml:space="preserve"> </v>
      </c>
      <c r="D537" s="443">
        <f>D549*R549</f>
        <v>0</v>
      </c>
      <c r="E537" s="422" t="s">
        <v>782</v>
      </c>
      <c r="F537" s="434" t="str">
        <f>VLOOKUP($B537,[1]DG!A:D,[1]DG!$C$2,)</f>
        <v>Đá 1x2</v>
      </c>
      <c r="G537" s="422" t="str">
        <f>VLOOKUP($B537,[1]DG!A:D,[1]DG!$D$2,)</f>
        <v>m3</v>
      </c>
      <c r="H537" s="435">
        <f t="shared" si="91"/>
        <v>0</v>
      </c>
      <c r="I537" s="435">
        <f t="shared" si="91"/>
        <v>0</v>
      </c>
      <c r="J537" s="435">
        <f t="shared" si="91"/>
        <v>0</v>
      </c>
      <c r="K537" s="435">
        <f t="shared" si="91"/>
        <v>0</v>
      </c>
      <c r="L537" s="435">
        <f t="shared" si="91"/>
        <v>0</v>
      </c>
      <c r="M537" s="435">
        <f t="shared" si="91"/>
        <v>0</v>
      </c>
      <c r="N537" s="435">
        <f t="shared" si="91"/>
        <v>0</v>
      </c>
      <c r="O537" s="435"/>
      <c r="P537" s="435"/>
      <c r="Q537" s="442"/>
      <c r="R537" s="442"/>
      <c r="S537" s="442"/>
      <c r="T537" s="432">
        <f t="shared" si="89"/>
        <v>0</v>
      </c>
    </row>
    <row r="538" spans="1:20" ht="22.2" hidden="1" customHeight="1">
      <c r="A538" s="379"/>
      <c r="B538" s="438" t="s">
        <v>783</v>
      </c>
      <c r="C538" s="411" t="str">
        <f t="shared" si="90"/>
        <v xml:space="preserve"> </v>
      </c>
      <c r="D538" s="443">
        <f>D548*R548</f>
        <v>0</v>
      </c>
      <c r="E538" s="422" t="s">
        <v>782</v>
      </c>
      <c r="F538" s="434" t="str">
        <f>VLOOKUP($B538,[1]DG!A:D,[1]DG!$C$2,)</f>
        <v>Đá 4x6</v>
      </c>
      <c r="G538" s="422" t="str">
        <f>VLOOKUP($B538,[1]DG!A:D,[1]DG!$D$2,)</f>
        <v>m3</v>
      </c>
      <c r="H538" s="435"/>
      <c r="I538" s="435"/>
      <c r="J538" s="435"/>
      <c r="K538" s="435"/>
      <c r="L538" s="435"/>
      <c r="M538" s="435"/>
      <c r="N538" s="435"/>
      <c r="O538" s="435"/>
      <c r="P538" s="435"/>
      <c r="Q538" s="442"/>
      <c r="R538" s="442"/>
      <c r="S538" s="442"/>
      <c r="T538" s="432">
        <f t="shared" si="89"/>
        <v>0</v>
      </c>
    </row>
    <row r="539" spans="1:20" ht="22.2" hidden="1" customHeight="1">
      <c r="A539" s="379"/>
      <c r="B539" s="438" t="s">
        <v>772</v>
      </c>
      <c r="C539" s="411" t="str">
        <f t="shared" si="90"/>
        <v xml:space="preserve"> </v>
      </c>
      <c r="D539" s="443">
        <v>4.74</v>
      </c>
      <c r="E539" s="422" t="s">
        <v>782</v>
      </c>
      <c r="F539" s="441" t="str">
        <f>VLOOKUP($B539,[1]DG!A:D,[1]DG!$C$2,)</f>
        <v>Sắt Ø6</v>
      </c>
      <c r="G539" s="422" t="str">
        <f>VLOOKUP($B539,[1]DG!A:D,[1]DG!$D$2,)</f>
        <v>kg</v>
      </c>
      <c r="H539" s="435"/>
      <c r="I539" s="435"/>
      <c r="J539" s="435"/>
      <c r="K539" s="435"/>
      <c r="L539" s="435"/>
      <c r="M539" s="435"/>
      <c r="N539" s="435"/>
      <c r="O539" s="435"/>
      <c r="P539" s="435"/>
      <c r="Q539" s="442"/>
      <c r="R539" s="442"/>
      <c r="S539" s="442"/>
      <c r="T539" s="432">
        <f t="shared" si="89"/>
        <v>0</v>
      </c>
    </row>
    <row r="540" spans="1:20" ht="22.2" hidden="1" customHeight="1">
      <c r="A540" s="379"/>
      <c r="B540" s="438" t="s">
        <v>784</v>
      </c>
      <c r="C540" s="411" t="str">
        <f t="shared" si="90"/>
        <v xml:space="preserve"> </v>
      </c>
      <c r="D540" s="456">
        <f>S549*D549</f>
        <v>0</v>
      </c>
      <c r="E540" s="422" t="s">
        <v>782</v>
      </c>
      <c r="F540" s="441" t="str">
        <f>VLOOKUP($B540,[1]DG!A:D,[1]DG!$C$2,)</f>
        <v>Gỗ ván khuôn</v>
      </c>
      <c r="G540" s="422" t="str">
        <f>VLOOKUP($B540,[1]DG!A:D,[1]DG!$D$2,)</f>
        <v>m3</v>
      </c>
      <c r="H540" s="435"/>
      <c r="I540" s="435"/>
      <c r="J540" s="435"/>
      <c r="K540" s="435"/>
      <c r="L540" s="435"/>
      <c r="M540" s="435"/>
      <c r="N540" s="435"/>
      <c r="O540" s="435"/>
      <c r="P540" s="435"/>
      <c r="Q540" s="442"/>
      <c r="R540" s="442"/>
      <c r="S540" s="442"/>
      <c r="T540" s="432">
        <f t="shared" si="89"/>
        <v>0</v>
      </c>
    </row>
    <row r="541" spans="1:20" ht="22.2" hidden="1" customHeight="1">
      <c r="A541" s="379"/>
      <c r="B541" s="438" t="s">
        <v>785</v>
      </c>
      <c r="C541" s="411" t="str">
        <f t="shared" si="90"/>
        <v xml:space="preserve"> </v>
      </c>
      <c r="D541" s="445">
        <v>0.1</v>
      </c>
      <c r="E541" s="422" t="s">
        <v>782</v>
      </c>
      <c r="F541" s="441" t="str">
        <f>VLOOKUP($B541,[1]DG!A:D,[1]DG!$C$2,)</f>
        <v>Dây thép buộc A70</v>
      </c>
      <c r="G541" s="422" t="str">
        <f>VLOOKUP($B541,[1]DG!A:D,[1]DG!$D$2,)</f>
        <v>kg</v>
      </c>
      <c r="H541" s="435"/>
      <c r="I541" s="435"/>
      <c r="J541" s="435"/>
      <c r="K541" s="435"/>
      <c r="L541" s="435"/>
      <c r="M541" s="435"/>
      <c r="N541" s="435"/>
      <c r="O541" s="435"/>
      <c r="P541" s="435"/>
      <c r="Q541" s="442"/>
      <c r="R541" s="442"/>
      <c r="S541" s="442"/>
      <c r="T541" s="432">
        <f t="shared" si="89"/>
        <v>0</v>
      </c>
    </row>
    <row r="542" spans="1:20" ht="22.2" hidden="1" customHeight="1">
      <c r="A542" s="379"/>
      <c r="B542" s="438" t="s">
        <v>75</v>
      </c>
      <c r="C542" s="411" t="str">
        <f t="shared" si="90"/>
        <v xml:space="preserve"> </v>
      </c>
      <c r="D542" s="433">
        <v>0.29599999999999999</v>
      </c>
      <c r="E542" s="422" t="s">
        <v>786</v>
      </c>
      <c r="F542" s="434" t="str">
        <f>VLOOKUP($B542,[1]DG!A:D,[1]DG!$C$2,)</f>
        <v>Đào hố móng đất cấp 3 sâu &gt;1m</v>
      </c>
      <c r="G542" s="422" t="str">
        <f>VLOOKUP($B542,[1]DG!A:D,[1]DG!$D$2,)</f>
        <v>m3</v>
      </c>
      <c r="H542" s="435">
        <f t="shared" ref="H542:N543" si="92">H$534*$D542</f>
        <v>0</v>
      </c>
      <c r="I542" s="435">
        <f t="shared" si="92"/>
        <v>0</v>
      </c>
      <c r="J542" s="435">
        <f t="shared" si="92"/>
        <v>0</v>
      </c>
      <c r="K542" s="435">
        <f t="shared" si="92"/>
        <v>0</v>
      </c>
      <c r="L542" s="435">
        <f t="shared" si="92"/>
        <v>0</v>
      </c>
      <c r="M542" s="435">
        <f t="shared" si="92"/>
        <v>0</v>
      </c>
      <c r="N542" s="435">
        <f t="shared" si="92"/>
        <v>0</v>
      </c>
      <c r="O542" s="435"/>
      <c r="P542" s="435"/>
      <c r="Q542" s="442"/>
      <c r="R542" s="442"/>
      <c r="S542" s="442"/>
      <c r="T542" s="432">
        <f t="shared" si="89"/>
        <v>0</v>
      </c>
    </row>
    <row r="543" spans="1:20" ht="22.2" hidden="1" customHeight="1">
      <c r="A543" s="379"/>
      <c r="B543" s="438" t="s">
        <v>76</v>
      </c>
      <c r="C543" s="411" t="str">
        <f t="shared" si="90"/>
        <v xml:space="preserve"> </v>
      </c>
      <c r="D543" s="433">
        <v>0.218</v>
      </c>
      <c r="E543" s="422" t="s">
        <v>787</v>
      </c>
      <c r="F543" s="434" t="str">
        <f>VLOOKUP($B543,[1]DG!A:D,[1]DG!$C$2,)</f>
        <v>Đắp đất hố móng, độ chặt k=0,95</v>
      </c>
      <c r="G543" s="422" t="str">
        <f>VLOOKUP($B543,[1]DG!A:D,[1]DG!$D$2,)</f>
        <v>m3</v>
      </c>
      <c r="H543" s="435">
        <f t="shared" si="92"/>
        <v>0</v>
      </c>
      <c r="I543" s="435">
        <f t="shared" si="92"/>
        <v>0</v>
      </c>
      <c r="J543" s="435">
        <f t="shared" si="92"/>
        <v>0</v>
      </c>
      <c r="K543" s="435">
        <f t="shared" si="92"/>
        <v>0</v>
      </c>
      <c r="L543" s="435">
        <f t="shared" si="92"/>
        <v>0</v>
      </c>
      <c r="M543" s="435">
        <f t="shared" si="92"/>
        <v>0</v>
      </c>
      <c r="N543" s="435">
        <f t="shared" si="92"/>
        <v>0</v>
      </c>
      <c r="O543" s="435"/>
      <c r="P543" s="435"/>
      <c r="Q543" s="442"/>
      <c r="R543" s="442"/>
      <c r="S543" s="442"/>
      <c r="T543" s="432">
        <f t="shared" si="89"/>
        <v>0</v>
      </c>
    </row>
    <row r="544" spans="1:20" ht="22.2" hidden="1" customHeight="1">
      <c r="A544" s="379"/>
      <c r="B544" s="438" t="s">
        <v>650</v>
      </c>
      <c r="C544" s="411" t="str">
        <f t="shared" si="90"/>
        <v xml:space="preserve"> </v>
      </c>
      <c r="D544" s="433">
        <f>D535/1000</f>
        <v>0</v>
      </c>
      <c r="E544" s="422" t="str">
        <f>VLOOKUP($B544,[1]DG!A:D,[1]DG!$B$2,)</f>
        <v>02.1211</v>
      </c>
      <c r="F544" s="434" t="str">
        <f>VLOOKUP($B544,[1]DG!A:D,[1]DG!$C$2,)</f>
        <v>V/c xi măng ( cự ly &lt;=100m)</v>
      </c>
      <c r="G544" s="422" t="str">
        <f>VLOOKUP($B544,[1]DG!A:D,[1]DG!$D$2,)</f>
        <v>tấn</v>
      </c>
      <c r="H544" s="435"/>
      <c r="I544" s="435"/>
      <c r="J544" s="435"/>
      <c r="K544" s="435"/>
      <c r="L544" s="435"/>
      <c r="M544" s="435"/>
      <c r="N544" s="435"/>
      <c r="O544" s="435"/>
      <c r="P544" s="435"/>
      <c r="Q544" s="442"/>
      <c r="R544" s="442"/>
      <c r="S544" s="442"/>
      <c r="T544" s="432">
        <f t="shared" si="89"/>
        <v>0</v>
      </c>
    </row>
    <row r="545" spans="1:20" ht="22.2" hidden="1" customHeight="1">
      <c r="A545" s="379"/>
      <c r="B545" s="438" t="s">
        <v>651</v>
      </c>
      <c r="C545" s="411" t="str">
        <f t="shared" si="90"/>
        <v xml:space="preserve"> </v>
      </c>
      <c r="D545" s="433">
        <f>D536</f>
        <v>0</v>
      </c>
      <c r="E545" s="422" t="str">
        <f>VLOOKUP($B545,[1]DG!A:D,[1]DG!$B$2,)</f>
        <v>02.1231</v>
      </c>
      <c r="F545" s="434" t="str">
        <f>VLOOKUP($B545,[1]DG!A:D,[1]DG!$C$2,)</f>
        <v>V/c cát vàng cự ly &lt;=100m</v>
      </c>
      <c r="G545" s="422" t="str">
        <f>VLOOKUP($B545,[1]DG!A:D,[1]DG!$D$2,)</f>
        <v>m3</v>
      </c>
      <c r="H545" s="435"/>
      <c r="I545" s="435"/>
      <c r="J545" s="435"/>
      <c r="K545" s="435"/>
      <c r="L545" s="435"/>
      <c r="M545" s="435"/>
      <c r="N545" s="435"/>
      <c r="O545" s="435"/>
      <c r="P545" s="435"/>
      <c r="Q545" s="442"/>
      <c r="R545" s="442"/>
      <c r="S545" s="442"/>
      <c r="T545" s="432">
        <f t="shared" si="89"/>
        <v>0</v>
      </c>
    </row>
    <row r="546" spans="1:20" ht="22.2" hidden="1" customHeight="1">
      <c r="A546" s="379"/>
      <c r="B546" s="438" t="s">
        <v>652</v>
      </c>
      <c r="C546" s="411" t="str">
        <f t="shared" si="90"/>
        <v xml:space="preserve"> </v>
      </c>
      <c r="D546" s="433">
        <f>D537</f>
        <v>0</v>
      </c>
      <c r="E546" s="422" t="str">
        <f>VLOOKUP($B546,[1]DG!A:D,[1]DG!$B$2,)</f>
        <v>02.1241</v>
      </c>
      <c r="F546" s="434" t="str">
        <f>VLOOKUP($B546,[1]DG!A:D,[1]DG!$C$2,)</f>
        <v>V/c đá dăm ( cự ly &lt;=100m)</v>
      </c>
      <c r="G546" s="422" t="str">
        <f>VLOOKUP($B546,[1]DG!A:D,[1]DG!$D$2,)</f>
        <v>m3</v>
      </c>
      <c r="H546" s="435"/>
      <c r="I546" s="435"/>
      <c r="J546" s="435"/>
      <c r="K546" s="435"/>
      <c r="L546" s="435"/>
      <c r="M546" s="435"/>
      <c r="N546" s="435"/>
      <c r="O546" s="435"/>
      <c r="P546" s="435"/>
      <c r="Q546" s="442"/>
      <c r="R546" s="442"/>
      <c r="S546" s="442"/>
      <c r="T546" s="432">
        <f t="shared" si="89"/>
        <v>0</v>
      </c>
    </row>
    <row r="547" spans="1:20" ht="22.2" hidden="1" customHeight="1">
      <c r="A547" s="379"/>
      <c r="B547" s="438" t="s">
        <v>649</v>
      </c>
      <c r="C547" s="411" t="str">
        <f t="shared" si="90"/>
        <v xml:space="preserve"> </v>
      </c>
      <c r="D547" s="433">
        <f>D539</f>
        <v>4.74</v>
      </c>
      <c r="E547" s="422" t="str">
        <f>VLOOKUP($B547,[1]DG!A:D,[1]DG!$B$2,)</f>
        <v>04.5101</v>
      </c>
      <c r="F547" s="434" t="str">
        <f>VLOOKUP($B547,[1]DG!A:D,[1]DG!$C$2,)</f>
        <v>Gia công và lắp dựng cốt thép D&lt;=10</v>
      </c>
      <c r="G547" s="422" t="str">
        <f>VLOOKUP($B547,[1]DG!A:D,[1]DG!$D$2,)</f>
        <v>kg</v>
      </c>
      <c r="H547" s="435"/>
      <c r="I547" s="435"/>
      <c r="J547" s="435"/>
      <c r="K547" s="435"/>
      <c r="L547" s="435"/>
      <c r="M547" s="435"/>
      <c r="N547" s="435"/>
      <c r="O547" s="435"/>
      <c r="P547" s="435"/>
      <c r="Q547" s="442"/>
      <c r="R547" s="442"/>
      <c r="S547" s="442"/>
      <c r="T547" s="432">
        <f t="shared" si="89"/>
        <v>0</v>
      </c>
    </row>
    <row r="548" spans="1:20" ht="22.2" hidden="1" customHeight="1">
      <c r="A548" s="379"/>
      <c r="B548" s="438" t="s">
        <v>771</v>
      </c>
      <c r="C548" s="411" t="str">
        <f t="shared" si="90"/>
        <v xml:space="preserve"> </v>
      </c>
      <c r="D548" s="456">
        <v>3.5000000000000003E-2</v>
      </c>
      <c r="E548" s="422" t="str">
        <f>VLOOKUP($B548,[1]DG!A:D,[1]DG!$B$2,)</f>
        <v>04.3112</v>
      </c>
      <c r="F548" s="434" t="str">
        <f>VLOOKUP($B548,[1]DG!A:D,[1]DG!$C$2,)</f>
        <v>Đổ bê tông mác M100 đá 4x6</v>
      </c>
      <c r="G548" s="422" t="str">
        <f>VLOOKUP($B548,[1]DG!A:D,[1]DG!$D$2,)</f>
        <v>m3</v>
      </c>
      <c r="H548" s="436"/>
      <c r="I548" s="436"/>
      <c r="J548" s="436"/>
      <c r="K548" s="436"/>
      <c r="L548" s="436"/>
      <c r="M548" s="436"/>
      <c r="N548" s="436"/>
      <c r="O548" s="436"/>
      <c r="P548" s="436"/>
      <c r="Q548" s="444"/>
      <c r="R548" s="444"/>
      <c r="S548" s="444"/>
      <c r="T548" s="432">
        <f t="shared" si="89"/>
        <v>0</v>
      </c>
    </row>
    <row r="549" spans="1:20" ht="22.2" hidden="1" customHeight="1">
      <c r="A549" s="379"/>
      <c r="B549" s="438" t="s">
        <v>654</v>
      </c>
      <c r="C549" s="411" t="str">
        <f t="shared" si="90"/>
        <v xml:space="preserve"> </v>
      </c>
      <c r="D549" s="456">
        <v>5.0500000000000003E-2</v>
      </c>
      <c r="E549" s="422" t="str">
        <f>VLOOKUP($B549,[1]DG!A:D,[1]DG!$B$2,)</f>
        <v>04.1203c</v>
      </c>
      <c r="F549" s="434" t="str">
        <f>VLOOKUP($B549,[1]DG!A:D,[1]DG!$C$2,)</f>
        <v>Đổ bê tông móng trụ &lt;=250cm-M200 đá 1x2</v>
      </c>
      <c r="G549" s="422" t="str">
        <f>VLOOKUP($B549,[1]DG!A:D,[1]DG!$D$2,)</f>
        <v>m3</v>
      </c>
      <c r="H549" s="436"/>
      <c r="I549" s="436"/>
      <c r="J549" s="436"/>
      <c r="K549" s="436"/>
      <c r="L549" s="436"/>
      <c r="M549" s="436"/>
      <c r="N549" s="436"/>
      <c r="O549" s="436"/>
      <c r="P549" s="436"/>
      <c r="Q549" s="444"/>
      <c r="R549" s="444"/>
      <c r="S549" s="444"/>
      <c r="T549" s="432">
        <f t="shared" si="89"/>
        <v>0</v>
      </c>
    </row>
    <row r="550" spans="1:20" ht="22.2" hidden="1" customHeight="1">
      <c r="A550" s="423" t="s">
        <v>788</v>
      </c>
      <c r="B550" s="424" t="s">
        <v>788</v>
      </c>
      <c r="C550" s="425" t="str">
        <f t="shared" si="90"/>
        <v xml:space="preserve"> </v>
      </c>
      <c r="D550" s="426"/>
      <c r="E550" s="427"/>
      <c r="F550" s="428" t="s">
        <v>789</v>
      </c>
      <c r="G550" s="349" t="s">
        <v>781</v>
      </c>
      <c r="H550" s="429">
        <f>SUM(I550:O550)</f>
        <v>0</v>
      </c>
      <c r="I550" s="430"/>
      <c r="J550" s="430"/>
      <c r="K550" s="430">
        <f>IFERROR(HLOOKUP(B550,[1]pp3p1m!$1:$3,3,0),0)</f>
        <v>0</v>
      </c>
      <c r="L550" s="430">
        <f>IFERROR(HLOOKUP(chitiet!B550,[1]pp1p!$1:$3,3,0),0)</f>
        <v>0</v>
      </c>
      <c r="M550" s="430"/>
      <c r="N550" s="430"/>
      <c r="O550" s="430"/>
      <c r="P550" s="430"/>
      <c r="Q550" s="431"/>
      <c r="R550" s="431"/>
      <c r="S550" s="431"/>
      <c r="T550" s="432">
        <f>IFERROR(HLOOKUP(B550,[1]pp1p!$1:$3,3,0),0)+IFERROR(HLOOKUP(B550,[1]pp3p1m!$1:$3,3,0),0)</f>
        <v>0</v>
      </c>
    </row>
    <row r="551" spans="1:20" ht="22.2" hidden="1" customHeight="1">
      <c r="A551" s="379"/>
      <c r="B551" s="438" t="s">
        <v>643</v>
      </c>
      <c r="C551" s="411" t="str">
        <f t="shared" si="90"/>
        <v xml:space="preserve"> </v>
      </c>
      <c r="D551" s="443">
        <f>D564*P564+D565*P565</f>
        <v>0</v>
      </c>
      <c r="E551" s="422"/>
      <c r="F551" s="434" t="str">
        <f>VLOOKUP($B551,[1]DG!A:D,[1]DG!$C$2,)</f>
        <v>Ximăng (PC40)</v>
      </c>
      <c r="G551" s="422" t="str">
        <f>VLOOKUP($B551,[1]DG!A:D,[1]DG!$D$2,)</f>
        <v>kg</v>
      </c>
      <c r="H551" s="435">
        <f>H$550*$D551</f>
        <v>0</v>
      </c>
      <c r="I551" s="435"/>
      <c r="J551" s="435"/>
      <c r="K551" s="435"/>
      <c r="L551" s="435"/>
      <c r="M551" s="435"/>
      <c r="N551" s="435"/>
      <c r="O551" s="435"/>
      <c r="P551" s="435"/>
      <c r="Q551" s="437"/>
      <c r="R551" s="437"/>
      <c r="S551" s="437"/>
      <c r="T551" s="432">
        <f t="shared" si="89"/>
        <v>0</v>
      </c>
    </row>
    <row r="552" spans="1:20" ht="22.2" hidden="1" customHeight="1">
      <c r="A552" s="379"/>
      <c r="B552" s="449" t="s">
        <v>389</v>
      </c>
      <c r="C552" s="411" t="str">
        <f t="shared" si="90"/>
        <v xml:space="preserve"> </v>
      </c>
      <c r="D552" s="443">
        <f>D564*Q564+D565*Q565</f>
        <v>0</v>
      </c>
      <c r="E552" s="422"/>
      <c r="F552" s="434" t="str">
        <f>VLOOKUP($B552,[1]DG!A:D,[1]DG!$C$2,)</f>
        <v>Cát vàng</v>
      </c>
      <c r="G552" s="422" t="str">
        <f>VLOOKUP($B552,[1]DG!A:D,[1]DG!$D$2,)</f>
        <v>m3</v>
      </c>
      <c r="H552" s="435">
        <f>H$550*$D552</f>
        <v>0</v>
      </c>
      <c r="I552" s="435"/>
      <c r="J552" s="435"/>
      <c r="K552" s="435"/>
      <c r="L552" s="435"/>
      <c r="M552" s="435"/>
      <c r="N552" s="435"/>
      <c r="O552" s="435"/>
      <c r="P552" s="435"/>
      <c r="Q552" s="437"/>
      <c r="R552" s="437"/>
      <c r="S552" s="437"/>
      <c r="T552" s="432">
        <f t="shared" si="89"/>
        <v>0</v>
      </c>
    </row>
    <row r="553" spans="1:20" ht="22.2" hidden="1" customHeight="1">
      <c r="A553" s="379"/>
      <c r="B553" s="438" t="s">
        <v>580</v>
      </c>
      <c r="C553" s="411" t="str">
        <f t="shared" si="90"/>
        <v xml:space="preserve"> </v>
      </c>
      <c r="D553" s="443">
        <f>D565*R565</f>
        <v>0</v>
      </c>
      <c r="E553" s="422" t="s">
        <v>782</v>
      </c>
      <c r="F553" s="434" t="str">
        <f>VLOOKUP($B553,[1]DG!A:D,[1]DG!$C$2,)</f>
        <v>Đá 1x2</v>
      </c>
      <c r="G553" s="422" t="str">
        <f>VLOOKUP($B553,[1]DG!A:D,[1]DG!$D$2,)</f>
        <v>m3</v>
      </c>
      <c r="H553" s="435">
        <f>H$550*$D553</f>
        <v>0</v>
      </c>
      <c r="I553" s="435"/>
      <c r="J553" s="435"/>
      <c r="K553" s="435"/>
      <c r="L553" s="435"/>
      <c r="M553" s="435"/>
      <c r="N553" s="435"/>
      <c r="O553" s="435"/>
      <c r="P553" s="435"/>
      <c r="Q553" s="437"/>
      <c r="R553" s="437"/>
      <c r="S553" s="437"/>
      <c r="T553" s="432">
        <f t="shared" si="89"/>
        <v>0</v>
      </c>
    </row>
    <row r="554" spans="1:20" ht="22.2" hidden="1" customHeight="1">
      <c r="A554" s="379"/>
      <c r="B554" s="438" t="s">
        <v>783</v>
      </c>
      <c r="C554" s="411" t="str">
        <f t="shared" si="90"/>
        <v xml:space="preserve"> </v>
      </c>
      <c r="D554" s="443">
        <f>D564*R564</f>
        <v>0</v>
      </c>
      <c r="E554" s="422" t="s">
        <v>782</v>
      </c>
      <c r="F554" s="434" t="str">
        <f>VLOOKUP($B554,[1]DG!A:D,[1]DG!$C$2,)</f>
        <v>Đá 4x6</v>
      </c>
      <c r="G554" s="422" t="str">
        <f>VLOOKUP($B554,[1]DG!A:D,[1]DG!$D$2,)</f>
        <v>m3</v>
      </c>
      <c r="H554" s="435">
        <f>H$550*$D554</f>
        <v>0</v>
      </c>
      <c r="I554" s="435"/>
      <c r="J554" s="435"/>
      <c r="K554" s="435"/>
      <c r="L554" s="435"/>
      <c r="M554" s="435"/>
      <c r="N554" s="435"/>
      <c r="O554" s="435"/>
      <c r="P554" s="435"/>
      <c r="Q554" s="437"/>
      <c r="R554" s="437"/>
      <c r="S554" s="437"/>
      <c r="T554" s="432">
        <f t="shared" si="89"/>
        <v>0</v>
      </c>
    </row>
    <row r="555" spans="1:20" ht="22.2" hidden="1" customHeight="1">
      <c r="A555" s="379"/>
      <c r="B555" s="438" t="s">
        <v>772</v>
      </c>
      <c r="C555" s="411" t="str">
        <f t="shared" si="90"/>
        <v xml:space="preserve"> </v>
      </c>
      <c r="D555" s="443">
        <v>4.74</v>
      </c>
      <c r="E555" s="422" t="s">
        <v>782</v>
      </c>
      <c r="F555" s="441" t="str">
        <f>VLOOKUP($B555,[1]DG!A:D,[1]DG!$C$2,)</f>
        <v>Sắt Ø6</v>
      </c>
      <c r="G555" s="422" t="str">
        <f>VLOOKUP($B555,[1]DG!A:D,[1]DG!$D$2,)</f>
        <v>kg</v>
      </c>
      <c r="H555" s="435"/>
      <c r="I555" s="435"/>
      <c r="J555" s="435"/>
      <c r="K555" s="435"/>
      <c r="L555" s="435"/>
      <c r="M555" s="435"/>
      <c r="N555" s="435"/>
      <c r="O555" s="435"/>
      <c r="P555" s="435"/>
      <c r="Q555" s="442"/>
      <c r="R555" s="442"/>
      <c r="S555" s="442"/>
      <c r="T555" s="432">
        <f t="shared" si="89"/>
        <v>0</v>
      </c>
    </row>
    <row r="556" spans="1:20" ht="22.2" hidden="1" customHeight="1">
      <c r="A556" s="379"/>
      <c r="B556" s="438" t="s">
        <v>784</v>
      </c>
      <c r="C556" s="411" t="str">
        <f t="shared" si="90"/>
        <v xml:space="preserve"> </v>
      </c>
      <c r="D556" s="456">
        <f>S565*D565</f>
        <v>0</v>
      </c>
      <c r="E556" s="422" t="s">
        <v>782</v>
      </c>
      <c r="F556" s="441" t="str">
        <f>VLOOKUP($B556,[1]DG!A:D,[1]DG!$C$2,)</f>
        <v>Gỗ ván khuôn</v>
      </c>
      <c r="G556" s="422" t="str">
        <f>VLOOKUP($B556,[1]DG!A:D,[1]DG!$D$2,)</f>
        <v>m3</v>
      </c>
      <c r="H556" s="435">
        <f>H$550*$D556</f>
        <v>0</v>
      </c>
      <c r="I556" s="435"/>
      <c r="J556" s="435"/>
      <c r="K556" s="435"/>
      <c r="L556" s="435"/>
      <c r="M556" s="435"/>
      <c r="N556" s="435"/>
      <c r="O556" s="435"/>
      <c r="P556" s="435"/>
      <c r="Q556" s="437"/>
      <c r="R556" s="437"/>
      <c r="S556" s="437"/>
      <c r="T556" s="432">
        <f t="shared" si="89"/>
        <v>0</v>
      </c>
    </row>
    <row r="557" spans="1:20" ht="22.2" hidden="1" customHeight="1">
      <c r="A557" s="379"/>
      <c r="B557" s="438" t="s">
        <v>785</v>
      </c>
      <c r="C557" s="411" t="str">
        <f t="shared" si="90"/>
        <v xml:space="preserve"> </v>
      </c>
      <c r="D557" s="445">
        <v>0.1</v>
      </c>
      <c r="E557" s="422" t="s">
        <v>782</v>
      </c>
      <c r="F557" s="441" t="str">
        <f>VLOOKUP($B557,[1]DG!A:D,[1]DG!$C$2,)</f>
        <v>Dây thép buộc A70</v>
      </c>
      <c r="G557" s="422" t="str">
        <f>VLOOKUP($B557,[1]DG!A:D,[1]DG!$D$2,)</f>
        <v>kg</v>
      </c>
      <c r="H557" s="435"/>
      <c r="I557" s="435"/>
      <c r="J557" s="435"/>
      <c r="K557" s="435"/>
      <c r="L557" s="435"/>
      <c r="M557" s="435"/>
      <c r="N557" s="435"/>
      <c r="O557" s="435"/>
      <c r="P557" s="435"/>
      <c r="Q557" s="442"/>
      <c r="R557" s="442"/>
      <c r="S557" s="442"/>
      <c r="T557" s="432">
        <f t="shared" si="89"/>
        <v>0</v>
      </c>
    </row>
    <row r="558" spans="1:20" ht="22.2" hidden="1" customHeight="1">
      <c r="A558" s="379"/>
      <c r="B558" s="438" t="s">
        <v>75</v>
      </c>
      <c r="C558" s="411" t="str">
        <f t="shared" si="90"/>
        <v xml:space="preserve"> </v>
      </c>
      <c r="D558" s="433">
        <v>0.29599999999999999</v>
      </c>
      <c r="E558" s="422" t="s">
        <v>786</v>
      </c>
      <c r="F558" s="434" t="str">
        <f>VLOOKUP($B558,[1]DG!A:D,[1]DG!$C$2,)</f>
        <v>Đào hố móng đất cấp 3 sâu &gt;1m</v>
      </c>
      <c r="G558" s="422" t="str">
        <f>VLOOKUP($B558,[1]DG!A:D,[1]DG!$D$2,)</f>
        <v>m3</v>
      </c>
      <c r="H558" s="435">
        <f>H$534*$D558</f>
        <v>0</v>
      </c>
      <c r="I558" s="435"/>
      <c r="J558" s="435"/>
      <c r="K558" s="435"/>
      <c r="L558" s="435"/>
      <c r="M558" s="435"/>
      <c r="N558" s="435"/>
      <c r="O558" s="435"/>
      <c r="P558" s="435"/>
      <c r="Q558" s="442"/>
      <c r="R558" s="442"/>
      <c r="S558" s="442"/>
      <c r="T558" s="432">
        <f t="shared" si="89"/>
        <v>0</v>
      </c>
    </row>
    <row r="559" spans="1:20" ht="22.2" hidden="1" customHeight="1">
      <c r="A559" s="379"/>
      <c r="B559" s="438" t="s">
        <v>76</v>
      </c>
      <c r="C559" s="411" t="str">
        <f t="shared" si="90"/>
        <v xml:space="preserve"> </v>
      </c>
      <c r="D559" s="433">
        <v>0.218</v>
      </c>
      <c r="E559" s="422" t="s">
        <v>787</v>
      </c>
      <c r="F559" s="434" t="str">
        <f>VLOOKUP($B559,[1]DG!A:D,[1]DG!$C$2,)</f>
        <v>Đắp đất hố móng, độ chặt k=0,95</v>
      </c>
      <c r="G559" s="422" t="str">
        <f>VLOOKUP($B559,[1]DG!A:D,[1]DG!$D$2,)</f>
        <v>m3</v>
      </c>
      <c r="H559" s="435">
        <f>H$534*$D559</f>
        <v>0</v>
      </c>
      <c r="I559" s="435"/>
      <c r="J559" s="435"/>
      <c r="K559" s="435"/>
      <c r="L559" s="435"/>
      <c r="M559" s="435"/>
      <c r="N559" s="435"/>
      <c r="O559" s="435"/>
      <c r="P559" s="435"/>
      <c r="Q559" s="442"/>
      <c r="R559" s="442"/>
      <c r="S559" s="442"/>
      <c r="T559" s="432">
        <f t="shared" si="89"/>
        <v>0</v>
      </c>
    </row>
    <row r="560" spans="1:20" ht="22.2" hidden="1" customHeight="1">
      <c r="A560" s="379"/>
      <c r="B560" s="438" t="s">
        <v>650</v>
      </c>
      <c r="C560" s="411" t="str">
        <f t="shared" si="90"/>
        <v xml:space="preserve"> </v>
      </c>
      <c r="D560" s="433">
        <f>D551/1000</f>
        <v>0</v>
      </c>
      <c r="E560" s="422" t="str">
        <f>VLOOKUP($B560,[1]DG!A:D,[1]DG!$B$2,)</f>
        <v>02.1211</v>
      </c>
      <c r="F560" s="434" t="str">
        <f>VLOOKUP($B560,[1]DG!A:D,[1]DG!$C$2,)</f>
        <v>V/c xi măng ( cự ly &lt;=100m)</v>
      </c>
      <c r="G560" s="422" t="str">
        <f>VLOOKUP($B560,[1]DG!A:D,[1]DG!$D$2,)</f>
        <v>tấn</v>
      </c>
      <c r="H560" s="435"/>
      <c r="I560" s="435"/>
      <c r="J560" s="435"/>
      <c r="K560" s="435"/>
      <c r="L560" s="435"/>
      <c r="M560" s="435"/>
      <c r="N560" s="435"/>
      <c r="O560" s="435"/>
      <c r="P560" s="435"/>
      <c r="Q560" s="442"/>
      <c r="R560" s="442"/>
      <c r="S560" s="442"/>
      <c r="T560" s="432">
        <f t="shared" si="89"/>
        <v>0</v>
      </c>
    </row>
    <row r="561" spans="1:20" ht="22.2" hidden="1" customHeight="1">
      <c r="A561" s="379"/>
      <c r="B561" s="438" t="s">
        <v>651</v>
      </c>
      <c r="C561" s="411" t="str">
        <f t="shared" si="90"/>
        <v xml:space="preserve"> </v>
      </c>
      <c r="D561" s="433">
        <f>D552</f>
        <v>0</v>
      </c>
      <c r="E561" s="422" t="str">
        <f>VLOOKUP($B561,[1]DG!A:D,[1]DG!$B$2,)</f>
        <v>02.1231</v>
      </c>
      <c r="F561" s="434" t="str">
        <f>VLOOKUP($B561,[1]DG!A:D,[1]DG!$C$2,)</f>
        <v>V/c cát vàng cự ly &lt;=100m</v>
      </c>
      <c r="G561" s="422" t="str">
        <f>VLOOKUP($B561,[1]DG!A:D,[1]DG!$D$2,)</f>
        <v>m3</v>
      </c>
      <c r="H561" s="435"/>
      <c r="I561" s="435"/>
      <c r="J561" s="435"/>
      <c r="K561" s="435"/>
      <c r="L561" s="435"/>
      <c r="M561" s="435"/>
      <c r="N561" s="435"/>
      <c r="O561" s="435"/>
      <c r="P561" s="435"/>
      <c r="Q561" s="442"/>
      <c r="R561" s="442"/>
      <c r="S561" s="442"/>
      <c r="T561" s="432">
        <f t="shared" si="89"/>
        <v>0</v>
      </c>
    </row>
    <row r="562" spans="1:20" ht="22.2" hidden="1" customHeight="1">
      <c r="A562" s="379"/>
      <c r="B562" s="438" t="s">
        <v>652</v>
      </c>
      <c r="C562" s="411" t="str">
        <f t="shared" si="90"/>
        <v xml:space="preserve"> </v>
      </c>
      <c r="D562" s="433">
        <f>D553</f>
        <v>0</v>
      </c>
      <c r="E562" s="422" t="str">
        <f>VLOOKUP($B562,[1]DG!A:D,[1]DG!$B$2,)</f>
        <v>02.1241</v>
      </c>
      <c r="F562" s="434" t="str">
        <f>VLOOKUP($B562,[1]DG!A:D,[1]DG!$C$2,)</f>
        <v>V/c đá dăm ( cự ly &lt;=100m)</v>
      </c>
      <c r="G562" s="422" t="str">
        <f>VLOOKUP($B562,[1]DG!A:D,[1]DG!$D$2,)</f>
        <v>m3</v>
      </c>
      <c r="H562" s="435"/>
      <c r="I562" s="435"/>
      <c r="J562" s="435"/>
      <c r="K562" s="435"/>
      <c r="L562" s="435"/>
      <c r="M562" s="435"/>
      <c r="N562" s="435"/>
      <c r="O562" s="435"/>
      <c r="P562" s="435"/>
      <c r="Q562" s="442"/>
      <c r="R562" s="442"/>
      <c r="S562" s="442"/>
      <c r="T562" s="432">
        <f t="shared" si="89"/>
        <v>0</v>
      </c>
    </row>
    <row r="563" spans="1:20" ht="22.2" hidden="1" customHeight="1">
      <c r="A563" s="379"/>
      <c r="B563" s="438" t="s">
        <v>649</v>
      </c>
      <c r="C563" s="411" t="str">
        <f t="shared" si="90"/>
        <v xml:space="preserve"> </v>
      </c>
      <c r="D563" s="433">
        <f>D555</f>
        <v>4.74</v>
      </c>
      <c r="E563" s="422" t="str">
        <f>VLOOKUP($B563,[1]DG!A:D,[1]DG!$B$2,)</f>
        <v>04.5101</v>
      </c>
      <c r="F563" s="434" t="str">
        <f>VLOOKUP($B563,[1]DG!A:D,[1]DG!$C$2,)</f>
        <v>Gia công và lắp dựng cốt thép D&lt;=10</v>
      </c>
      <c r="G563" s="422" t="str">
        <f>VLOOKUP($B563,[1]DG!A:D,[1]DG!$D$2,)</f>
        <v>kg</v>
      </c>
      <c r="H563" s="435"/>
      <c r="I563" s="435"/>
      <c r="J563" s="435"/>
      <c r="K563" s="435"/>
      <c r="L563" s="435"/>
      <c r="M563" s="435"/>
      <c r="N563" s="435"/>
      <c r="O563" s="435"/>
      <c r="P563" s="435"/>
      <c r="Q563" s="442"/>
      <c r="R563" s="442"/>
      <c r="S563" s="442"/>
      <c r="T563" s="432">
        <f t="shared" si="89"/>
        <v>0</v>
      </c>
    </row>
    <row r="564" spans="1:20" ht="22.2" hidden="1" customHeight="1">
      <c r="A564" s="379"/>
      <c r="B564" s="438" t="s">
        <v>771</v>
      </c>
      <c r="C564" s="411" t="str">
        <f t="shared" si="90"/>
        <v xml:space="preserve"> </v>
      </c>
      <c r="D564" s="456">
        <v>3.5000000000000003E-2</v>
      </c>
      <c r="E564" s="422" t="str">
        <f>VLOOKUP($B564,[1]DG!A:D,[1]DG!$B$2,)</f>
        <v>04.3112</v>
      </c>
      <c r="F564" s="434" t="str">
        <f>VLOOKUP($B564,[1]DG!A:D,[1]DG!$C$2,)</f>
        <v>Đổ bê tông mác M100 đá 4x6</v>
      </c>
      <c r="G564" s="422" t="str">
        <f>VLOOKUP($B564,[1]DG!A:D,[1]DG!$D$2,)</f>
        <v>m3</v>
      </c>
      <c r="H564" s="436"/>
      <c r="I564" s="436"/>
      <c r="J564" s="436"/>
      <c r="K564" s="436"/>
      <c r="L564" s="436"/>
      <c r="M564" s="436"/>
      <c r="N564" s="436"/>
      <c r="O564" s="436"/>
      <c r="P564" s="436"/>
      <c r="Q564" s="444"/>
      <c r="R564" s="444"/>
      <c r="S564" s="444"/>
      <c r="T564" s="432">
        <f t="shared" si="89"/>
        <v>0</v>
      </c>
    </row>
    <row r="565" spans="1:20" ht="22.2" hidden="1" customHeight="1">
      <c r="A565" s="379"/>
      <c r="B565" s="438" t="s">
        <v>654</v>
      </c>
      <c r="C565" s="411" t="str">
        <f t="shared" si="90"/>
        <v xml:space="preserve"> </v>
      </c>
      <c r="D565" s="456">
        <v>5.0500000000000003E-2</v>
      </c>
      <c r="E565" s="422" t="str">
        <f>VLOOKUP($B565,[1]DG!A:D,[1]DG!$B$2,)</f>
        <v>04.1203c</v>
      </c>
      <c r="F565" s="434" t="str">
        <f>VLOOKUP($B565,[1]DG!A:D,[1]DG!$C$2,)</f>
        <v>Đổ bê tông móng trụ &lt;=250cm-M200 đá 1x2</v>
      </c>
      <c r="G565" s="422" t="str">
        <f>VLOOKUP($B565,[1]DG!A:D,[1]DG!$D$2,)</f>
        <v>m3</v>
      </c>
      <c r="H565" s="436"/>
      <c r="I565" s="436"/>
      <c r="J565" s="436"/>
      <c r="K565" s="436"/>
      <c r="L565" s="436"/>
      <c r="M565" s="436"/>
      <c r="N565" s="436"/>
      <c r="O565" s="436"/>
      <c r="P565" s="436"/>
      <c r="Q565" s="444"/>
      <c r="R565" s="444"/>
      <c r="S565" s="444"/>
      <c r="T565" s="432">
        <f t="shared" si="89"/>
        <v>0</v>
      </c>
    </row>
    <row r="566" spans="1:20" ht="22.2" hidden="1" customHeight="1">
      <c r="A566" s="423" t="s">
        <v>790</v>
      </c>
      <c r="B566" s="424" t="s">
        <v>790</v>
      </c>
      <c r="C566" s="425" t="str">
        <f t="shared" si="90"/>
        <v xml:space="preserve"> </v>
      </c>
      <c r="D566" s="426"/>
      <c r="E566" s="427"/>
      <c r="F566" s="428" t="s">
        <v>791</v>
      </c>
      <c r="G566" s="349" t="s">
        <v>67</v>
      </c>
      <c r="H566" s="429">
        <f>SUM(I566:O566)</f>
        <v>0</v>
      </c>
      <c r="I566" s="430"/>
      <c r="J566" s="430"/>
      <c r="K566" s="430">
        <f>IFERROR(HLOOKUP(B566,[1]pp3p1m!$1:$3,3,0),0)</f>
        <v>0</v>
      </c>
      <c r="L566" s="430">
        <f>IFERROR(HLOOKUP(chitiet!B566,[1]pp1p!$1:$3,3,0),0)</f>
        <v>0</v>
      </c>
      <c r="M566" s="430"/>
      <c r="N566" s="430"/>
      <c r="O566" s="430"/>
      <c r="P566" s="430">
        <f>H566+Q566-R566</f>
        <v>0</v>
      </c>
      <c r="Q566" s="431"/>
      <c r="R566" s="431"/>
      <c r="S566" s="431"/>
      <c r="T566" s="432">
        <f>IFERROR(HLOOKUP(B566,[1]pp1p!$1:$3,3,0),0)+IFERROR(HLOOKUP(B566,[1]pp3p1m!$1:$3,3,0),0)</f>
        <v>0</v>
      </c>
    </row>
    <row r="567" spans="1:20" ht="22.2" hidden="1" customHeight="1">
      <c r="A567" s="379"/>
      <c r="B567" s="410" t="s">
        <v>127</v>
      </c>
      <c r="C567" s="411" t="str">
        <f t="shared" si="90"/>
        <v xml:space="preserve"> </v>
      </c>
      <c r="D567" s="439">
        <v>3.36</v>
      </c>
      <c r="E567" s="422"/>
      <c r="F567" s="441" t="str">
        <f>VLOOKUP($B567,[1]DG!A:D,[1]DG!$C$2,)</f>
        <v>Cáp đồng trần M25mm2</v>
      </c>
      <c r="G567" s="422" t="str">
        <f>VLOOKUP($B567,[1]DG!A:D,[1]DG!$D$2,)</f>
        <v>kg</v>
      </c>
      <c r="H567" s="435">
        <f>H$566*$D567</f>
        <v>0</v>
      </c>
      <c r="I567" s="435"/>
      <c r="J567" s="435"/>
      <c r="K567" s="435"/>
      <c r="L567" s="435"/>
      <c r="M567" s="435">
        <f t="shared" ref="M567:O569" si="93">M$566*$D567</f>
        <v>0</v>
      </c>
      <c r="N567" s="435">
        <f t="shared" si="93"/>
        <v>0</v>
      </c>
      <c r="O567" s="435">
        <f t="shared" si="93"/>
        <v>0</v>
      </c>
      <c r="P567" s="435">
        <f>$P$566*D567</f>
        <v>0</v>
      </c>
      <c r="Q567" s="442"/>
      <c r="R567" s="442"/>
      <c r="S567" s="442"/>
      <c r="T567" s="432">
        <f t="shared" si="89"/>
        <v>0</v>
      </c>
    </row>
    <row r="568" spans="1:20" ht="22.2" hidden="1" customHeight="1">
      <c r="A568" s="379"/>
      <c r="B568" s="410" t="s">
        <v>82</v>
      </c>
      <c r="C568" s="411" t="str">
        <f t="shared" si="90"/>
        <v xml:space="preserve"> </v>
      </c>
      <c r="D568" s="440">
        <v>1</v>
      </c>
      <c r="E568" s="422"/>
      <c r="F568" s="441" t="str">
        <f>VLOOKUP($B568,[1]DG!A:D,[1]DG!$C$2,)</f>
        <v>Cọc tiếp đất Þ 16- 2,4m + kẹp cọc mạ đồng</v>
      </c>
      <c r="G568" s="422" t="str">
        <f>VLOOKUP($B568,[1]DG!A:D,[1]DG!$D$2,)</f>
        <v>bộ</v>
      </c>
      <c r="H568" s="435">
        <f>H$566*$D568</f>
        <v>0</v>
      </c>
      <c r="I568" s="435"/>
      <c r="J568" s="435"/>
      <c r="K568" s="435"/>
      <c r="L568" s="435"/>
      <c r="M568" s="435">
        <f t="shared" si="93"/>
        <v>0</v>
      </c>
      <c r="N568" s="435">
        <f t="shared" si="93"/>
        <v>0</v>
      </c>
      <c r="O568" s="435">
        <f t="shared" si="93"/>
        <v>0</v>
      </c>
      <c r="P568" s="435">
        <f>$P$566*D568</f>
        <v>0</v>
      </c>
      <c r="Q568" s="442"/>
      <c r="R568" s="442"/>
      <c r="S568" s="442"/>
      <c r="T568" s="432">
        <f t="shared" si="89"/>
        <v>0</v>
      </c>
    </row>
    <row r="569" spans="1:20" ht="22.2" hidden="1" customHeight="1">
      <c r="A569" s="379"/>
      <c r="B569" s="410" t="s">
        <v>792</v>
      </c>
      <c r="C569" s="411" t="str">
        <f t="shared" si="90"/>
        <v xml:space="preserve"> </v>
      </c>
      <c r="D569" s="440">
        <v>0</v>
      </c>
      <c r="E569" s="422"/>
      <c r="F569" s="441" t="s">
        <v>793</v>
      </c>
      <c r="G569" s="422" t="str">
        <f>VLOOKUP($B569,[1]DG!A:D,[1]DG!$D$2,)</f>
        <v>cái</v>
      </c>
      <c r="H569" s="435">
        <f>H$566*$D569</f>
        <v>0</v>
      </c>
      <c r="I569" s="435"/>
      <c r="J569" s="435"/>
      <c r="K569" s="435"/>
      <c r="L569" s="435"/>
      <c r="M569" s="435">
        <f t="shared" si="93"/>
        <v>0</v>
      </c>
      <c r="N569" s="435">
        <f t="shared" si="93"/>
        <v>0</v>
      </c>
      <c r="O569" s="435">
        <f t="shared" si="93"/>
        <v>0</v>
      </c>
      <c r="P569" s="435"/>
      <c r="Q569" s="442"/>
      <c r="R569" s="442"/>
      <c r="S569" s="442"/>
      <c r="T569" s="432">
        <f t="shared" si="89"/>
        <v>0</v>
      </c>
    </row>
    <row r="570" spans="1:20" ht="22.2" hidden="1" customHeight="1">
      <c r="A570" s="379"/>
      <c r="B570" s="410" t="s">
        <v>794</v>
      </c>
      <c r="C570" s="411" t="str">
        <f t="shared" si="90"/>
        <v xml:space="preserve"> </v>
      </c>
      <c r="D570" s="439">
        <f>D567</f>
        <v>3.36</v>
      </c>
      <c r="E570" s="422" t="str">
        <f>VLOOKUP($B570,[1]DG!A:D,[1]DG!$B$2,)</f>
        <v>05.7001</v>
      </c>
      <c r="F570" s="434" t="str">
        <f>VLOOKUP($B570,[1]DG!A:D,[1]DG!$C$2,)</f>
        <v xml:space="preserve">Kéo dây tiếp địa </v>
      </c>
      <c r="G570" s="422" t="str">
        <f>VLOOKUP($B570,[1]DG!A:D,[1]DG!$D$2,)</f>
        <v>mét</v>
      </c>
      <c r="H570" s="435">
        <f>H$566*$D570</f>
        <v>0</v>
      </c>
      <c r="I570" s="435"/>
      <c r="J570" s="435"/>
      <c r="K570" s="435"/>
      <c r="L570" s="435"/>
      <c r="M570" s="435"/>
      <c r="N570" s="435"/>
      <c r="O570" s="435"/>
      <c r="P570" s="435">
        <f>$P$566*D570</f>
        <v>0</v>
      </c>
      <c r="Q570" s="437"/>
      <c r="R570" s="437"/>
      <c r="S570" s="437"/>
      <c r="T570" s="432">
        <f t="shared" si="89"/>
        <v>0</v>
      </c>
    </row>
    <row r="571" spans="1:20" ht="22.2" hidden="1" customHeight="1">
      <c r="A571" s="379"/>
      <c r="B571" s="410" t="s">
        <v>795</v>
      </c>
      <c r="C571" s="411" t="str">
        <f t="shared" si="90"/>
        <v xml:space="preserve"> </v>
      </c>
      <c r="D571" s="440">
        <v>1</v>
      </c>
      <c r="E571" s="422" t="str">
        <f>VLOOKUP($B571,[1]DG!A:D,[1]DG!$B$2,)</f>
        <v>05.8103</v>
      </c>
      <c r="F571" s="434" t="str">
        <f>VLOOKUP($B571,[1]DG!A:D,[1]DG!$C$2,)</f>
        <v>Đóng cọc tiếp địa đất cấp 3</v>
      </c>
      <c r="G571" s="422" t="str">
        <f>VLOOKUP($B571,[1]DG!A:D,[1]DG!$D$2,)</f>
        <v>cọc</v>
      </c>
      <c r="H571" s="435">
        <f>H$566*$D571</f>
        <v>0</v>
      </c>
      <c r="I571" s="435"/>
      <c r="J571" s="435"/>
      <c r="K571" s="435"/>
      <c r="L571" s="435"/>
      <c r="M571" s="435"/>
      <c r="N571" s="435"/>
      <c r="O571" s="435"/>
      <c r="P571" s="435">
        <f>$P$566*D571</f>
        <v>0</v>
      </c>
      <c r="Q571" s="442"/>
      <c r="R571" s="442"/>
      <c r="S571" s="442"/>
      <c r="T571" s="432">
        <f t="shared" si="89"/>
        <v>0</v>
      </c>
    </row>
    <row r="572" spans="1:20" ht="22.2" hidden="1" customHeight="1">
      <c r="A572" s="379"/>
      <c r="B572" s="410" t="s">
        <v>796</v>
      </c>
      <c r="C572" s="411" t="str">
        <f t="shared" si="90"/>
        <v xml:space="preserve"> </v>
      </c>
      <c r="D572" s="433"/>
      <c r="E572" s="422" t="str">
        <f>VLOOKUP($B572,[1]DG!A:D,[1]DG!$B$2,)</f>
        <v>02.1120</v>
      </c>
      <c r="F572" s="434" t="str">
        <f>VLOOKUP($B572,[1]DG!A:D,[1]DG!$C$2,)</f>
        <v>Bốc dỡ phụ kiện</v>
      </c>
      <c r="G572" s="422" t="str">
        <f>VLOOKUP($B572,[1]DG!A:D,[1]DG!$D$2,)</f>
        <v>tấn</v>
      </c>
      <c r="H572" s="435"/>
      <c r="I572" s="435"/>
      <c r="J572" s="435"/>
      <c r="K572" s="435"/>
      <c r="L572" s="435"/>
      <c r="M572" s="435"/>
      <c r="N572" s="435"/>
      <c r="O572" s="435"/>
      <c r="P572" s="435"/>
      <c r="Q572" s="442"/>
      <c r="R572" s="442"/>
      <c r="S572" s="442"/>
      <c r="T572" s="432">
        <f t="shared" si="89"/>
        <v>0</v>
      </c>
    </row>
    <row r="573" spans="1:20" ht="22.2" hidden="1" customHeight="1">
      <c r="A573" s="379"/>
      <c r="B573" s="438" t="s">
        <v>797</v>
      </c>
      <c r="C573" s="411" t="str">
        <f t="shared" si="90"/>
        <v xml:space="preserve"> </v>
      </c>
      <c r="D573" s="433"/>
      <c r="E573" s="422" t="str">
        <f>VLOOKUP($B573,[1]DG!A:C,2,)</f>
        <v>02.1351</v>
      </c>
      <c r="F573" s="434" t="str">
        <f>VLOOKUP($B573,[1]DG!A:C,3,)</f>
        <v>V/c tiếp địa vào vị trí ( cự ly &lt;=100m)</v>
      </c>
      <c r="G573" s="422" t="str">
        <f>VLOOKUP($B573,[1]DG!A:D,4,0)</f>
        <v>tấn</v>
      </c>
      <c r="H573" s="435"/>
      <c r="I573" s="435"/>
      <c r="J573" s="435"/>
      <c r="K573" s="435"/>
      <c r="L573" s="435"/>
      <c r="M573" s="435"/>
      <c r="N573" s="435"/>
      <c r="O573" s="435"/>
      <c r="P573" s="435"/>
      <c r="Q573" s="437"/>
      <c r="R573" s="437"/>
      <c r="S573" s="437"/>
      <c r="T573" s="432">
        <f t="shared" si="89"/>
        <v>0</v>
      </c>
    </row>
    <row r="574" spans="1:20" ht="22.2" hidden="1" customHeight="1">
      <c r="A574" s="423" t="s">
        <v>798</v>
      </c>
      <c r="B574" s="424" t="s">
        <v>798</v>
      </c>
      <c r="C574" s="425" t="str">
        <f t="shared" si="90"/>
        <v xml:space="preserve"> </v>
      </c>
      <c r="D574" s="426"/>
      <c r="E574" s="427"/>
      <c r="F574" s="428" t="s">
        <v>799</v>
      </c>
      <c r="G574" s="349" t="s">
        <v>67</v>
      </c>
      <c r="H574" s="429">
        <f>SUM(I574:O574)</f>
        <v>0</v>
      </c>
      <c r="I574" s="430"/>
      <c r="J574" s="430"/>
      <c r="K574" s="430">
        <f>IFERROR(HLOOKUP(B574,[1]pp3p1m!$1:$3,3,0),0)</f>
        <v>0</v>
      </c>
      <c r="L574" s="430">
        <f>IFERROR(HLOOKUP(chitiet!B574,[1]pp1p!$1:$3,3,0),0)</f>
        <v>0</v>
      </c>
      <c r="M574" s="430"/>
      <c r="N574" s="430"/>
      <c r="O574" s="430"/>
      <c r="P574" s="430"/>
      <c r="Q574" s="431"/>
      <c r="R574" s="431"/>
      <c r="S574" s="431"/>
      <c r="T574" s="432">
        <f>IFERROR(HLOOKUP(B574,[1]pp1p!$1:$3,3,0),0)+IFERROR(HLOOKUP(B574,[1]pp3p1m!$1:$3,3,0),0)</f>
        <v>0</v>
      </c>
    </row>
    <row r="575" spans="1:20" ht="22.2" hidden="1" customHeight="1">
      <c r="A575" s="379"/>
      <c r="B575" s="410" t="s">
        <v>127</v>
      </c>
      <c r="C575" s="411" t="str">
        <f t="shared" si="90"/>
        <v xml:space="preserve"> </v>
      </c>
      <c r="D575" s="439">
        <f>9*0.224</f>
        <v>2.016</v>
      </c>
      <c r="E575" s="422"/>
      <c r="F575" s="441" t="str">
        <f>VLOOKUP($B575,[1]DG!A:D,[1]DG!$C$2,)&amp;" : 9m"</f>
        <v>Cáp đồng trần M25mm2 : 9m</v>
      </c>
      <c r="G575" s="422" t="str">
        <f>VLOOKUP($B575,[1]DG!A:D,[1]DG!$D$2,)</f>
        <v>kg</v>
      </c>
      <c r="H575" s="435">
        <f>H$574*$D575</f>
        <v>0</v>
      </c>
      <c r="I575" s="435"/>
      <c r="J575" s="435"/>
      <c r="K575" s="435"/>
      <c r="L575" s="435"/>
      <c r="M575" s="435">
        <f t="shared" ref="M575:O577" si="94">M$574*$D575</f>
        <v>0</v>
      </c>
      <c r="N575" s="435">
        <f t="shared" si="94"/>
        <v>0</v>
      </c>
      <c r="O575" s="435">
        <f t="shared" si="94"/>
        <v>0</v>
      </c>
      <c r="P575" s="435"/>
      <c r="Q575" s="442"/>
      <c r="R575" s="442"/>
      <c r="S575" s="442"/>
      <c r="T575" s="432">
        <f t="shared" si="89"/>
        <v>0</v>
      </c>
    </row>
    <row r="576" spans="1:20" ht="22.2" hidden="1" customHeight="1">
      <c r="A576" s="379"/>
      <c r="B576" s="410" t="s">
        <v>82</v>
      </c>
      <c r="C576" s="411" t="str">
        <f t="shared" si="90"/>
        <v xml:space="preserve"> </v>
      </c>
      <c r="D576" s="440">
        <v>1</v>
      </c>
      <c r="E576" s="422"/>
      <c r="F576" s="441" t="str">
        <f>VLOOKUP($B576,[1]DG!A:D,[1]DG!$C$2,)</f>
        <v>Cọc tiếp đất Þ 16- 2,4m + kẹp cọc mạ đồng</v>
      </c>
      <c r="G576" s="422" t="str">
        <f>VLOOKUP($B576,[1]DG!A:D,[1]DG!$D$2,)</f>
        <v>bộ</v>
      </c>
      <c r="H576" s="435">
        <f>H$574*$D576</f>
        <v>0</v>
      </c>
      <c r="I576" s="435"/>
      <c r="J576" s="435"/>
      <c r="K576" s="435"/>
      <c r="L576" s="435"/>
      <c r="M576" s="435">
        <f t="shared" si="94"/>
        <v>0</v>
      </c>
      <c r="N576" s="435">
        <f t="shared" si="94"/>
        <v>0</v>
      </c>
      <c r="O576" s="435">
        <f t="shared" si="94"/>
        <v>0</v>
      </c>
      <c r="P576" s="435"/>
      <c r="Q576" s="442"/>
      <c r="R576" s="442"/>
      <c r="S576" s="442"/>
      <c r="T576" s="432">
        <f t="shared" si="89"/>
        <v>0</v>
      </c>
    </row>
    <row r="577" spans="1:20" ht="22.2" hidden="1" customHeight="1">
      <c r="A577" s="379"/>
      <c r="B577" s="410" t="s">
        <v>800</v>
      </c>
      <c r="C577" s="411" t="str">
        <f t="shared" si="90"/>
        <v xml:space="preserve"> </v>
      </c>
      <c r="D577" s="440">
        <v>2</v>
      </c>
      <c r="E577" s="422"/>
      <c r="F577" s="441" t="str">
        <f>VLOOKUP($B577,[1]DG!A:D,[1]DG!$C$2,)</f>
        <v>Kẹp ép WR cỡ dây 50mm2</v>
      </c>
      <c r="G577" s="422" t="str">
        <f>VLOOKUP($B577,[1]DG!A:D,[1]DG!$D$2,)</f>
        <v>cái</v>
      </c>
      <c r="H577" s="435">
        <f>H$574*$D577</f>
        <v>0</v>
      </c>
      <c r="I577" s="435"/>
      <c r="J577" s="435"/>
      <c r="K577" s="435"/>
      <c r="L577" s="435"/>
      <c r="M577" s="435">
        <f t="shared" si="94"/>
        <v>0</v>
      </c>
      <c r="N577" s="435">
        <f t="shared" si="94"/>
        <v>0</v>
      </c>
      <c r="O577" s="435">
        <f t="shared" si="94"/>
        <v>0</v>
      </c>
      <c r="P577" s="435"/>
      <c r="Q577" s="442"/>
      <c r="R577" s="442"/>
      <c r="S577" s="442"/>
      <c r="T577" s="432">
        <f t="shared" si="89"/>
        <v>0</v>
      </c>
    </row>
    <row r="578" spans="1:20" ht="22.2" hidden="1" customHeight="1">
      <c r="A578" s="379"/>
      <c r="B578" s="410" t="s">
        <v>801</v>
      </c>
      <c r="C578" s="411" t="str">
        <f t="shared" si="90"/>
        <v xml:space="preserve"> </v>
      </c>
      <c r="D578" s="440">
        <v>2</v>
      </c>
      <c r="E578" s="422"/>
      <c r="F578" s="441" t="str">
        <f>VLOOKUP($B578,[1]DG!A:D,[1]DG!$C$2,)</f>
        <v>Đầu cosse ép Cu 25mm2</v>
      </c>
      <c r="G578" s="422" t="str">
        <f>VLOOKUP($B578,[1]DG!A:D,[1]DG!$D$2,)</f>
        <v>cái</v>
      </c>
      <c r="H578" s="435"/>
      <c r="I578" s="435"/>
      <c r="J578" s="435"/>
      <c r="K578" s="435"/>
      <c r="L578" s="435"/>
      <c r="M578" s="435"/>
      <c r="N578" s="435"/>
      <c r="O578" s="435"/>
      <c r="P578" s="435"/>
      <c r="Q578" s="442"/>
      <c r="R578" s="442"/>
      <c r="S578" s="442"/>
      <c r="T578" s="432">
        <f t="shared" si="89"/>
        <v>0</v>
      </c>
    </row>
    <row r="579" spans="1:20" ht="22.2" hidden="1" customHeight="1">
      <c r="A579" s="379"/>
      <c r="B579" s="410" t="s">
        <v>88</v>
      </c>
      <c r="C579" s="411" t="str">
        <f t="shared" si="90"/>
        <v xml:space="preserve"> </v>
      </c>
      <c r="D579" s="440">
        <v>1</v>
      </c>
      <c r="E579" s="422"/>
      <c r="F579" s="441" t="str">
        <f>VLOOKUP($B579,[1]DG!A:D,[1]DG!$C$2,)</f>
        <v>Boulon 12x40+ 2 long đền vuông D14-50x50x3/Zn</v>
      </c>
      <c r="G579" s="422" t="str">
        <f>VLOOKUP($B579,[1]DG!A:D,[1]DG!$D$2,)</f>
        <v>bộ</v>
      </c>
      <c r="H579" s="435"/>
      <c r="I579" s="435"/>
      <c r="J579" s="435"/>
      <c r="K579" s="435"/>
      <c r="L579" s="435"/>
      <c r="M579" s="435"/>
      <c r="N579" s="435"/>
      <c r="O579" s="435"/>
      <c r="P579" s="435"/>
      <c r="Q579" s="442"/>
      <c r="R579" s="442"/>
      <c r="S579" s="442"/>
      <c r="T579" s="432">
        <f t="shared" si="89"/>
        <v>0</v>
      </c>
    </row>
    <row r="580" spans="1:20" ht="22.2" hidden="1" customHeight="1">
      <c r="A580" s="379"/>
      <c r="B580" s="410" t="s">
        <v>794</v>
      </c>
      <c r="C580" s="411" t="str">
        <f t="shared" si="90"/>
        <v xml:space="preserve"> </v>
      </c>
      <c r="D580" s="439">
        <f>D575</f>
        <v>2.016</v>
      </c>
      <c r="E580" s="422" t="str">
        <f>VLOOKUP($B580,[1]DG!A:D,[1]DG!$B$2,)</f>
        <v>05.7001</v>
      </c>
      <c r="F580" s="434" t="str">
        <f>VLOOKUP($B580,[1]DG!A:D,[1]DG!$C$2,)</f>
        <v xml:space="preserve">Kéo dây tiếp địa </v>
      </c>
      <c r="G580" s="422" t="str">
        <f>VLOOKUP($B580,[1]DG!A:D,[1]DG!$D$2,)</f>
        <v>mét</v>
      </c>
      <c r="H580" s="435"/>
      <c r="I580" s="435"/>
      <c r="J580" s="435"/>
      <c r="K580" s="435"/>
      <c r="L580" s="435"/>
      <c r="M580" s="435"/>
      <c r="N580" s="435"/>
      <c r="O580" s="435"/>
      <c r="P580" s="435"/>
      <c r="Q580" s="437"/>
      <c r="R580" s="437"/>
      <c r="S580" s="437"/>
      <c r="T580" s="432">
        <f t="shared" si="89"/>
        <v>0</v>
      </c>
    </row>
    <row r="581" spans="1:20" ht="22.2" hidden="1" customHeight="1">
      <c r="A581" s="379"/>
      <c r="B581" s="410" t="s">
        <v>795</v>
      </c>
      <c r="C581" s="411" t="str">
        <f t="shared" si="90"/>
        <v xml:space="preserve"> </v>
      </c>
      <c r="D581" s="440">
        <v>1</v>
      </c>
      <c r="E581" s="422" t="str">
        <f>VLOOKUP($B581,[1]DG!A:D,[1]DG!$B$2,)</f>
        <v>05.8103</v>
      </c>
      <c r="F581" s="434" t="str">
        <f>VLOOKUP($B581,[1]DG!A:D,[1]DG!$C$2,)</f>
        <v>Đóng cọc tiếp địa đất cấp 3</v>
      </c>
      <c r="G581" s="422" t="str">
        <f>VLOOKUP($B581,[1]DG!A:D,[1]DG!$D$2,)</f>
        <v>cọc</v>
      </c>
      <c r="H581" s="435"/>
      <c r="I581" s="435"/>
      <c r="J581" s="435"/>
      <c r="K581" s="435"/>
      <c r="L581" s="435"/>
      <c r="M581" s="435"/>
      <c r="N581" s="435"/>
      <c r="O581" s="435"/>
      <c r="P581" s="435"/>
      <c r="Q581" s="442"/>
      <c r="R581" s="442"/>
      <c r="S581" s="442"/>
      <c r="T581" s="432">
        <f t="shared" si="89"/>
        <v>0</v>
      </c>
    </row>
    <row r="582" spans="1:20" ht="22.2" hidden="1" customHeight="1">
      <c r="A582" s="379"/>
      <c r="B582" s="410" t="s">
        <v>796</v>
      </c>
      <c r="C582" s="411" t="str">
        <f t="shared" si="90"/>
        <v xml:space="preserve"> </v>
      </c>
      <c r="D582" s="433"/>
      <c r="E582" s="422" t="str">
        <f>VLOOKUP($B582,[1]DG!A:D,[1]DG!$B$2,)</f>
        <v>02.1120</v>
      </c>
      <c r="F582" s="434" t="str">
        <f>VLOOKUP($B582,[1]DG!A:D,[1]DG!$C$2,)</f>
        <v>Bốc dỡ phụ kiện</v>
      </c>
      <c r="G582" s="422" t="str">
        <f>VLOOKUP($B582,[1]DG!A:D,[1]DG!$D$2,)</f>
        <v>tấn</v>
      </c>
      <c r="H582" s="435"/>
      <c r="I582" s="435"/>
      <c r="J582" s="435"/>
      <c r="K582" s="435"/>
      <c r="L582" s="435"/>
      <c r="M582" s="435"/>
      <c r="N582" s="435"/>
      <c r="O582" s="435"/>
      <c r="P582" s="435"/>
      <c r="Q582" s="442"/>
      <c r="R582" s="442"/>
      <c r="S582" s="442"/>
      <c r="T582" s="432">
        <f t="shared" si="89"/>
        <v>0</v>
      </c>
    </row>
    <row r="583" spans="1:20" ht="22.2" hidden="1" customHeight="1">
      <c r="A583" s="379"/>
      <c r="B583" s="438" t="s">
        <v>797</v>
      </c>
      <c r="C583" s="411" t="str">
        <f t="shared" si="90"/>
        <v xml:space="preserve"> </v>
      </c>
      <c r="D583" s="433"/>
      <c r="E583" s="422" t="str">
        <f>VLOOKUP($B583,[1]DG!A:C,2,)</f>
        <v>02.1351</v>
      </c>
      <c r="F583" s="434" t="str">
        <f>VLOOKUP($B583,[1]DG!A:C,3,)</f>
        <v>V/c tiếp địa vào vị trí ( cự ly &lt;=100m)</v>
      </c>
      <c r="G583" s="422" t="str">
        <f>VLOOKUP($B583,[1]DG!A:D,4,0)</f>
        <v>tấn</v>
      </c>
      <c r="H583" s="435"/>
      <c r="I583" s="435"/>
      <c r="J583" s="435"/>
      <c r="K583" s="435"/>
      <c r="L583" s="435"/>
      <c r="M583" s="435"/>
      <c r="N583" s="435"/>
      <c r="O583" s="435"/>
      <c r="P583" s="435"/>
      <c r="Q583" s="437"/>
      <c r="R583" s="437"/>
      <c r="S583" s="437"/>
      <c r="T583" s="432">
        <f t="shared" si="89"/>
        <v>0</v>
      </c>
    </row>
    <row r="584" spans="1:20" ht="22.2" hidden="1" customHeight="1">
      <c r="A584" s="423" t="s">
        <v>802</v>
      </c>
      <c r="B584" s="424" t="s">
        <v>802</v>
      </c>
      <c r="C584" s="425" t="str">
        <f t="shared" si="90"/>
        <v xml:space="preserve"> </v>
      </c>
      <c r="D584" s="426"/>
      <c r="E584" s="427"/>
      <c r="F584" s="428" t="s">
        <v>803</v>
      </c>
      <c r="G584" s="349" t="s">
        <v>67</v>
      </c>
      <c r="H584" s="429">
        <f>SUM(I584:O584)</f>
        <v>0</v>
      </c>
      <c r="I584" s="430"/>
      <c r="J584" s="430"/>
      <c r="K584" s="430">
        <f>IFERROR(HLOOKUP(B584,[1]pp3p1m!$1:$3,3,0),0)</f>
        <v>0</v>
      </c>
      <c r="L584" s="430">
        <f>IFERROR(HLOOKUP(chitiet!B584,[1]pp1p!$1:$3,3,0),0)</f>
        <v>0</v>
      </c>
      <c r="M584" s="430"/>
      <c r="N584" s="430"/>
      <c r="O584" s="430"/>
      <c r="P584" s="430">
        <f>H584+Q584-R584</f>
        <v>0</v>
      </c>
      <c r="Q584" s="431"/>
      <c r="R584" s="431"/>
      <c r="S584" s="431"/>
      <c r="T584" s="432">
        <f>IFERROR(HLOOKUP(B584,[1]pp1p!$1:$3,3,0),0)+IFERROR(HLOOKUP(B584,[1]pp3p1m!$1:$3,3,0),0)</f>
        <v>0</v>
      </c>
    </row>
    <row r="585" spans="1:20" ht="22.2" hidden="1" customHeight="1">
      <c r="A585" s="379"/>
      <c r="B585" s="410" t="s">
        <v>127</v>
      </c>
      <c r="C585" s="411" t="str">
        <f t="shared" si="90"/>
        <v xml:space="preserve"> </v>
      </c>
      <c r="D585" s="439">
        <f>8*0.224</f>
        <v>1.792</v>
      </c>
      <c r="E585" s="422"/>
      <c r="F585" s="441" t="str">
        <f>VLOOKUP($B585,[1]DG!A:D,[1]DG!$C$2,)&amp;" : 8m"</f>
        <v>Cáp đồng trần M25mm2 : 8m</v>
      </c>
      <c r="G585" s="422" t="str">
        <f>VLOOKUP($B585,[1]DG!A:D,[1]DG!$D$2,)</f>
        <v>kg</v>
      </c>
      <c r="H585" s="435">
        <f t="shared" ref="H585:H591" si="95">H$584*$D585</f>
        <v>0</v>
      </c>
      <c r="I585" s="435"/>
      <c r="J585" s="435"/>
      <c r="K585" s="435"/>
      <c r="L585" s="435"/>
      <c r="M585" s="435">
        <f t="shared" ref="M585:O587" si="96">M$574*$D585</f>
        <v>0</v>
      </c>
      <c r="N585" s="435">
        <f t="shared" si="96"/>
        <v>0</v>
      </c>
      <c r="O585" s="435">
        <f t="shared" si="96"/>
        <v>0</v>
      </c>
      <c r="P585" s="430">
        <f>H585+Q585-R585</f>
        <v>0</v>
      </c>
      <c r="Q585" s="457"/>
      <c r="R585" s="457"/>
      <c r="S585" s="457"/>
      <c r="T585" s="432">
        <f t="shared" si="89"/>
        <v>0</v>
      </c>
    </row>
    <row r="586" spans="1:20" ht="22.2" hidden="1" customHeight="1">
      <c r="A586" s="379"/>
      <c r="B586" s="410" t="s">
        <v>82</v>
      </c>
      <c r="C586" s="411" t="str">
        <f t="shared" si="90"/>
        <v xml:space="preserve"> </v>
      </c>
      <c r="D586" s="440">
        <v>1</v>
      </c>
      <c r="E586" s="422"/>
      <c r="F586" s="441" t="str">
        <f>VLOOKUP($B586,[1]DG!A:D,[1]DG!$C$2,)</f>
        <v>Cọc tiếp đất Þ 16- 2,4m + kẹp cọc mạ đồng</v>
      </c>
      <c r="G586" s="422" t="str">
        <f>VLOOKUP($B586,[1]DG!A:D,[1]DG!$D$2,)</f>
        <v>bộ</v>
      </c>
      <c r="H586" s="435">
        <f t="shared" si="95"/>
        <v>0</v>
      </c>
      <c r="I586" s="435"/>
      <c r="J586" s="435"/>
      <c r="K586" s="435"/>
      <c r="L586" s="435"/>
      <c r="M586" s="435">
        <f t="shared" si="96"/>
        <v>0</v>
      </c>
      <c r="N586" s="435">
        <f t="shared" si="96"/>
        <v>0</v>
      </c>
      <c r="O586" s="435">
        <f t="shared" si="96"/>
        <v>0</v>
      </c>
      <c r="P586" s="430">
        <f>H586+Q586-R586</f>
        <v>0</v>
      </c>
      <c r="Q586" s="442"/>
      <c r="R586" s="442"/>
      <c r="S586" s="442"/>
      <c r="T586" s="432">
        <f t="shared" si="89"/>
        <v>0</v>
      </c>
    </row>
    <row r="587" spans="1:20" ht="22.2" hidden="1" customHeight="1">
      <c r="A587" s="379"/>
      <c r="B587" s="410" t="s">
        <v>792</v>
      </c>
      <c r="C587" s="411" t="str">
        <f t="shared" si="90"/>
        <v xml:space="preserve"> </v>
      </c>
      <c r="D587" s="440">
        <v>1</v>
      </c>
      <c r="E587" s="422"/>
      <c r="F587" s="441" t="s">
        <v>793</v>
      </c>
      <c r="G587" s="422" t="str">
        <f>VLOOKUP($B587,[1]DG!A:D,[1]DG!$D$2,)</f>
        <v>cái</v>
      </c>
      <c r="H587" s="435">
        <f t="shared" si="95"/>
        <v>0</v>
      </c>
      <c r="I587" s="435"/>
      <c r="J587" s="435"/>
      <c r="K587" s="435"/>
      <c r="L587" s="435"/>
      <c r="M587" s="435">
        <f t="shared" si="96"/>
        <v>0</v>
      </c>
      <c r="N587" s="435">
        <f t="shared" si="96"/>
        <v>0</v>
      </c>
      <c r="O587" s="435">
        <f t="shared" si="96"/>
        <v>0</v>
      </c>
      <c r="P587" s="430">
        <f>H587+Q587-R587</f>
        <v>0</v>
      </c>
      <c r="Q587" s="442"/>
      <c r="R587" s="442"/>
      <c r="S587" s="442"/>
      <c r="T587" s="432">
        <f t="shared" si="89"/>
        <v>0</v>
      </c>
    </row>
    <row r="588" spans="1:20" ht="22.2" hidden="1" customHeight="1">
      <c r="A588" s="379"/>
      <c r="B588" s="410" t="s">
        <v>801</v>
      </c>
      <c r="C588" s="411" t="str">
        <f t="shared" si="90"/>
        <v xml:space="preserve"> </v>
      </c>
      <c r="D588" s="440">
        <v>2</v>
      </c>
      <c r="E588" s="422"/>
      <c r="F588" s="441" t="str">
        <f>VLOOKUP($B588,[1]DG!A:D,[1]DG!C$2,)</f>
        <v>Đầu cosse ép Cu 25mm2</v>
      </c>
      <c r="G588" s="422" t="str">
        <f>VLOOKUP($B588,[1]DG!A:D,[1]DG!$D$2,)</f>
        <v>cái</v>
      </c>
      <c r="H588" s="435">
        <f t="shared" si="95"/>
        <v>0</v>
      </c>
      <c r="I588" s="435">
        <f t="shared" ref="I588:O589" si="97">I$612*$D588</f>
        <v>0</v>
      </c>
      <c r="J588" s="435">
        <f t="shared" si="97"/>
        <v>0</v>
      </c>
      <c r="K588" s="435">
        <f t="shared" si="97"/>
        <v>0</v>
      </c>
      <c r="L588" s="435">
        <f t="shared" si="97"/>
        <v>0</v>
      </c>
      <c r="M588" s="435">
        <f t="shared" si="97"/>
        <v>0</v>
      </c>
      <c r="N588" s="435">
        <f t="shared" si="97"/>
        <v>0</v>
      </c>
      <c r="O588" s="435">
        <f t="shared" si="97"/>
        <v>0</v>
      </c>
      <c r="P588" s="435">
        <f>$P$584*D588</f>
        <v>0</v>
      </c>
      <c r="Q588" s="442"/>
      <c r="R588" s="442"/>
      <c r="S588" s="442"/>
      <c r="T588" s="432">
        <f t="shared" si="89"/>
        <v>0</v>
      </c>
    </row>
    <row r="589" spans="1:20" ht="22.2" hidden="1" customHeight="1">
      <c r="A589" s="379"/>
      <c r="B589" s="410" t="s">
        <v>88</v>
      </c>
      <c r="C589" s="411" t="str">
        <f t="shared" si="90"/>
        <v xml:space="preserve"> </v>
      </c>
      <c r="D589" s="440">
        <v>2</v>
      </c>
      <c r="E589" s="422"/>
      <c r="F589" s="441" t="str">
        <f>VLOOKUP($B589,[1]DG!A:D,[1]DG!C$2,)</f>
        <v>Boulon 12x40+ 2 long đền vuông D14-50x50x3/Zn</v>
      </c>
      <c r="G589" s="422" t="str">
        <f>VLOOKUP($B589,[1]DG!A:D,[1]DG!$D$2,)</f>
        <v>bộ</v>
      </c>
      <c r="H589" s="435">
        <f t="shared" si="95"/>
        <v>0</v>
      </c>
      <c r="I589" s="435">
        <f t="shared" si="97"/>
        <v>0</v>
      </c>
      <c r="J589" s="435">
        <f t="shared" si="97"/>
        <v>0</v>
      </c>
      <c r="K589" s="435">
        <f t="shared" si="97"/>
        <v>0</v>
      </c>
      <c r="L589" s="435">
        <f t="shared" si="97"/>
        <v>0</v>
      </c>
      <c r="M589" s="435">
        <f t="shared" si="97"/>
        <v>0</v>
      </c>
      <c r="N589" s="435">
        <f t="shared" si="97"/>
        <v>0</v>
      </c>
      <c r="O589" s="435">
        <f t="shared" si="97"/>
        <v>0</v>
      </c>
      <c r="P589" s="435">
        <f>$P$584*D589</f>
        <v>0</v>
      </c>
      <c r="Q589" s="442"/>
      <c r="R589" s="442"/>
      <c r="S589" s="442"/>
      <c r="T589" s="432">
        <f t="shared" si="89"/>
        <v>0</v>
      </c>
    </row>
    <row r="590" spans="1:20" ht="22.2" hidden="1" customHeight="1">
      <c r="A590" s="379"/>
      <c r="B590" s="410" t="s">
        <v>794</v>
      </c>
      <c r="C590" s="411" t="str">
        <f t="shared" si="90"/>
        <v xml:space="preserve"> </v>
      </c>
      <c r="D590" s="439">
        <v>8</v>
      </c>
      <c r="E590" s="422" t="str">
        <f>VLOOKUP($B590,[1]DG!A:D,[1]DG!$B$2,)</f>
        <v>05.7001</v>
      </c>
      <c r="F590" s="434" t="str">
        <f>VLOOKUP($B590,[1]DG!A:D,[1]DG!$C$2,)</f>
        <v xml:space="preserve">Kéo dây tiếp địa </v>
      </c>
      <c r="G590" s="422" t="str">
        <f>VLOOKUP($B590,[1]DG!A:D,[1]DG!$D$2,)</f>
        <v>mét</v>
      </c>
      <c r="H590" s="435">
        <f t="shared" si="95"/>
        <v>0</v>
      </c>
      <c r="I590" s="435"/>
      <c r="J590" s="435"/>
      <c r="K590" s="435"/>
      <c r="L590" s="435"/>
      <c r="M590" s="435"/>
      <c r="N590" s="435"/>
      <c r="O590" s="435"/>
      <c r="P590" s="430">
        <f>H590+Q590-R590</f>
        <v>0</v>
      </c>
      <c r="Q590" s="457"/>
      <c r="R590" s="457"/>
      <c r="S590" s="457"/>
      <c r="T590" s="432">
        <f t="shared" si="89"/>
        <v>0</v>
      </c>
    </row>
    <row r="591" spans="1:20" ht="22.2" hidden="1" customHeight="1">
      <c r="A591" s="379"/>
      <c r="B591" s="410" t="s">
        <v>795</v>
      </c>
      <c r="C591" s="411" t="str">
        <f t="shared" si="90"/>
        <v xml:space="preserve"> </v>
      </c>
      <c r="D591" s="440">
        <v>1</v>
      </c>
      <c r="E591" s="422" t="str">
        <f>VLOOKUP($B591,[1]DG!A:D,[1]DG!$B$2,)</f>
        <v>05.8103</v>
      </c>
      <c r="F591" s="434" t="str">
        <f>VLOOKUP($B591,[1]DG!A:D,[1]DG!$C$2,)</f>
        <v>Đóng cọc tiếp địa đất cấp 3</v>
      </c>
      <c r="G591" s="422" t="str">
        <f>VLOOKUP($B591,[1]DG!A:D,[1]DG!$D$2,)</f>
        <v>cọc</v>
      </c>
      <c r="H591" s="435">
        <f t="shared" si="95"/>
        <v>0</v>
      </c>
      <c r="I591" s="435"/>
      <c r="J591" s="435"/>
      <c r="K591" s="435"/>
      <c r="L591" s="435"/>
      <c r="M591" s="435"/>
      <c r="N591" s="435"/>
      <c r="O591" s="435"/>
      <c r="P591" s="430">
        <f>H591+Q591-R591</f>
        <v>0</v>
      </c>
      <c r="Q591" s="442"/>
      <c r="R591" s="442"/>
      <c r="S591" s="442"/>
      <c r="T591" s="432">
        <f t="shared" si="89"/>
        <v>0</v>
      </c>
    </row>
    <row r="592" spans="1:20" ht="22.2" hidden="1" customHeight="1">
      <c r="A592" s="379"/>
      <c r="B592" s="410" t="s">
        <v>796</v>
      </c>
      <c r="C592" s="411" t="str">
        <f t="shared" si="90"/>
        <v xml:space="preserve"> </v>
      </c>
      <c r="D592" s="433"/>
      <c r="E592" s="422" t="str">
        <f>VLOOKUP($B592,[1]DG!A:D,[1]DG!$B$2,)</f>
        <v>02.1120</v>
      </c>
      <c r="F592" s="434" t="str">
        <f>VLOOKUP($B592,[1]DG!A:D,[1]DG!$C$2,)</f>
        <v>Bốc dỡ phụ kiện</v>
      </c>
      <c r="G592" s="422" t="str">
        <f>VLOOKUP($B592,[1]DG!A:D,[1]DG!$D$2,)</f>
        <v>tấn</v>
      </c>
      <c r="H592" s="435"/>
      <c r="I592" s="435"/>
      <c r="J592" s="435"/>
      <c r="K592" s="435"/>
      <c r="L592" s="435"/>
      <c r="M592" s="435"/>
      <c r="N592" s="435"/>
      <c r="O592" s="435"/>
      <c r="P592" s="435"/>
      <c r="Q592" s="442"/>
      <c r="R592" s="442"/>
      <c r="S592" s="442"/>
      <c r="T592" s="432">
        <f t="shared" si="89"/>
        <v>0</v>
      </c>
    </row>
    <row r="593" spans="1:20" ht="22.2" hidden="1" customHeight="1">
      <c r="A593" s="379"/>
      <c r="B593" s="438" t="s">
        <v>797</v>
      </c>
      <c r="C593" s="411" t="str">
        <f t="shared" si="90"/>
        <v xml:space="preserve"> </v>
      </c>
      <c r="D593" s="433"/>
      <c r="E593" s="422" t="str">
        <f>VLOOKUP($B593,[1]DG!A:C,2,)</f>
        <v>02.1351</v>
      </c>
      <c r="F593" s="434" t="str">
        <f>VLOOKUP($B593,[1]DG!A:C,3,)</f>
        <v>V/c tiếp địa vào vị trí ( cự ly &lt;=100m)</v>
      </c>
      <c r="G593" s="422" t="str">
        <f>VLOOKUP($B593,[1]DG!A:D,4,0)</f>
        <v>tấn</v>
      </c>
      <c r="H593" s="435"/>
      <c r="I593" s="435"/>
      <c r="J593" s="435"/>
      <c r="K593" s="435"/>
      <c r="L593" s="435"/>
      <c r="M593" s="435"/>
      <c r="N593" s="435"/>
      <c r="O593" s="435"/>
      <c r="P593" s="435"/>
      <c r="Q593" s="437"/>
      <c r="R593" s="437"/>
      <c r="S593" s="437"/>
      <c r="T593" s="432">
        <f t="shared" ref="T593:T668" si="98">IFERROR(HLOOKUP(B593,BangKeTru,3,0),0)</f>
        <v>0</v>
      </c>
    </row>
    <row r="594" spans="1:20" ht="22.2" hidden="1" customHeight="1">
      <c r="A594" s="423" t="s">
        <v>804</v>
      </c>
      <c r="B594" s="424" t="s">
        <v>804</v>
      </c>
      <c r="C594" s="425" t="str">
        <f t="shared" ref="C594:C669" si="99">IF(OR(P594&lt;&gt;0,H594&lt;&gt;0),"x"," ")</f>
        <v xml:space="preserve"> </v>
      </c>
      <c r="D594" s="426"/>
      <c r="E594" s="427"/>
      <c r="F594" s="428" t="s">
        <v>805</v>
      </c>
      <c r="G594" s="349" t="s">
        <v>67</v>
      </c>
      <c r="H594" s="429">
        <f>SUM(I594:O594)</f>
        <v>0</v>
      </c>
      <c r="I594" s="430"/>
      <c r="J594" s="430"/>
      <c r="K594" s="430">
        <f>IFERROR(HLOOKUP(B594,[1]pp3p1m!$1:$3,3,0),0)</f>
        <v>0</v>
      </c>
      <c r="L594" s="430">
        <f>IFERROR(HLOOKUP(chitiet!B594,[1]pp1p!$1:$3,3,0),0)</f>
        <v>0</v>
      </c>
      <c r="M594" s="430"/>
      <c r="N594" s="430"/>
      <c r="O594" s="430"/>
      <c r="P594" s="430"/>
      <c r="Q594" s="431"/>
      <c r="R594" s="431"/>
      <c r="S594" s="431"/>
      <c r="T594" s="432">
        <f>IFERROR(HLOOKUP(B594,[1]pp1p!$1:$3,3,0),0)+IFERROR(HLOOKUP(B594,[1]pp3p1m!$1:$3,3,0),0)</f>
        <v>0</v>
      </c>
    </row>
    <row r="595" spans="1:20" ht="22.2" hidden="1" customHeight="1">
      <c r="A595" s="379"/>
      <c r="B595" s="410" t="s">
        <v>127</v>
      </c>
      <c r="C595" s="411" t="str">
        <f t="shared" si="99"/>
        <v xml:space="preserve"> </v>
      </c>
      <c r="D595" s="439">
        <f>3*0.224</f>
        <v>0.67200000000000004</v>
      </c>
      <c r="E595" s="422"/>
      <c r="F595" s="441" t="str">
        <f>VLOOKUP($B595,[1]DG!A:D,[1]DG!$C$2,)&amp;" : 3m"</f>
        <v>Cáp đồng trần M25mm2 : 3m</v>
      </c>
      <c r="G595" s="422" t="str">
        <f>VLOOKUP($B595,[1]DG!A:D,[1]DG!$D$2,)</f>
        <v>kg</v>
      </c>
      <c r="H595" s="435">
        <f>H$574*$D595</f>
        <v>0</v>
      </c>
      <c r="I595" s="435"/>
      <c r="J595" s="435"/>
      <c r="K595" s="435"/>
      <c r="L595" s="435"/>
      <c r="M595" s="435">
        <f t="shared" ref="M595:O597" si="100">M$574*$D595</f>
        <v>0</v>
      </c>
      <c r="N595" s="435">
        <f t="shared" si="100"/>
        <v>0</v>
      </c>
      <c r="O595" s="435">
        <f t="shared" si="100"/>
        <v>0</v>
      </c>
      <c r="P595" s="435"/>
      <c r="Q595" s="442"/>
      <c r="R595" s="442"/>
      <c r="S595" s="442"/>
      <c r="T595" s="432">
        <f t="shared" si="98"/>
        <v>0</v>
      </c>
    </row>
    <row r="596" spans="1:20" ht="22.2" hidden="1" customHeight="1">
      <c r="A596" s="379"/>
      <c r="B596" s="410" t="s">
        <v>82</v>
      </c>
      <c r="C596" s="411" t="str">
        <f t="shared" si="99"/>
        <v xml:space="preserve"> </v>
      </c>
      <c r="D596" s="440">
        <v>1</v>
      </c>
      <c r="E596" s="422"/>
      <c r="F596" s="441" t="str">
        <f>VLOOKUP($B596,[1]DG!A:D,[1]DG!$C$2,)</f>
        <v>Cọc tiếp đất Þ 16- 2,4m + kẹp cọc mạ đồng</v>
      </c>
      <c r="G596" s="422" t="str">
        <f>VLOOKUP($B596,[1]DG!A:D,[1]DG!$D$2,)</f>
        <v>bộ</v>
      </c>
      <c r="H596" s="435">
        <f>H$574*$D596</f>
        <v>0</v>
      </c>
      <c r="I596" s="435"/>
      <c r="J596" s="435"/>
      <c r="K596" s="435"/>
      <c r="L596" s="435"/>
      <c r="M596" s="435">
        <f t="shared" si="100"/>
        <v>0</v>
      </c>
      <c r="N596" s="435">
        <f t="shared" si="100"/>
        <v>0</v>
      </c>
      <c r="O596" s="435">
        <f t="shared" si="100"/>
        <v>0</v>
      </c>
      <c r="P596" s="435"/>
      <c r="Q596" s="442"/>
      <c r="R596" s="442"/>
      <c r="S596" s="442"/>
      <c r="T596" s="432">
        <f t="shared" si="98"/>
        <v>0</v>
      </c>
    </row>
    <row r="597" spans="1:20" ht="22.2" hidden="1" customHeight="1">
      <c r="A597" s="379"/>
      <c r="B597" s="410" t="s">
        <v>806</v>
      </c>
      <c r="C597" s="411" t="str">
        <f t="shared" si="99"/>
        <v xml:space="preserve"> </v>
      </c>
      <c r="D597" s="440">
        <v>1</v>
      </c>
      <c r="E597" s="422"/>
      <c r="F597" s="441" t="str">
        <f>VLOOKUP($B597,[1]DG!A:D,[1]DG!$C$2,)</f>
        <v>Ghíp nối IPC 50-35</v>
      </c>
      <c r="G597" s="422" t="str">
        <f>VLOOKUP($B597,[1]DG!A:D,[1]DG!$D$2,)</f>
        <v>cái</v>
      </c>
      <c r="H597" s="435">
        <f>H$574*$D597</f>
        <v>0</v>
      </c>
      <c r="I597" s="435"/>
      <c r="J597" s="435"/>
      <c r="K597" s="435"/>
      <c r="L597" s="435"/>
      <c r="M597" s="435">
        <f t="shared" si="100"/>
        <v>0</v>
      </c>
      <c r="N597" s="435">
        <f t="shared" si="100"/>
        <v>0</v>
      </c>
      <c r="O597" s="435">
        <f t="shared" si="100"/>
        <v>0</v>
      </c>
      <c r="P597" s="435"/>
      <c r="Q597" s="442"/>
      <c r="R597" s="442"/>
      <c r="S597" s="442"/>
      <c r="T597" s="432">
        <f t="shared" si="98"/>
        <v>0</v>
      </c>
    </row>
    <row r="598" spans="1:20" ht="22.2" hidden="1" customHeight="1">
      <c r="A598" s="379"/>
      <c r="B598" s="410" t="s">
        <v>794</v>
      </c>
      <c r="C598" s="411" t="str">
        <f t="shared" si="99"/>
        <v xml:space="preserve"> </v>
      </c>
      <c r="D598" s="439">
        <f>D595</f>
        <v>0.67200000000000004</v>
      </c>
      <c r="E598" s="422" t="str">
        <f>VLOOKUP($B598,[1]DG!A:D,[1]DG!$B$2,)</f>
        <v>05.7001</v>
      </c>
      <c r="F598" s="434" t="str">
        <f>VLOOKUP($B598,[1]DG!A:D,[1]DG!$C$2,)</f>
        <v xml:space="preserve">Kéo dây tiếp địa </v>
      </c>
      <c r="G598" s="422" t="str">
        <f>VLOOKUP($B598,[1]DG!A:D,[1]DG!$D$2,)</f>
        <v>mét</v>
      </c>
      <c r="H598" s="435"/>
      <c r="I598" s="435"/>
      <c r="J598" s="435"/>
      <c r="K598" s="435"/>
      <c r="L598" s="435"/>
      <c r="M598" s="435"/>
      <c r="N598" s="435"/>
      <c r="O598" s="435"/>
      <c r="P598" s="435"/>
      <c r="Q598" s="437"/>
      <c r="R598" s="437"/>
      <c r="S598" s="437"/>
      <c r="T598" s="432">
        <f t="shared" si="98"/>
        <v>0</v>
      </c>
    </row>
    <row r="599" spans="1:20" ht="22.2" hidden="1" customHeight="1">
      <c r="A599" s="379"/>
      <c r="B599" s="410" t="s">
        <v>795</v>
      </c>
      <c r="C599" s="411" t="str">
        <f t="shared" si="99"/>
        <v xml:space="preserve"> </v>
      </c>
      <c r="D599" s="440">
        <v>1</v>
      </c>
      <c r="E599" s="422" t="str">
        <f>VLOOKUP($B599,[1]DG!A:D,[1]DG!$B$2,)</f>
        <v>05.8103</v>
      </c>
      <c r="F599" s="434" t="str">
        <f>VLOOKUP($B599,[1]DG!A:D,[1]DG!$C$2,)</f>
        <v>Đóng cọc tiếp địa đất cấp 3</v>
      </c>
      <c r="G599" s="422" t="str">
        <f>VLOOKUP($B599,[1]DG!A:D,[1]DG!$D$2,)</f>
        <v>cọc</v>
      </c>
      <c r="H599" s="435"/>
      <c r="I599" s="435"/>
      <c r="J599" s="435"/>
      <c r="K599" s="435"/>
      <c r="L599" s="435"/>
      <c r="M599" s="435"/>
      <c r="N599" s="435"/>
      <c r="O599" s="435"/>
      <c r="P599" s="435"/>
      <c r="Q599" s="442"/>
      <c r="R599" s="442"/>
      <c r="S599" s="442"/>
      <c r="T599" s="432">
        <f t="shared" si="98"/>
        <v>0</v>
      </c>
    </row>
    <row r="600" spans="1:20" ht="22.2" hidden="1" customHeight="1">
      <c r="A600" s="379"/>
      <c r="B600" s="410" t="s">
        <v>796</v>
      </c>
      <c r="C600" s="411" t="str">
        <f t="shared" si="99"/>
        <v xml:space="preserve"> </v>
      </c>
      <c r="D600" s="433"/>
      <c r="E600" s="422" t="str">
        <f>VLOOKUP($B600,[1]DG!A:D,[1]DG!$B$2,)</f>
        <v>02.1120</v>
      </c>
      <c r="F600" s="434" t="str">
        <f>VLOOKUP($B600,[1]DG!A:D,[1]DG!$C$2,)</f>
        <v>Bốc dỡ phụ kiện</v>
      </c>
      <c r="G600" s="422" t="str">
        <f>VLOOKUP($B600,[1]DG!A:D,[1]DG!$D$2,)</f>
        <v>tấn</v>
      </c>
      <c r="H600" s="435"/>
      <c r="I600" s="435"/>
      <c r="J600" s="435"/>
      <c r="K600" s="435"/>
      <c r="L600" s="435"/>
      <c r="M600" s="435"/>
      <c r="N600" s="435"/>
      <c r="O600" s="435"/>
      <c r="P600" s="435"/>
      <c r="Q600" s="442"/>
      <c r="R600" s="442"/>
      <c r="S600" s="442"/>
      <c r="T600" s="432">
        <f t="shared" si="98"/>
        <v>0</v>
      </c>
    </row>
    <row r="601" spans="1:20" ht="22.2" hidden="1" customHeight="1">
      <c r="A601" s="379"/>
      <c r="B601" s="438" t="s">
        <v>797</v>
      </c>
      <c r="C601" s="411" t="str">
        <f t="shared" si="99"/>
        <v xml:space="preserve"> </v>
      </c>
      <c r="D601" s="433"/>
      <c r="E601" s="422" t="str">
        <f>VLOOKUP($B601,[1]DG!A:C,2,)</f>
        <v>02.1351</v>
      </c>
      <c r="F601" s="434" t="str">
        <f>VLOOKUP($B601,[1]DG!A:C,3,)</f>
        <v>V/c tiếp địa vào vị trí ( cự ly &lt;=100m)</v>
      </c>
      <c r="G601" s="422" t="str">
        <f>VLOOKUP($B601,[1]DG!A:D,4,0)</f>
        <v>tấn</v>
      </c>
      <c r="H601" s="435"/>
      <c r="I601" s="435"/>
      <c r="J601" s="435"/>
      <c r="K601" s="435"/>
      <c r="L601" s="435"/>
      <c r="M601" s="435"/>
      <c r="N601" s="435"/>
      <c r="O601" s="435"/>
      <c r="P601" s="435"/>
      <c r="Q601" s="437"/>
      <c r="R601" s="437"/>
      <c r="S601" s="437"/>
      <c r="T601" s="432">
        <f t="shared" si="98"/>
        <v>0</v>
      </c>
    </row>
    <row r="602" spans="1:20" ht="22.2" hidden="1" customHeight="1" collapsed="1">
      <c r="A602" s="423" t="s">
        <v>807</v>
      </c>
      <c r="B602" s="424" t="s">
        <v>807</v>
      </c>
      <c r="C602" s="425" t="str">
        <f t="shared" si="99"/>
        <v xml:space="preserve"> </v>
      </c>
      <c r="D602" s="426"/>
      <c r="E602" s="427"/>
      <c r="F602" s="428" t="s">
        <v>808</v>
      </c>
      <c r="G602" s="349" t="s">
        <v>67</v>
      </c>
      <c r="H602" s="429">
        <f>SUM(I602:O602)</f>
        <v>0</v>
      </c>
      <c r="I602" s="430"/>
      <c r="J602" s="430"/>
      <c r="K602" s="430">
        <f>IFERROR(HLOOKUP(B602,[1]pp3p1m!$1:$3,3,0),0)</f>
        <v>0</v>
      </c>
      <c r="L602" s="430">
        <f>IFERROR(HLOOKUP(chitiet!B602,[1]pp1p!$1:$3,3,0),0)</f>
        <v>0</v>
      </c>
      <c r="M602" s="430"/>
      <c r="N602" s="430"/>
      <c r="O602" s="430"/>
      <c r="P602" s="430"/>
      <c r="Q602" s="431"/>
      <c r="R602" s="431"/>
      <c r="S602" s="431"/>
      <c r="T602" s="432">
        <f>IFERROR(HLOOKUP(B602,[1]pp1p!$1:$3,3,0),0)+IFERROR(HLOOKUP(B602,[1]pp3p1m!$1:$3,3,0),0)</f>
        <v>0</v>
      </c>
    </row>
    <row r="603" spans="1:20" ht="22.2" hidden="1" customHeight="1">
      <c r="A603" s="379"/>
      <c r="B603" s="410" t="s">
        <v>127</v>
      </c>
      <c r="C603" s="411" t="str">
        <f t="shared" si="99"/>
        <v xml:space="preserve"> </v>
      </c>
      <c r="D603" s="439">
        <f>10*0.224</f>
        <v>2.2400000000000002</v>
      </c>
      <c r="E603" s="422"/>
      <c r="F603" s="441" t="str">
        <f>VLOOKUP($B603,[1]DG!A:D,[1]DG!C$2,)&amp;" : 10m"</f>
        <v>Cáp đồng trần M25mm2 : 10m</v>
      </c>
      <c r="G603" s="422" t="str">
        <f>VLOOKUP($B603,[1]DG!A:D,[1]DG!$D$2,)</f>
        <v>kg</v>
      </c>
      <c r="H603" s="435">
        <f t="shared" ref="H603:O611" si="101">H$602*$D603</f>
        <v>0</v>
      </c>
      <c r="I603" s="435">
        <f t="shared" si="101"/>
        <v>0</v>
      </c>
      <c r="J603" s="435">
        <f t="shared" si="101"/>
        <v>0</v>
      </c>
      <c r="K603" s="435">
        <f t="shared" si="101"/>
        <v>0</v>
      </c>
      <c r="L603" s="435">
        <f t="shared" si="101"/>
        <v>0</v>
      </c>
      <c r="M603" s="435">
        <f t="shared" si="101"/>
        <v>0</v>
      </c>
      <c r="N603" s="435">
        <f t="shared" si="101"/>
        <v>0</v>
      </c>
      <c r="O603" s="435">
        <f t="shared" si="101"/>
        <v>0</v>
      </c>
      <c r="P603" s="435"/>
      <c r="Q603" s="442"/>
      <c r="R603" s="442"/>
      <c r="S603" s="442"/>
      <c r="T603" s="432">
        <f t="shared" si="98"/>
        <v>0</v>
      </c>
    </row>
    <row r="604" spans="1:20" ht="22.2" hidden="1" customHeight="1">
      <c r="A604" s="379"/>
      <c r="B604" s="410" t="s">
        <v>82</v>
      </c>
      <c r="C604" s="411" t="str">
        <f t="shared" si="99"/>
        <v xml:space="preserve"> </v>
      </c>
      <c r="D604" s="440">
        <v>1</v>
      </c>
      <c r="E604" s="422"/>
      <c r="F604" s="441" t="str">
        <f>VLOOKUP($B604,[1]DG!A:D,[1]DG!C$2,)</f>
        <v>Cọc tiếp đất Þ 16- 2,4m + kẹp cọc mạ đồng</v>
      </c>
      <c r="G604" s="422" t="str">
        <f>VLOOKUP($B604,[1]DG!A:D,[1]DG!$D$2,)</f>
        <v>bộ</v>
      </c>
      <c r="H604" s="435">
        <f t="shared" si="101"/>
        <v>0</v>
      </c>
      <c r="I604" s="435">
        <f t="shared" si="101"/>
        <v>0</v>
      </c>
      <c r="J604" s="435">
        <f t="shared" si="101"/>
        <v>0</v>
      </c>
      <c r="K604" s="435">
        <f t="shared" si="101"/>
        <v>0</v>
      </c>
      <c r="L604" s="435">
        <f t="shared" si="101"/>
        <v>0</v>
      </c>
      <c r="M604" s="435">
        <f t="shared" si="101"/>
        <v>0</v>
      </c>
      <c r="N604" s="435">
        <f t="shared" si="101"/>
        <v>0</v>
      </c>
      <c r="O604" s="435">
        <f t="shared" si="101"/>
        <v>0</v>
      </c>
      <c r="P604" s="435"/>
      <c r="Q604" s="442"/>
      <c r="R604" s="442"/>
      <c r="S604" s="442"/>
      <c r="T604" s="432">
        <f t="shared" si="98"/>
        <v>0</v>
      </c>
    </row>
    <row r="605" spans="1:20" ht="22.2" hidden="1" customHeight="1">
      <c r="A605" s="379"/>
      <c r="B605" s="410" t="s">
        <v>809</v>
      </c>
      <c r="C605" s="411" t="str">
        <f t="shared" si="99"/>
        <v xml:space="preserve"> </v>
      </c>
      <c r="D605" s="440">
        <v>2</v>
      </c>
      <c r="E605" s="422"/>
      <c r="F605" s="441" t="str">
        <f>VLOOKUP($B605,[1]DG!A:D,[1]DG!C$2,)</f>
        <v>Kẹp nối đồng-nhôm</v>
      </c>
      <c r="G605" s="422" t="str">
        <f>VLOOKUP($B605,[1]DG!A:D,[1]DG!$D$2,)</f>
        <v>cái</v>
      </c>
      <c r="H605" s="435">
        <f t="shared" si="101"/>
        <v>0</v>
      </c>
      <c r="I605" s="435">
        <f t="shared" si="101"/>
        <v>0</v>
      </c>
      <c r="J605" s="435">
        <f t="shared" si="101"/>
        <v>0</v>
      </c>
      <c r="K605" s="435">
        <f t="shared" si="101"/>
        <v>0</v>
      </c>
      <c r="L605" s="435">
        <f t="shared" si="101"/>
        <v>0</v>
      </c>
      <c r="M605" s="435">
        <f t="shared" si="101"/>
        <v>0</v>
      </c>
      <c r="N605" s="435">
        <f t="shared" si="101"/>
        <v>0</v>
      </c>
      <c r="O605" s="435">
        <f t="shared" si="101"/>
        <v>0</v>
      </c>
      <c r="P605" s="435"/>
      <c r="Q605" s="442"/>
      <c r="R605" s="442"/>
      <c r="S605" s="442"/>
      <c r="T605" s="432">
        <f t="shared" si="98"/>
        <v>0</v>
      </c>
    </row>
    <row r="606" spans="1:20" ht="22.2" hidden="1" customHeight="1">
      <c r="A606" s="379"/>
      <c r="B606" s="410" t="s">
        <v>801</v>
      </c>
      <c r="C606" s="411" t="str">
        <f t="shared" si="99"/>
        <v xml:space="preserve"> </v>
      </c>
      <c r="D606" s="440">
        <v>2</v>
      </c>
      <c r="E606" s="422"/>
      <c r="F606" s="441" t="str">
        <f>VLOOKUP($B606,[1]DG!A:D,[1]DG!C$2,)</f>
        <v>Đầu cosse ép Cu 25mm2</v>
      </c>
      <c r="G606" s="422" t="str">
        <f>VLOOKUP($B606,[1]DG!A:D,[1]DG!$D$2,)</f>
        <v>cái</v>
      </c>
      <c r="H606" s="435">
        <f t="shared" si="101"/>
        <v>0</v>
      </c>
      <c r="I606" s="435">
        <f t="shared" ref="I606:N607" si="102">I$612*$D606</f>
        <v>0</v>
      </c>
      <c r="J606" s="435">
        <f t="shared" si="102"/>
        <v>0</v>
      </c>
      <c r="K606" s="435">
        <f t="shared" si="102"/>
        <v>0</v>
      </c>
      <c r="L606" s="435">
        <f t="shared" si="102"/>
        <v>0</v>
      </c>
      <c r="M606" s="435">
        <f t="shared" si="102"/>
        <v>0</v>
      </c>
      <c r="N606" s="435">
        <f t="shared" si="102"/>
        <v>0</v>
      </c>
      <c r="O606" s="435"/>
      <c r="P606" s="435"/>
      <c r="Q606" s="442"/>
      <c r="R606" s="442"/>
      <c r="S606" s="442"/>
      <c r="T606" s="432">
        <f t="shared" si="98"/>
        <v>0</v>
      </c>
    </row>
    <row r="607" spans="1:20" ht="22.2" hidden="1" customHeight="1">
      <c r="A607" s="379"/>
      <c r="B607" s="410" t="s">
        <v>88</v>
      </c>
      <c r="C607" s="411" t="str">
        <f t="shared" si="99"/>
        <v xml:space="preserve"> </v>
      </c>
      <c r="D607" s="440">
        <v>1</v>
      </c>
      <c r="E607" s="422"/>
      <c r="F607" s="441" t="str">
        <f>VLOOKUP($B607,[1]DG!A:D,[1]DG!C$2,)</f>
        <v>Boulon 12x40+ 2 long đền vuông D14-50x50x3/Zn</v>
      </c>
      <c r="G607" s="422" t="str">
        <f>VLOOKUP($B607,[1]DG!A:D,[1]DG!$D$2,)</f>
        <v>bộ</v>
      </c>
      <c r="H607" s="435">
        <f t="shared" si="101"/>
        <v>0</v>
      </c>
      <c r="I607" s="435">
        <f t="shared" si="102"/>
        <v>0</v>
      </c>
      <c r="J607" s="435">
        <f t="shared" si="102"/>
        <v>0</v>
      </c>
      <c r="K607" s="435">
        <f t="shared" si="102"/>
        <v>0</v>
      </c>
      <c r="L607" s="435">
        <f t="shared" si="102"/>
        <v>0</v>
      </c>
      <c r="M607" s="435">
        <f t="shared" si="102"/>
        <v>0</v>
      </c>
      <c r="N607" s="435">
        <f t="shared" si="102"/>
        <v>0</v>
      </c>
      <c r="O607" s="435"/>
      <c r="P607" s="435"/>
      <c r="Q607" s="442"/>
      <c r="R607" s="442"/>
      <c r="S607" s="442"/>
      <c r="T607" s="432">
        <f t="shared" si="98"/>
        <v>0</v>
      </c>
    </row>
    <row r="608" spans="1:20" ht="22.2" hidden="1" customHeight="1">
      <c r="A608" s="379"/>
      <c r="B608" s="410" t="s">
        <v>794</v>
      </c>
      <c r="C608" s="411" t="str">
        <f t="shared" si="99"/>
        <v xml:space="preserve"> </v>
      </c>
      <c r="D608" s="439">
        <f>D603</f>
        <v>2.2400000000000002</v>
      </c>
      <c r="E608" s="422" t="str">
        <f>VLOOKUP($B608,[1]DG!A:D,[1]DG!$B$2,)</f>
        <v>05.7001</v>
      </c>
      <c r="F608" s="434" t="str">
        <f>VLOOKUP($B608,[1]DG!A:D,[1]DG!C$2,)</f>
        <v xml:space="preserve">Kéo dây tiếp địa </v>
      </c>
      <c r="G608" s="422" t="str">
        <f>VLOOKUP($B608,[1]DG!A:D,[1]DG!$D$2,)</f>
        <v>mét</v>
      </c>
      <c r="H608" s="435">
        <f t="shared" si="101"/>
        <v>0</v>
      </c>
      <c r="I608" s="435"/>
      <c r="J608" s="435"/>
      <c r="K608" s="435"/>
      <c r="L608" s="435"/>
      <c r="M608" s="435"/>
      <c r="N608" s="435"/>
      <c r="O608" s="435"/>
      <c r="P608" s="435"/>
      <c r="Q608" s="437"/>
      <c r="R608" s="437"/>
      <c r="S608" s="437"/>
      <c r="T608" s="432">
        <f t="shared" si="98"/>
        <v>0</v>
      </c>
    </row>
    <row r="609" spans="1:20" ht="22.2" hidden="1" customHeight="1">
      <c r="A609" s="379"/>
      <c r="B609" s="410" t="s">
        <v>795</v>
      </c>
      <c r="C609" s="411" t="str">
        <f t="shared" si="99"/>
        <v xml:space="preserve"> </v>
      </c>
      <c r="D609" s="440">
        <f>+D604</f>
        <v>1</v>
      </c>
      <c r="E609" s="422" t="str">
        <f>VLOOKUP($B609,[1]DG!A:D,[1]DG!$B$2,)</f>
        <v>05.8103</v>
      </c>
      <c r="F609" s="434" t="str">
        <f>VLOOKUP($B609,[1]DG!A:D,[1]DG!C$2,)</f>
        <v>Đóng cọc tiếp địa đất cấp 3</v>
      </c>
      <c r="G609" s="422" t="str">
        <f>VLOOKUP($B609,[1]DG!A:D,[1]DG!$D$2,)</f>
        <v>cọc</v>
      </c>
      <c r="H609" s="435">
        <f t="shared" si="101"/>
        <v>0</v>
      </c>
      <c r="I609" s="435"/>
      <c r="J609" s="435"/>
      <c r="K609" s="435"/>
      <c r="L609" s="435"/>
      <c r="M609" s="435"/>
      <c r="N609" s="435"/>
      <c r="O609" s="435"/>
      <c r="P609" s="435"/>
      <c r="Q609" s="442"/>
      <c r="R609" s="442"/>
      <c r="S609" s="442"/>
      <c r="T609" s="432">
        <f t="shared" si="98"/>
        <v>0</v>
      </c>
    </row>
    <row r="610" spans="1:20" ht="22.2" hidden="1" customHeight="1">
      <c r="A610" s="379"/>
      <c r="B610" s="410" t="s">
        <v>796</v>
      </c>
      <c r="C610" s="411" t="str">
        <f t="shared" si="99"/>
        <v xml:space="preserve"> </v>
      </c>
      <c r="D610" s="433"/>
      <c r="E610" s="422" t="str">
        <f>VLOOKUP($B610,[1]DG!A:D,[1]DG!$B$2,)</f>
        <v>02.1120</v>
      </c>
      <c r="F610" s="434" t="str">
        <f>VLOOKUP($B610,[1]DG!A:D,[1]DG!C$2,)</f>
        <v>Bốc dỡ phụ kiện</v>
      </c>
      <c r="G610" s="422" t="str">
        <f>VLOOKUP($B610,[1]DG!A:D,[1]DG!$D$2,)</f>
        <v>tấn</v>
      </c>
      <c r="H610" s="435">
        <f t="shared" si="101"/>
        <v>0</v>
      </c>
      <c r="I610" s="435"/>
      <c r="J610" s="435"/>
      <c r="K610" s="435"/>
      <c r="L610" s="435"/>
      <c r="M610" s="435"/>
      <c r="N610" s="435"/>
      <c r="O610" s="435"/>
      <c r="P610" s="435"/>
      <c r="Q610" s="442"/>
      <c r="R610" s="442"/>
      <c r="S610" s="442"/>
      <c r="T610" s="432">
        <f t="shared" si="98"/>
        <v>0</v>
      </c>
    </row>
    <row r="611" spans="1:20" ht="22.2" hidden="1" customHeight="1">
      <c r="A611" s="379"/>
      <c r="B611" s="438" t="s">
        <v>797</v>
      </c>
      <c r="C611" s="411" t="str">
        <f t="shared" si="99"/>
        <v xml:space="preserve"> </v>
      </c>
      <c r="D611" s="433"/>
      <c r="E611" s="422" t="str">
        <f>VLOOKUP($B611,[1]DG!A:C,2,)</f>
        <v>02.1351</v>
      </c>
      <c r="F611" s="434" t="str">
        <f>VLOOKUP($B611,[1]DG!A:C,3,)</f>
        <v>V/c tiếp địa vào vị trí ( cự ly &lt;=100m)</v>
      </c>
      <c r="G611" s="422" t="str">
        <f>VLOOKUP($B611,[1]DG!A:D,4,0)</f>
        <v>tấn</v>
      </c>
      <c r="H611" s="435">
        <f t="shared" si="101"/>
        <v>0</v>
      </c>
      <c r="I611" s="435"/>
      <c r="J611" s="435"/>
      <c r="K611" s="435"/>
      <c r="L611" s="435"/>
      <c r="M611" s="435"/>
      <c r="N611" s="435"/>
      <c r="O611" s="435"/>
      <c r="P611" s="435"/>
      <c r="Q611" s="437"/>
      <c r="R611" s="437"/>
      <c r="S611" s="437"/>
      <c r="T611" s="432">
        <f t="shared" si="98"/>
        <v>0</v>
      </c>
    </row>
    <row r="612" spans="1:20" ht="22.2" hidden="1" customHeight="1">
      <c r="A612" s="423" t="s">
        <v>810</v>
      </c>
      <c r="B612" s="424" t="s">
        <v>810</v>
      </c>
      <c r="C612" s="458" t="str">
        <f t="shared" si="99"/>
        <v xml:space="preserve"> </v>
      </c>
      <c r="D612" s="459"/>
      <c r="E612" s="427"/>
      <c r="F612" s="428" t="s">
        <v>811</v>
      </c>
      <c r="G612" s="349" t="s">
        <v>67</v>
      </c>
      <c r="H612" s="429">
        <f>SUM(I612:O612)</f>
        <v>0</v>
      </c>
      <c r="I612" s="430"/>
      <c r="J612" s="430"/>
      <c r="K612" s="430">
        <f>IFERROR(HLOOKUP(B612,[1]pp3p1m!$1:$3,3,0),0)</f>
        <v>0</v>
      </c>
      <c r="L612" s="430">
        <f>IFERROR(HLOOKUP(chitiet!B612,[1]pp1p!$1:$3,3,0),0)</f>
        <v>0</v>
      </c>
      <c r="M612" s="430"/>
      <c r="N612" s="430"/>
      <c r="O612" s="430"/>
      <c r="P612" s="430">
        <f>H612+Q612-R612</f>
        <v>0</v>
      </c>
      <c r="Q612" s="431"/>
      <c r="R612" s="431"/>
      <c r="S612" s="431"/>
      <c r="T612" s="432">
        <f>IFERROR(HLOOKUP(B612,[1]pp1p!$1:$3,3,0),0)+IFERROR(HLOOKUP(B612,[1]pp3p1m!$1:$3,3,0),0)</f>
        <v>0</v>
      </c>
    </row>
    <row r="613" spans="1:20" ht="22.2" hidden="1" customHeight="1">
      <c r="A613" s="379"/>
      <c r="B613" s="406" t="s">
        <v>127</v>
      </c>
      <c r="C613" s="400" t="str">
        <f t="shared" si="99"/>
        <v xml:space="preserve"> </v>
      </c>
      <c r="D613" s="439">
        <f>0.224*E613</f>
        <v>2.6880000000000002</v>
      </c>
      <c r="E613" s="460">
        <v>12</v>
      </c>
      <c r="F613" s="441" t="str">
        <f>VLOOKUP($B613,[1]DG!A:D,[1]DG!C$2,)</f>
        <v>Cáp đồng trần M25mm2</v>
      </c>
      <c r="G613" s="422" t="str">
        <f>VLOOKUP($B613,[1]DG!A:D,[1]DG!$D$2,)</f>
        <v>kg</v>
      </c>
      <c r="H613" s="461">
        <f t="shared" ref="H613:N617" si="103">H$612*$D613</f>
        <v>0</v>
      </c>
      <c r="I613" s="435">
        <f t="shared" si="103"/>
        <v>0</v>
      </c>
      <c r="J613" s="435">
        <f t="shared" si="103"/>
        <v>0</v>
      </c>
      <c r="K613" s="435">
        <f t="shared" si="103"/>
        <v>0</v>
      </c>
      <c r="L613" s="435">
        <f t="shared" si="103"/>
        <v>0</v>
      </c>
      <c r="M613" s="435">
        <f t="shared" si="103"/>
        <v>0</v>
      </c>
      <c r="N613" s="435">
        <f t="shared" si="103"/>
        <v>0</v>
      </c>
      <c r="O613" s="435"/>
      <c r="P613" s="461">
        <f>D613*$P$612</f>
        <v>0</v>
      </c>
      <c r="Q613" s="442"/>
      <c r="R613" s="442"/>
      <c r="S613" s="442"/>
      <c r="T613" s="432">
        <f t="shared" si="98"/>
        <v>0</v>
      </c>
    </row>
    <row r="614" spans="1:20" ht="22.2" hidden="1" customHeight="1">
      <c r="A614" s="379"/>
      <c r="B614" s="406" t="s">
        <v>82</v>
      </c>
      <c r="C614" s="400" t="str">
        <f t="shared" si="99"/>
        <v xml:space="preserve"> </v>
      </c>
      <c r="D614" s="440">
        <v>1</v>
      </c>
      <c r="E614" s="422"/>
      <c r="F614" s="441" t="str">
        <f>VLOOKUP($B614,[1]DG!A:D,[1]DG!C$2,)</f>
        <v>Cọc tiếp đất Þ 16- 2,4m + kẹp cọc mạ đồng</v>
      </c>
      <c r="G614" s="422" t="str">
        <f>VLOOKUP($B614,[1]DG!A:D,[1]DG!$D$2,)</f>
        <v>bộ</v>
      </c>
      <c r="H614" s="435">
        <f t="shared" si="103"/>
        <v>0</v>
      </c>
      <c r="I614" s="435">
        <f t="shared" si="103"/>
        <v>0</v>
      </c>
      <c r="J614" s="435">
        <f t="shared" si="103"/>
        <v>0</v>
      </c>
      <c r="K614" s="435">
        <f t="shared" si="103"/>
        <v>0</v>
      </c>
      <c r="L614" s="435">
        <f t="shared" si="103"/>
        <v>0</v>
      </c>
      <c r="M614" s="435">
        <f t="shared" si="103"/>
        <v>0</v>
      </c>
      <c r="N614" s="435">
        <f t="shared" si="103"/>
        <v>0</v>
      </c>
      <c r="O614" s="435"/>
      <c r="P614" s="435">
        <f>D614*$P$612</f>
        <v>0</v>
      </c>
      <c r="Q614" s="442"/>
      <c r="R614" s="442"/>
      <c r="S614" s="442"/>
      <c r="T614" s="432">
        <f t="shared" si="98"/>
        <v>0</v>
      </c>
    </row>
    <row r="615" spans="1:20" ht="22.2" hidden="1" customHeight="1">
      <c r="A615" s="379"/>
      <c r="B615" s="410" t="s">
        <v>184</v>
      </c>
      <c r="C615" s="411" t="str">
        <f t="shared" si="99"/>
        <v xml:space="preserve"> </v>
      </c>
      <c r="D615" s="440">
        <f>2</f>
        <v>2</v>
      </c>
      <c r="E615" s="422"/>
      <c r="F615" s="441" t="str">
        <f>VLOOKUP($B615,[1]DG!A:D,[1]DG!C$2,)</f>
        <v>Kẹp ép WR cỡ dây 50mm2</v>
      </c>
      <c r="G615" s="422" t="str">
        <f>VLOOKUP($B615,[1]DG!A:D,[1]DG!$D$2,)</f>
        <v>cái</v>
      </c>
      <c r="H615" s="435">
        <f t="shared" si="103"/>
        <v>0</v>
      </c>
      <c r="I615" s="435">
        <f t="shared" si="103"/>
        <v>0</v>
      </c>
      <c r="J615" s="435">
        <f t="shared" si="103"/>
        <v>0</v>
      </c>
      <c r="K615" s="435">
        <f t="shared" si="103"/>
        <v>0</v>
      </c>
      <c r="L615" s="435">
        <f t="shared" si="103"/>
        <v>0</v>
      </c>
      <c r="M615" s="435">
        <f t="shared" si="103"/>
        <v>0</v>
      </c>
      <c r="N615" s="435">
        <f t="shared" si="103"/>
        <v>0</v>
      </c>
      <c r="O615" s="435"/>
      <c r="P615" s="435">
        <f>D615*$P$612</f>
        <v>0</v>
      </c>
      <c r="Q615" s="442"/>
      <c r="R615" s="442"/>
      <c r="S615" s="442"/>
      <c r="T615" s="432">
        <f t="shared" si="98"/>
        <v>0</v>
      </c>
    </row>
    <row r="616" spans="1:20" ht="22.2" hidden="1" customHeight="1">
      <c r="A616" s="379"/>
      <c r="B616" s="410" t="s">
        <v>83</v>
      </c>
      <c r="C616" s="411" t="str">
        <f t="shared" si="99"/>
        <v xml:space="preserve"> </v>
      </c>
      <c r="D616" s="440">
        <f>6-6</f>
        <v>0</v>
      </c>
      <c r="E616" s="422"/>
      <c r="F616" s="441" t="str">
        <f>VLOOKUP($B616,[1]DG!A:D,[1]DG!C$2,)</f>
        <v xml:space="preserve">Ống PVC D21x1,6mm </v>
      </c>
      <c r="G616" s="422" t="str">
        <f>VLOOKUP($B616,[1]DG!A:D,[1]DG!$D$2,)</f>
        <v>m</v>
      </c>
      <c r="H616" s="435">
        <f t="shared" si="103"/>
        <v>0</v>
      </c>
      <c r="I616" s="435">
        <f t="shared" si="103"/>
        <v>0</v>
      </c>
      <c r="J616" s="435">
        <f t="shared" si="103"/>
        <v>0</v>
      </c>
      <c r="K616" s="435">
        <f t="shared" si="103"/>
        <v>0</v>
      </c>
      <c r="L616" s="435">
        <f t="shared" si="103"/>
        <v>0</v>
      </c>
      <c r="M616" s="435">
        <f t="shared" si="103"/>
        <v>0</v>
      </c>
      <c r="N616" s="435">
        <f t="shared" si="103"/>
        <v>0</v>
      </c>
      <c r="O616" s="435"/>
      <c r="P616" s="435"/>
      <c r="Q616" s="442"/>
      <c r="R616" s="442"/>
      <c r="S616" s="442"/>
      <c r="T616" s="432">
        <f t="shared" si="98"/>
        <v>0</v>
      </c>
    </row>
    <row r="617" spans="1:20" ht="22.2" hidden="1" customHeight="1">
      <c r="A617" s="379"/>
      <c r="B617" s="410" t="s">
        <v>88</v>
      </c>
      <c r="C617" s="411" t="str">
        <f>IF(OR(P617&lt;&gt;0,H617&lt;&gt;0),"x"," ")</f>
        <v xml:space="preserve"> </v>
      </c>
      <c r="D617" s="440"/>
      <c r="E617" s="422"/>
      <c r="F617" s="441" t="str">
        <f>VLOOKUP($B617,[1]DG!A:D,[1]DG!C$2,)</f>
        <v>Boulon 12x40+ 2 long đền vuông D14-50x50x3/Zn</v>
      </c>
      <c r="G617" s="422" t="str">
        <f>VLOOKUP($B617,[1]DG!A:D,[1]DG!$D$2,)</f>
        <v>bộ</v>
      </c>
      <c r="H617" s="435">
        <f t="shared" si="103"/>
        <v>0</v>
      </c>
      <c r="I617" s="435">
        <f t="shared" si="103"/>
        <v>0</v>
      </c>
      <c r="J617" s="435">
        <f t="shared" si="103"/>
        <v>0</v>
      </c>
      <c r="K617" s="435">
        <f t="shared" si="103"/>
        <v>0</v>
      </c>
      <c r="L617" s="435">
        <f t="shared" si="103"/>
        <v>0</v>
      </c>
      <c r="M617" s="435">
        <f t="shared" si="103"/>
        <v>0</v>
      </c>
      <c r="N617" s="435">
        <f t="shared" si="103"/>
        <v>0</v>
      </c>
      <c r="O617" s="435"/>
      <c r="P617" s="435">
        <f>D617*$P$612</f>
        <v>0</v>
      </c>
      <c r="Q617" s="442"/>
      <c r="R617" s="442"/>
      <c r="S617" s="442"/>
      <c r="T617" s="432">
        <f t="shared" si="98"/>
        <v>0</v>
      </c>
    </row>
    <row r="618" spans="1:20" ht="22.2" hidden="1" customHeight="1">
      <c r="A618" s="379"/>
      <c r="B618" s="406" t="s">
        <v>794</v>
      </c>
      <c r="C618" s="400" t="str">
        <f t="shared" si="99"/>
        <v xml:space="preserve"> </v>
      </c>
      <c r="D618" s="439">
        <f>D613</f>
        <v>2.6880000000000002</v>
      </c>
      <c r="E618" s="422" t="str">
        <f>VLOOKUP($B618,[1]DG!A:D,[1]DG!$B$2,)</f>
        <v>05.7001</v>
      </c>
      <c r="F618" s="434" t="str">
        <f>VLOOKUP($B618,[1]DG!A:D,[1]DG!C$2,)</f>
        <v xml:space="preserve">Kéo dây tiếp địa </v>
      </c>
      <c r="G618" s="462" t="str">
        <f>G613</f>
        <v>kg</v>
      </c>
      <c r="H618" s="463">
        <f>H$612*$D618</f>
        <v>0</v>
      </c>
      <c r="I618" s="435"/>
      <c r="J618" s="435"/>
      <c r="K618" s="435"/>
      <c r="L618" s="435"/>
      <c r="M618" s="435"/>
      <c r="N618" s="435"/>
      <c r="O618" s="435"/>
      <c r="P618" s="435">
        <f>D618*$P$612</f>
        <v>0</v>
      </c>
      <c r="Q618" s="437"/>
      <c r="R618" s="437"/>
      <c r="S618" s="437"/>
      <c r="T618" s="432">
        <f t="shared" si="98"/>
        <v>0</v>
      </c>
    </row>
    <row r="619" spans="1:20" ht="22.2" hidden="1" customHeight="1">
      <c r="A619" s="379"/>
      <c r="B619" s="406" t="s">
        <v>795</v>
      </c>
      <c r="C619" s="400" t="str">
        <f t="shared" si="99"/>
        <v xml:space="preserve"> </v>
      </c>
      <c r="D619" s="440">
        <f>D614</f>
        <v>1</v>
      </c>
      <c r="E619" s="422" t="str">
        <f>VLOOKUP($B619,[1]DG!A:D,[1]DG!$B$2,)</f>
        <v>05.8103</v>
      </c>
      <c r="F619" s="434" t="str">
        <f>VLOOKUP($B619,[1]DG!A:D,[1]DG!C$2,)</f>
        <v>Đóng cọc tiếp địa đất cấp 3</v>
      </c>
      <c r="G619" s="422" t="str">
        <f>VLOOKUP($B619,[1]DG!A:D,[1]DG!$D$2,)</f>
        <v>cọc</v>
      </c>
      <c r="H619" s="435">
        <f>H$612*$D619</f>
        <v>0</v>
      </c>
      <c r="I619" s="435"/>
      <c r="J619" s="435"/>
      <c r="K619" s="435"/>
      <c r="L619" s="435"/>
      <c r="M619" s="435"/>
      <c r="N619" s="435"/>
      <c r="O619" s="435"/>
      <c r="P619" s="435">
        <f>D619*$P$612</f>
        <v>0</v>
      </c>
      <c r="Q619" s="442"/>
      <c r="R619" s="442"/>
      <c r="S619" s="442"/>
      <c r="T619" s="432">
        <f t="shared" si="98"/>
        <v>0</v>
      </c>
    </row>
    <row r="620" spans="1:20" ht="22.2" hidden="1" customHeight="1">
      <c r="A620" s="379"/>
      <c r="B620" s="410" t="s">
        <v>796</v>
      </c>
      <c r="C620" s="411" t="str">
        <f t="shared" si="99"/>
        <v xml:space="preserve"> </v>
      </c>
      <c r="D620" s="433">
        <f>0.008-0.008</f>
        <v>0</v>
      </c>
      <c r="E620" s="422" t="str">
        <f>VLOOKUP($B620,[1]DG!A:D,[1]DG!$B$2,)</f>
        <v>02.1120</v>
      </c>
      <c r="F620" s="434" t="str">
        <f>VLOOKUP($B620,[1]DG!A:D,[1]DG!C$2,)</f>
        <v>Bốc dỡ phụ kiện</v>
      </c>
      <c r="G620" s="422" t="str">
        <f>VLOOKUP($B620,[1]DG!A:D,[1]DG!$D$2,)</f>
        <v>tấn</v>
      </c>
      <c r="H620" s="435">
        <f>H$612*$D620</f>
        <v>0</v>
      </c>
      <c r="I620" s="435"/>
      <c r="J620" s="435"/>
      <c r="K620" s="435"/>
      <c r="L620" s="435"/>
      <c r="M620" s="435"/>
      <c r="N620" s="435"/>
      <c r="O620" s="435"/>
      <c r="P620" s="435"/>
      <c r="Q620" s="442"/>
      <c r="R620" s="442"/>
      <c r="S620" s="442"/>
      <c r="T620" s="432">
        <f t="shared" si="98"/>
        <v>0</v>
      </c>
    </row>
    <row r="621" spans="1:20" ht="22.2" hidden="1" customHeight="1">
      <c r="A621" s="379"/>
      <c r="B621" s="438" t="s">
        <v>797</v>
      </c>
      <c r="C621" s="411" t="str">
        <f>IF(OR(P621&lt;&gt;0,H621&lt;&gt;0),"x"," ")</f>
        <v xml:space="preserve"> </v>
      </c>
      <c r="D621" s="433"/>
      <c r="E621" s="422" t="str">
        <f>VLOOKUP($B621,[1]DG!A:C,2,)</f>
        <v>02.1351</v>
      </c>
      <c r="F621" s="434" t="str">
        <f>VLOOKUP($B621,[1]DG!A:C,3,)</f>
        <v>V/c tiếp địa vào vị trí ( cự ly &lt;=100m)</v>
      </c>
      <c r="G621" s="422" t="str">
        <f>VLOOKUP($B621,[1]DG!A:D,4,0)</f>
        <v>tấn</v>
      </c>
      <c r="H621" s="435">
        <f>H$612*$D621</f>
        <v>0</v>
      </c>
      <c r="I621" s="435"/>
      <c r="J621" s="435"/>
      <c r="K621" s="435"/>
      <c r="L621" s="435"/>
      <c r="M621" s="435"/>
      <c r="N621" s="435"/>
      <c r="O621" s="435"/>
      <c r="P621" s="435"/>
      <c r="Q621" s="437"/>
      <c r="R621" s="437"/>
      <c r="S621" s="437"/>
      <c r="T621" s="432">
        <f t="shared" si="98"/>
        <v>0</v>
      </c>
    </row>
    <row r="622" spans="1:20" ht="22.2" customHeight="1">
      <c r="A622" s="451" t="s">
        <v>812</v>
      </c>
      <c r="B622" s="424" t="s">
        <v>812</v>
      </c>
      <c r="C622" s="411" t="str">
        <f t="shared" si="99"/>
        <v>x</v>
      </c>
      <c r="D622" s="459"/>
      <c r="E622" s="427"/>
      <c r="F622" s="428" t="s">
        <v>813</v>
      </c>
      <c r="G622" s="349" t="s">
        <v>67</v>
      </c>
      <c r="H622" s="429">
        <f>SUM(I622:O622)</f>
        <v>4</v>
      </c>
      <c r="I622" s="430"/>
      <c r="J622" s="430"/>
      <c r="K622" s="430">
        <f>IFERROR(HLOOKUP(B622,[1]pp3p1m!$1:$3,3,0),0)</f>
        <v>4</v>
      </c>
      <c r="L622" s="430">
        <f>IFERROR(HLOOKUP(chitiet!B622,[1]pp1p!$1:$3,3,0),0)</f>
        <v>0</v>
      </c>
      <c r="M622" s="430"/>
      <c r="N622" s="430"/>
      <c r="O622" s="430"/>
      <c r="P622" s="429">
        <f>H622+Q622-R622</f>
        <v>4</v>
      </c>
      <c r="Q622" s="431"/>
      <c r="R622" s="431"/>
      <c r="S622" s="431"/>
      <c r="T622" s="432">
        <f>IFERROR(HLOOKUP(B622,[1]pp1p!$1:$3,3,0),0)+IFERROR(HLOOKUP(B622,[1]pp3p1m!$1:$3,3,0),0)</f>
        <v>4</v>
      </c>
    </row>
    <row r="623" spans="1:20" ht="22.2" hidden="1" customHeight="1">
      <c r="B623" s="410" t="s">
        <v>127</v>
      </c>
      <c r="C623" s="411" t="str">
        <f t="shared" si="99"/>
        <v>x</v>
      </c>
      <c r="D623" s="439">
        <v>2.46</v>
      </c>
      <c r="E623" s="422"/>
      <c r="F623" s="441" t="str">
        <f>VLOOKUP($B623,[1]DG!A:D,[1]DG!C$2,)</f>
        <v>Cáp đồng trần M25mm2</v>
      </c>
      <c r="G623" s="422" t="str">
        <f>VLOOKUP($B623,[1]DG!A:D,[1]DG!$D$2,)</f>
        <v>kg</v>
      </c>
      <c r="H623" s="435">
        <f t="shared" ref="H623:H631" si="104">$H$622*$D623</f>
        <v>9.84</v>
      </c>
      <c r="I623" s="435">
        <f t="shared" ref="I623:O628" si="105">I$622*$D623</f>
        <v>0</v>
      </c>
      <c r="J623" s="435">
        <f t="shared" si="105"/>
        <v>0</v>
      </c>
      <c r="K623" s="435">
        <f t="shared" si="105"/>
        <v>9.84</v>
      </c>
      <c r="L623" s="435">
        <f t="shared" si="105"/>
        <v>0</v>
      </c>
      <c r="M623" s="435">
        <f t="shared" si="105"/>
        <v>0</v>
      </c>
      <c r="N623" s="435">
        <f t="shared" si="105"/>
        <v>0</v>
      </c>
      <c r="O623" s="435">
        <f t="shared" si="105"/>
        <v>0</v>
      </c>
      <c r="P623" s="436">
        <f>$P$622*D623</f>
        <v>9.84</v>
      </c>
      <c r="Q623" s="442"/>
      <c r="R623" s="442"/>
      <c r="S623" s="442"/>
      <c r="T623" s="432">
        <f t="shared" si="98"/>
        <v>0</v>
      </c>
    </row>
    <row r="624" spans="1:20" ht="22.2" hidden="1" customHeight="1">
      <c r="B624" s="410" t="s">
        <v>82</v>
      </c>
      <c r="C624" s="411" t="str">
        <f t="shared" si="99"/>
        <v>x</v>
      </c>
      <c r="D624" s="440">
        <v>1</v>
      </c>
      <c r="E624" s="422"/>
      <c r="F624" s="441" t="str">
        <f>VLOOKUP($B624,[1]DG!A:D,[1]DG!C$2,)</f>
        <v>Cọc tiếp đất Þ 16- 2,4m + kẹp cọc mạ đồng</v>
      </c>
      <c r="G624" s="422" t="str">
        <f>VLOOKUP($B624,[1]DG!A:D,[1]DG!$D$2,)</f>
        <v>bộ</v>
      </c>
      <c r="H624" s="435">
        <f t="shared" si="104"/>
        <v>4</v>
      </c>
      <c r="I624" s="435">
        <f t="shared" si="105"/>
        <v>0</v>
      </c>
      <c r="J624" s="435">
        <f t="shared" si="105"/>
        <v>0</v>
      </c>
      <c r="K624" s="435">
        <f t="shared" si="105"/>
        <v>4</v>
      </c>
      <c r="L624" s="435">
        <f t="shared" si="105"/>
        <v>0</v>
      </c>
      <c r="M624" s="435">
        <f t="shared" si="105"/>
        <v>0</v>
      </c>
      <c r="N624" s="435">
        <f t="shared" si="105"/>
        <v>0</v>
      </c>
      <c r="O624" s="435">
        <f t="shared" si="105"/>
        <v>0</v>
      </c>
      <c r="P624" s="436">
        <f>$P$622*D624</f>
        <v>4</v>
      </c>
      <c r="Q624" s="442"/>
      <c r="R624" s="442"/>
      <c r="S624" s="442"/>
      <c r="T624" s="432">
        <f t="shared" si="98"/>
        <v>0</v>
      </c>
    </row>
    <row r="625" spans="1:20" ht="22.2" hidden="1" customHeight="1">
      <c r="B625" s="410" t="s">
        <v>800</v>
      </c>
      <c r="C625" s="411" t="str">
        <f t="shared" si="99"/>
        <v>x</v>
      </c>
      <c r="D625" s="440">
        <v>2</v>
      </c>
      <c r="E625" s="422"/>
      <c r="F625" s="441" t="str">
        <f>VLOOKUP($B625,[1]DG!A:D,[1]DG!C$2,)</f>
        <v>Kẹp ép WR cỡ dây 50mm2</v>
      </c>
      <c r="G625" s="422" t="str">
        <f>VLOOKUP($B625,[1]DG!A:D,[1]DG!$D$2,)</f>
        <v>cái</v>
      </c>
      <c r="H625" s="435">
        <f t="shared" si="104"/>
        <v>8</v>
      </c>
      <c r="I625" s="435">
        <f t="shared" si="105"/>
        <v>0</v>
      </c>
      <c r="J625" s="435">
        <f t="shared" si="105"/>
        <v>0</v>
      </c>
      <c r="K625" s="435">
        <f t="shared" si="105"/>
        <v>8</v>
      </c>
      <c r="L625" s="435">
        <f t="shared" si="105"/>
        <v>0</v>
      </c>
      <c r="M625" s="435">
        <f t="shared" si="105"/>
        <v>0</v>
      </c>
      <c r="N625" s="435">
        <f t="shared" si="105"/>
        <v>0</v>
      </c>
      <c r="O625" s="435">
        <f t="shared" si="105"/>
        <v>0</v>
      </c>
      <c r="P625" s="436">
        <f>$P$622*D625</f>
        <v>8</v>
      </c>
      <c r="Q625" s="442"/>
      <c r="R625" s="442"/>
      <c r="S625" s="442"/>
      <c r="T625" s="432">
        <f t="shared" si="98"/>
        <v>0</v>
      </c>
    </row>
    <row r="626" spans="1:20" ht="22.2" hidden="1" customHeight="1">
      <c r="A626" s="379"/>
      <c r="B626" s="410" t="s">
        <v>801</v>
      </c>
      <c r="C626" s="411" t="str">
        <f t="shared" si="99"/>
        <v xml:space="preserve"> </v>
      </c>
      <c r="D626" s="440"/>
      <c r="E626" s="422"/>
      <c r="F626" s="441" t="str">
        <f>VLOOKUP($B626,[1]DG!A:D,[1]DG!C$2,)</f>
        <v>Đầu cosse ép Cu 25mm2</v>
      </c>
      <c r="G626" s="422" t="str">
        <f>VLOOKUP($B626,[1]DG!A:D,[1]DG!$D$2,)</f>
        <v>cái</v>
      </c>
      <c r="H626" s="435">
        <f t="shared" si="104"/>
        <v>0</v>
      </c>
      <c r="I626" s="435">
        <f t="shared" si="105"/>
        <v>0</v>
      </c>
      <c r="J626" s="435">
        <f t="shared" si="105"/>
        <v>0</v>
      </c>
      <c r="K626" s="435">
        <f t="shared" si="105"/>
        <v>0</v>
      </c>
      <c r="L626" s="435">
        <f t="shared" si="105"/>
        <v>0</v>
      </c>
      <c r="M626" s="435">
        <f t="shared" si="105"/>
        <v>0</v>
      </c>
      <c r="N626" s="435">
        <f t="shared" si="105"/>
        <v>0</v>
      </c>
      <c r="O626" s="435">
        <f t="shared" si="105"/>
        <v>0</v>
      </c>
      <c r="P626" s="435"/>
      <c r="Q626" s="442"/>
      <c r="R626" s="442"/>
      <c r="S626" s="442"/>
      <c r="T626" s="432">
        <f t="shared" si="98"/>
        <v>0</v>
      </c>
    </row>
    <row r="627" spans="1:20" ht="22.2" hidden="1" customHeight="1">
      <c r="A627" s="379"/>
      <c r="B627" s="410" t="s">
        <v>88</v>
      </c>
      <c r="C627" s="411" t="str">
        <f t="shared" si="99"/>
        <v xml:space="preserve"> </v>
      </c>
      <c r="D627" s="440"/>
      <c r="E627" s="422"/>
      <c r="F627" s="441" t="str">
        <f>VLOOKUP($B627,[1]DG!A:D,[1]DG!C$2,)</f>
        <v>Boulon 12x40+ 2 long đền vuông D14-50x50x3/Zn</v>
      </c>
      <c r="G627" s="422" t="str">
        <f>VLOOKUP($B627,[1]DG!A:D,[1]DG!$D$2,)</f>
        <v>bộ</v>
      </c>
      <c r="H627" s="435">
        <f t="shared" si="104"/>
        <v>0</v>
      </c>
      <c r="I627" s="435">
        <f t="shared" si="105"/>
        <v>0</v>
      </c>
      <c r="J627" s="435">
        <f t="shared" si="105"/>
        <v>0</v>
      </c>
      <c r="K627" s="435">
        <f t="shared" si="105"/>
        <v>0</v>
      </c>
      <c r="L627" s="435">
        <f t="shared" si="105"/>
        <v>0</v>
      </c>
      <c r="M627" s="435">
        <f t="shared" si="105"/>
        <v>0</v>
      </c>
      <c r="N627" s="435">
        <f t="shared" si="105"/>
        <v>0</v>
      </c>
      <c r="O627" s="435">
        <f t="shared" si="105"/>
        <v>0</v>
      </c>
      <c r="P627" s="435"/>
      <c r="Q627" s="442"/>
      <c r="R627" s="442"/>
      <c r="S627" s="442"/>
      <c r="T627" s="432">
        <f t="shared" ref="T627" si="106">IFERROR(HLOOKUP(B627,BangKeTru,3,0),0)</f>
        <v>0</v>
      </c>
    </row>
    <row r="628" spans="1:20" ht="22.2" hidden="1" customHeight="1">
      <c r="A628" s="379"/>
      <c r="B628" s="410" t="s">
        <v>289</v>
      </c>
      <c r="C628" s="411" t="str">
        <f t="shared" si="99"/>
        <v>x</v>
      </c>
      <c r="D628" s="440">
        <v>2</v>
      </c>
      <c r="E628" s="422"/>
      <c r="F628" s="441" t="str">
        <f>VLOOKUP($B628,[1]DG!A:D,[1]DG!C$2,)</f>
        <v>Ốc siết cáp cỡ 25mm2</v>
      </c>
      <c r="G628" s="422" t="str">
        <f>VLOOKUP($B628,[1]DG!A:D,[1]DG!$D$2,)</f>
        <v>cái</v>
      </c>
      <c r="H628" s="435">
        <f t="shared" si="104"/>
        <v>8</v>
      </c>
      <c r="I628" s="435">
        <f t="shared" si="105"/>
        <v>0</v>
      </c>
      <c r="J628" s="435">
        <f t="shared" si="105"/>
        <v>0</v>
      </c>
      <c r="K628" s="435">
        <f t="shared" si="105"/>
        <v>8</v>
      </c>
      <c r="L628" s="435">
        <f t="shared" si="105"/>
        <v>0</v>
      </c>
      <c r="M628" s="435">
        <f t="shared" si="105"/>
        <v>0</v>
      </c>
      <c r="N628" s="435">
        <f t="shared" si="105"/>
        <v>0</v>
      </c>
      <c r="O628" s="435">
        <f t="shared" si="105"/>
        <v>0</v>
      </c>
      <c r="P628" s="436">
        <f t="shared" ref="P628:P632" si="107">$P$622*D628</f>
        <v>8</v>
      </c>
      <c r="Q628" s="442"/>
      <c r="R628" s="442"/>
      <c r="S628" s="442"/>
      <c r="T628" s="432">
        <f t="shared" si="98"/>
        <v>0</v>
      </c>
    </row>
    <row r="629" spans="1:20" ht="22.2" hidden="1" customHeight="1">
      <c r="B629" s="410" t="s">
        <v>794</v>
      </c>
      <c r="C629" s="411" t="str">
        <f t="shared" si="99"/>
        <v>x</v>
      </c>
      <c r="D629" s="439">
        <f>D623</f>
        <v>2.46</v>
      </c>
      <c r="E629" s="422" t="str">
        <f>VLOOKUP($B629,[1]DG!A:D,[1]DG!$B$2,)</f>
        <v>05.7001</v>
      </c>
      <c r="F629" s="434" t="str">
        <f>VLOOKUP($B629,[1]DG!A:D,[1]DG!C$2,)</f>
        <v xml:space="preserve">Kéo dây tiếp địa </v>
      </c>
      <c r="G629" s="422" t="str">
        <f>VLOOKUP($B629,[1]DG!A:D,[1]DG!$D$2,)</f>
        <v>mét</v>
      </c>
      <c r="H629" s="435">
        <f t="shared" si="104"/>
        <v>9.84</v>
      </c>
      <c r="I629" s="435"/>
      <c r="J629" s="435"/>
      <c r="K629" s="435"/>
      <c r="L629" s="435"/>
      <c r="M629" s="435"/>
      <c r="N629" s="435"/>
      <c r="O629" s="435"/>
      <c r="P629" s="436">
        <f t="shared" si="107"/>
        <v>9.84</v>
      </c>
      <c r="Q629" s="437"/>
      <c r="R629" s="437"/>
      <c r="S629" s="437"/>
      <c r="T629" s="432">
        <f t="shared" si="98"/>
        <v>0</v>
      </c>
    </row>
    <row r="630" spans="1:20" ht="22.2" hidden="1" customHeight="1">
      <c r="B630" s="410" t="s">
        <v>795</v>
      </c>
      <c r="C630" s="411" t="str">
        <f t="shared" si="99"/>
        <v>x</v>
      </c>
      <c r="D630" s="440">
        <f>D624</f>
        <v>1</v>
      </c>
      <c r="E630" s="422" t="str">
        <f>VLOOKUP($B630,[1]DG!A:D,[1]DG!$B$2,)</f>
        <v>05.8103</v>
      </c>
      <c r="F630" s="434" t="str">
        <f>VLOOKUP($B630,[1]DG!A:D,[1]DG!C$2,)</f>
        <v>Đóng cọc tiếp địa đất cấp 3</v>
      </c>
      <c r="G630" s="422" t="str">
        <f>VLOOKUP($B630,[1]DG!A:D,[1]DG!$D$2,)</f>
        <v>cọc</v>
      </c>
      <c r="H630" s="435">
        <f t="shared" si="104"/>
        <v>4</v>
      </c>
      <c r="I630" s="435"/>
      <c r="J630" s="435"/>
      <c r="K630" s="435"/>
      <c r="L630" s="435"/>
      <c r="M630" s="435"/>
      <c r="N630" s="435"/>
      <c r="O630" s="435"/>
      <c r="P630" s="436">
        <f t="shared" si="107"/>
        <v>4</v>
      </c>
      <c r="Q630" s="442"/>
      <c r="R630" s="442"/>
      <c r="S630" s="442"/>
      <c r="T630" s="432">
        <f t="shared" si="98"/>
        <v>0</v>
      </c>
    </row>
    <row r="631" spans="1:20" ht="22.2" hidden="1" customHeight="1">
      <c r="B631" s="410" t="s">
        <v>244</v>
      </c>
      <c r="C631" s="411" t="str">
        <f t="shared" si="99"/>
        <v>x</v>
      </c>
      <c r="D631" s="439">
        <v>0.08</v>
      </c>
      <c r="E631" s="422" t="str">
        <f>VLOOKUP($B631,[1]DG!A:D,[1]DG!$B$2,)</f>
        <v>03.3123</v>
      </c>
      <c r="F631" s="434" t="str">
        <f>VLOOKUP($B631,[1]DG!A:D,[1]DG!C$2,)</f>
        <v>Đào rãnh tiếp địa đất cấp 3</v>
      </c>
      <c r="G631" s="422" t="str">
        <f>VLOOKUP($B631,[1]DG!A:D,[1]DG!$D$2,)</f>
        <v>m3</v>
      </c>
      <c r="H631" s="435">
        <f t="shared" si="104"/>
        <v>0.32</v>
      </c>
      <c r="I631" s="435"/>
      <c r="J631" s="435"/>
      <c r="K631" s="435"/>
      <c r="L631" s="435"/>
      <c r="M631" s="435"/>
      <c r="N631" s="435"/>
      <c r="O631" s="435"/>
      <c r="P631" s="436">
        <f t="shared" si="107"/>
        <v>0.32</v>
      </c>
      <c r="Q631" s="442"/>
      <c r="R631" s="442"/>
      <c r="S631" s="442"/>
      <c r="T631" s="432">
        <f t="shared" si="98"/>
        <v>0</v>
      </c>
    </row>
    <row r="632" spans="1:20" ht="22.2" hidden="1" customHeight="1">
      <c r="A632" s="379"/>
      <c r="B632" s="410" t="s">
        <v>245</v>
      </c>
      <c r="C632" s="411" t="str">
        <f t="shared" si="99"/>
        <v>x</v>
      </c>
      <c r="D632" s="433">
        <v>0.08</v>
      </c>
      <c r="E632" s="422" t="str">
        <f>VLOOKUP($B632,[1]DG!A:D,[1]DG!$B$2,)</f>
        <v>03.4123</v>
      </c>
      <c r="F632" s="434" t="str">
        <f>VLOOKUP($B632,[1]DG!A:D,[1]DG!C$2,)</f>
        <v>Đắp đất rãnh tiếp độ chặt k=0,85</v>
      </c>
      <c r="G632" s="422" t="str">
        <f>VLOOKUP($B632,[1]DG!A:D,[1]DG!$D$2,)</f>
        <v>m3</v>
      </c>
      <c r="H632" s="435">
        <f>$H$622*$D632</f>
        <v>0.32</v>
      </c>
      <c r="I632" s="435"/>
      <c r="J632" s="435"/>
      <c r="K632" s="435"/>
      <c r="L632" s="435"/>
      <c r="M632" s="435"/>
      <c r="N632" s="435"/>
      <c r="O632" s="435"/>
      <c r="P632" s="436">
        <f t="shared" si="107"/>
        <v>0.32</v>
      </c>
      <c r="Q632" s="442"/>
      <c r="R632" s="442"/>
      <c r="S632" s="442"/>
      <c r="T632" s="432">
        <f t="shared" si="98"/>
        <v>0</v>
      </c>
    </row>
    <row r="633" spans="1:20" ht="22.2" hidden="1" customHeight="1">
      <c r="A633" s="379"/>
      <c r="B633" s="438" t="s">
        <v>797</v>
      </c>
      <c r="C633" s="411" t="str">
        <f t="shared" si="99"/>
        <v xml:space="preserve"> </v>
      </c>
      <c r="D633" s="433"/>
      <c r="E633" s="422" t="str">
        <f>VLOOKUP($B633,[1]DG!A:C,2,)</f>
        <v>02.1351</v>
      </c>
      <c r="F633" s="434" t="str">
        <f>VLOOKUP($B633,[1]DG!A:C,3,)</f>
        <v>V/c tiếp địa vào vị trí ( cự ly &lt;=100m)</v>
      </c>
      <c r="G633" s="422" t="str">
        <f>VLOOKUP($B633,[1]DG!A:D,4,0)</f>
        <v>tấn</v>
      </c>
      <c r="H633" s="435">
        <f>$H$622*$D633</f>
        <v>0</v>
      </c>
      <c r="I633" s="435"/>
      <c r="J633" s="435"/>
      <c r="K633" s="435"/>
      <c r="L633" s="435"/>
      <c r="M633" s="435"/>
      <c r="N633" s="435"/>
      <c r="O633" s="435"/>
      <c r="P633" s="435"/>
      <c r="Q633" s="437"/>
      <c r="R633" s="437"/>
      <c r="S633" s="437"/>
      <c r="T633" s="432">
        <f t="shared" si="98"/>
        <v>0</v>
      </c>
    </row>
    <row r="634" spans="1:20" ht="22.2" hidden="1" customHeight="1">
      <c r="A634" s="451" t="s">
        <v>812</v>
      </c>
      <c r="B634" s="424" t="s">
        <v>814</v>
      </c>
      <c r="C634" s="411" t="str">
        <f t="shared" si="99"/>
        <v xml:space="preserve"> </v>
      </c>
      <c r="D634" s="459"/>
      <c r="E634" s="427"/>
      <c r="F634" s="428" t="s">
        <v>815</v>
      </c>
      <c r="G634" s="349" t="s">
        <v>67</v>
      </c>
      <c r="H634" s="429">
        <f>SUM(I634:O634)</f>
        <v>0</v>
      </c>
      <c r="I634" s="430"/>
      <c r="J634" s="430"/>
      <c r="K634" s="430">
        <f>IFERROR(HLOOKUP(B634,[1]pp3p1m!$1:$3,3,0),0)</f>
        <v>0</v>
      </c>
      <c r="L634" s="430">
        <f>IFERROR(HLOOKUP(chitiet!B634,[1]pp1p!$1:$3,3,0),0)</f>
        <v>0</v>
      </c>
      <c r="M634" s="430"/>
      <c r="N634" s="430"/>
      <c r="O634" s="430"/>
      <c r="P634" s="429">
        <f>H634+Q634-R634</f>
        <v>0</v>
      </c>
      <c r="Q634" s="431"/>
      <c r="R634" s="431"/>
      <c r="S634" s="431"/>
      <c r="T634" s="432">
        <f>IFERROR(HLOOKUP(B634,[1]pp1p!$1:$3,3,0),0)+IFERROR(HLOOKUP(B634,[1]pp3p1m!$1:$3,3,0),0)</f>
        <v>0</v>
      </c>
    </row>
    <row r="635" spans="1:20" ht="22.2" hidden="1" customHeight="1">
      <c r="B635" s="410" t="s">
        <v>127</v>
      </c>
      <c r="C635" s="411" t="str">
        <f t="shared" si="99"/>
        <v xml:space="preserve"> </v>
      </c>
      <c r="D635" s="439">
        <v>0.45</v>
      </c>
      <c r="E635" s="422"/>
      <c r="F635" s="441" t="str">
        <f>VLOOKUP($B635,[1]DG!A:D,[1]DG!C$2,)</f>
        <v>Cáp đồng trần M25mm2</v>
      </c>
      <c r="G635" s="422" t="str">
        <f>VLOOKUP($B635,[1]DG!A:D,[1]DG!$D$2,)</f>
        <v>kg</v>
      </c>
      <c r="H635" s="435">
        <f>H$634*$D635</f>
        <v>0</v>
      </c>
      <c r="I635" s="435">
        <f t="shared" ref="I635:R635" si="108">I$634*$D635</f>
        <v>0</v>
      </c>
      <c r="J635" s="435">
        <f t="shared" si="108"/>
        <v>0</v>
      </c>
      <c r="K635" s="435">
        <f t="shared" si="108"/>
        <v>0</v>
      </c>
      <c r="L635" s="435">
        <f t="shared" si="108"/>
        <v>0</v>
      </c>
      <c r="M635" s="435">
        <f t="shared" si="108"/>
        <v>0</v>
      </c>
      <c r="N635" s="435">
        <f t="shared" si="108"/>
        <v>0</v>
      </c>
      <c r="O635" s="435">
        <f t="shared" si="108"/>
        <v>0</v>
      </c>
      <c r="P635" s="435">
        <f t="shared" si="108"/>
        <v>0</v>
      </c>
      <c r="Q635" s="435">
        <f t="shared" si="108"/>
        <v>0</v>
      </c>
      <c r="R635" s="435">
        <f t="shared" si="108"/>
        <v>0</v>
      </c>
      <c r="S635" s="442"/>
      <c r="T635" s="432">
        <f t="shared" ref="T635:T644" si="109">IFERROR(HLOOKUP(B635,BangKeTru,3,0),0)</f>
        <v>0</v>
      </c>
    </row>
    <row r="636" spans="1:20" ht="22.2" hidden="1" customHeight="1">
      <c r="B636" s="410" t="s">
        <v>82</v>
      </c>
      <c r="C636" s="411" t="str">
        <f t="shared" si="99"/>
        <v xml:space="preserve"> </v>
      </c>
      <c r="D636" s="440">
        <v>0</v>
      </c>
      <c r="E636" s="422"/>
      <c r="F636" s="441" t="str">
        <f>VLOOKUP($B636,[1]DG!A:D,[1]DG!C$2,)</f>
        <v>Cọc tiếp đất Þ 16- 2,4m + kẹp cọc mạ đồng</v>
      </c>
      <c r="G636" s="422" t="str">
        <f>VLOOKUP($B636,[1]DG!A:D,[1]DG!$D$2,)</f>
        <v>bộ</v>
      </c>
      <c r="H636" s="435">
        <f t="shared" ref="H636:R644" si="110">H$634*$D636</f>
        <v>0</v>
      </c>
      <c r="I636" s="435">
        <f t="shared" si="110"/>
        <v>0</v>
      </c>
      <c r="J636" s="435">
        <f t="shared" si="110"/>
        <v>0</v>
      </c>
      <c r="K636" s="435">
        <f t="shared" si="110"/>
        <v>0</v>
      </c>
      <c r="L636" s="435">
        <f t="shared" si="110"/>
        <v>0</v>
      </c>
      <c r="M636" s="435">
        <f t="shared" si="110"/>
        <v>0</v>
      </c>
      <c r="N636" s="435">
        <f t="shared" si="110"/>
        <v>0</v>
      </c>
      <c r="O636" s="435">
        <f t="shared" si="110"/>
        <v>0</v>
      </c>
      <c r="P636" s="435">
        <f t="shared" si="110"/>
        <v>0</v>
      </c>
      <c r="Q636" s="435">
        <f t="shared" si="110"/>
        <v>0</v>
      </c>
      <c r="R636" s="435">
        <f t="shared" si="110"/>
        <v>0</v>
      </c>
      <c r="S636" s="442"/>
      <c r="T636" s="432">
        <f t="shared" si="109"/>
        <v>0</v>
      </c>
    </row>
    <row r="637" spans="1:20" ht="22.2" hidden="1" customHeight="1">
      <c r="B637" s="410" t="s">
        <v>816</v>
      </c>
      <c r="C637" s="411" t="str">
        <f t="shared" si="99"/>
        <v xml:space="preserve"> </v>
      </c>
      <c r="D637" s="440">
        <v>2</v>
      </c>
      <c r="E637" s="422"/>
      <c r="F637" s="441" t="str">
        <f>VLOOKUP($B637,[1]DG!A:D,[1]DG!C$2,)</f>
        <v>Kẹp ép WR cỡ dây 70mm2</v>
      </c>
      <c r="G637" s="422" t="str">
        <f>VLOOKUP($B637,[1]DG!A:D,[1]DG!$D$2,)</f>
        <v>cái</v>
      </c>
      <c r="H637" s="435">
        <f t="shared" si="110"/>
        <v>0</v>
      </c>
      <c r="I637" s="435">
        <f t="shared" si="110"/>
        <v>0</v>
      </c>
      <c r="J637" s="435">
        <f t="shared" si="110"/>
        <v>0</v>
      </c>
      <c r="K637" s="435">
        <f t="shared" si="110"/>
        <v>0</v>
      </c>
      <c r="L637" s="435">
        <f t="shared" si="110"/>
        <v>0</v>
      </c>
      <c r="M637" s="435">
        <f t="shared" si="110"/>
        <v>0</v>
      </c>
      <c r="N637" s="435">
        <f t="shared" si="110"/>
        <v>0</v>
      </c>
      <c r="O637" s="435">
        <f t="shared" si="110"/>
        <v>0</v>
      </c>
      <c r="P637" s="435">
        <f t="shared" si="110"/>
        <v>0</v>
      </c>
      <c r="Q637" s="435">
        <f t="shared" si="110"/>
        <v>0</v>
      </c>
      <c r="R637" s="435">
        <f t="shared" si="110"/>
        <v>0</v>
      </c>
      <c r="S637" s="442"/>
      <c r="T637" s="432">
        <f t="shared" si="109"/>
        <v>0</v>
      </c>
    </row>
    <row r="638" spans="1:20" ht="22.2" hidden="1" customHeight="1">
      <c r="A638" s="379"/>
      <c r="B638" s="410" t="s">
        <v>801</v>
      </c>
      <c r="C638" s="411" t="str">
        <f t="shared" si="99"/>
        <v xml:space="preserve"> </v>
      </c>
      <c r="D638" s="440"/>
      <c r="E638" s="422"/>
      <c r="F638" s="441" t="str">
        <f>VLOOKUP($B638,[1]DG!A:D,[1]DG!C$2,)</f>
        <v>Đầu cosse ép Cu 25mm2</v>
      </c>
      <c r="G638" s="422" t="str">
        <f>VLOOKUP($B638,[1]DG!A:D,[1]DG!$D$2,)</f>
        <v>cái</v>
      </c>
      <c r="H638" s="435">
        <f t="shared" si="110"/>
        <v>0</v>
      </c>
      <c r="I638" s="435">
        <f t="shared" si="110"/>
        <v>0</v>
      </c>
      <c r="J638" s="435">
        <f t="shared" si="110"/>
        <v>0</v>
      </c>
      <c r="K638" s="435">
        <f t="shared" si="110"/>
        <v>0</v>
      </c>
      <c r="L638" s="435">
        <f t="shared" si="110"/>
        <v>0</v>
      </c>
      <c r="M638" s="435">
        <f t="shared" si="110"/>
        <v>0</v>
      </c>
      <c r="N638" s="435">
        <f t="shared" si="110"/>
        <v>0</v>
      </c>
      <c r="O638" s="435">
        <f t="shared" si="110"/>
        <v>0</v>
      </c>
      <c r="P638" s="435">
        <f t="shared" si="110"/>
        <v>0</v>
      </c>
      <c r="Q638" s="435">
        <f t="shared" si="110"/>
        <v>0</v>
      </c>
      <c r="R638" s="435">
        <f t="shared" si="110"/>
        <v>0</v>
      </c>
      <c r="S638" s="442"/>
      <c r="T638" s="432">
        <f t="shared" si="109"/>
        <v>0</v>
      </c>
    </row>
    <row r="639" spans="1:20" ht="22.2" hidden="1" customHeight="1">
      <c r="A639" s="379"/>
      <c r="B639" s="410" t="s">
        <v>88</v>
      </c>
      <c r="C639" s="411" t="str">
        <f t="shared" si="99"/>
        <v xml:space="preserve"> </v>
      </c>
      <c r="D639" s="440"/>
      <c r="E639" s="422"/>
      <c r="F639" s="441" t="str">
        <f>VLOOKUP($B639,[1]DG!A:D,[1]DG!C$2,)</f>
        <v>Boulon 12x40+ 2 long đền vuông D14-50x50x3/Zn</v>
      </c>
      <c r="G639" s="422" t="str">
        <f>VLOOKUP($B639,[1]DG!A:D,[1]DG!$D$2,)</f>
        <v>bộ</v>
      </c>
      <c r="H639" s="435">
        <f t="shared" si="110"/>
        <v>0</v>
      </c>
      <c r="I639" s="435">
        <f t="shared" si="110"/>
        <v>0</v>
      </c>
      <c r="J639" s="435">
        <f t="shared" si="110"/>
        <v>0</v>
      </c>
      <c r="K639" s="435">
        <f t="shared" si="110"/>
        <v>0</v>
      </c>
      <c r="L639" s="435">
        <f t="shared" si="110"/>
        <v>0</v>
      </c>
      <c r="M639" s="435">
        <f t="shared" si="110"/>
        <v>0</v>
      </c>
      <c r="N639" s="435">
        <f t="shared" si="110"/>
        <v>0</v>
      </c>
      <c r="O639" s="435">
        <f t="shared" si="110"/>
        <v>0</v>
      </c>
      <c r="P639" s="435">
        <f t="shared" si="110"/>
        <v>0</v>
      </c>
      <c r="Q639" s="435">
        <f t="shared" si="110"/>
        <v>0</v>
      </c>
      <c r="R639" s="435">
        <f t="shared" si="110"/>
        <v>0</v>
      </c>
      <c r="S639" s="442"/>
      <c r="T639" s="432">
        <f t="shared" si="109"/>
        <v>0</v>
      </c>
    </row>
    <row r="640" spans="1:20" ht="22.2" hidden="1" customHeight="1">
      <c r="B640" s="410" t="s">
        <v>794</v>
      </c>
      <c r="C640" s="411" t="str">
        <f t="shared" si="99"/>
        <v xml:space="preserve"> </v>
      </c>
      <c r="D640" s="439">
        <f>D635</f>
        <v>0.45</v>
      </c>
      <c r="E640" s="422" t="str">
        <f>VLOOKUP($B640,[1]DG!A:D,[1]DG!$B$2,)</f>
        <v>05.7001</v>
      </c>
      <c r="F640" s="434" t="str">
        <f>VLOOKUP($B640,[1]DG!A:D,[1]DG!C$2,)</f>
        <v xml:space="preserve">Kéo dây tiếp địa </v>
      </c>
      <c r="G640" s="422" t="str">
        <f>VLOOKUP($B640,[1]DG!A:D,[1]DG!$D$2,)</f>
        <v>mét</v>
      </c>
      <c r="H640" s="435">
        <f t="shared" si="110"/>
        <v>0</v>
      </c>
      <c r="I640" s="435">
        <f t="shared" si="110"/>
        <v>0</v>
      </c>
      <c r="J640" s="435">
        <f t="shared" si="110"/>
        <v>0</v>
      </c>
      <c r="K640" s="435">
        <f t="shared" si="110"/>
        <v>0</v>
      </c>
      <c r="L640" s="435">
        <f t="shared" si="110"/>
        <v>0</v>
      </c>
      <c r="M640" s="435">
        <f t="shared" si="110"/>
        <v>0</v>
      </c>
      <c r="N640" s="435">
        <f t="shared" si="110"/>
        <v>0</v>
      </c>
      <c r="O640" s="435">
        <f t="shared" si="110"/>
        <v>0</v>
      </c>
      <c r="P640" s="435">
        <f t="shared" si="110"/>
        <v>0</v>
      </c>
      <c r="Q640" s="435">
        <f t="shared" si="110"/>
        <v>0</v>
      </c>
      <c r="R640" s="435">
        <f t="shared" si="110"/>
        <v>0</v>
      </c>
      <c r="S640" s="437"/>
      <c r="T640" s="432">
        <f t="shared" si="109"/>
        <v>0</v>
      </c>
    </row>
    <row r="641" spans="1:20" ht="22.2" hidden="1" customHeight="1">
      <c r="B641" s="410" t="s">
        <v>795</v>
      </c>
      <c r="C641" s="411" t="str">
        <f t="shared" si="99"/>
        <v xml:space="preserve"> </v>
      </c>
      <c r="D641" s="440">
        <f>D636</f>
        <v>0</v>
      </c>
      <c r="E641" s="422" t="str">
        <f>VLOOKUP($B641,[1]DG!A:D,[1]DG!$B$2,)</f>
        <v>05.8103</v>
      </c>
      <c r="F641" s="434" t="str">
        <f>VLOOKUP($B641,[1]DG!A:D,[1]DG!C$2,)</f>
        <v>Đóng cọc tiếp địa đất cấp 3</v>
      </c>
      <c r="G641" s="422" t="str">
        <f>VLOOKUP($B641,[1]DG!A:D,[1]DG!$D$2,)</f>
        <v>cọc</v>
      </c>
      <c r="H641" s="435">
        <f t="shared" si="110"/>
        <v>0</v>
      </c>
      <c r="I641" s="435">
        <f t="shared" si="110"/>
        <v>0</v>
      </c>
      <c r="J641" s="435">
        <f t="shared" si="110"/>
        <v>0</v>
      </c>
      <c r="K641" s="435">
        <f t="shared" si="110"/>
        <v>0</v>
      </c>
      <c r="L641" s="435">
        <f t="shared" si="110"/>
        <v>0</v>
      </c>
      <c r="M641" s="435">
        <f t="shared" si="110"/>
        <v>0</v>
      </c>
      <c r="N641" s="435">
        <f t="shared" si="110"/>
        <v>0</v>
      </c>
      <c r="O641" s="435">
        <f t="shared" si="110"/>
        <v>0</v>
      </c>
      <c r="P641" s="435">
        <f t="shared" si="110"/>
        <v>0</v>
      </c>
      <c r="Q641" s="435">
        <f t="shared" si="110"/>
        <v>0</v>
      </c>
      <c r="R641" s="435">
        <f t="shared" si="110"/>
        <v>0</v>
      </c>
      <c r="S641" s="442"/>
      <c r="T641" s="432">
        <f t="shared" si="109"/>
        <v>0</v>
      </c>
    </row>
    <row r="642" spans="1:20" ht="22.2" hidden="1" customHeight="1">
      <c r="B642" s="410" t="s">
        <v>244</v>
      </c>
      <c r="C642" s="411" t="str">
        <f t="shared" si="99"/>
        <v xml:space="preserve"> </v>
      </c>
      <c r="D642" s="439">
        <v>0.3</v>
      </c>
      <c r="E642" s="422" t="str">
        <f>VLOOKUP($B642,[1]DG!A:D,[1]DG!$B$2,)</f>
        <v>03.3123</v>
      </c>
      <c r="F642" s="434" t="str">
        <f>VLOOKUP($B642,[1]DG!A:D,[1]DG!C$2,)</f>
        <v>Đào rãnh tiếp địa đất cấp 3</v>
      </c>
      <c r="G642" s="422" t="str">
        <f>VLOOKUP($B642,[1]DG!A:D,[1]DG!$D$2,)</f>
        <v>m3</v>
      </c>
      <c r="H642" s="435">
        <f t="shared" si="110"/>
        <v>0</v>
      </c>
      <c r="I642" s="435">
        <f t="shared" si="110"/>
        <v>0</v>
      </c>
      <c r="J642" s="435">
        <f t="shared" si="110"/>
        <v>0</v>
      </c>
      <c r="K642" s="435">
        <f t="shared" si="110"/>
        <v>0</v>
      </c>
      <c r="L642" s="435">
        <f t="shared" si="110"/>
        <v>0</v>
      </c>
      <c r="M642" s="435">
        <f t="shared" si="110"/>
        <v>0</v>
      </c>
      <c r="N642" s="435">
        <f t="shared" si="110"/>
        <v>0</v>
      </c>
      <c r="O642" s="435">
        <f t="shared" si="110"/>
        <v>0</v>
      </c>
      <c r="P642" s="435">
        <f t="shared" si="110"/>
        <v>0</v>
      </c>
      <c r="Q642" s="435">
        <f t="shared" si="110"/>
        <v>0</v>
      </c>
      <c r="R642" s="435">
        <f t="shared" si="110"/>
        <v>0</v>
      </c>
      <c r="S642" s="442"/>
      <c r="T642" s="432">
        <f t="shared" si="109"/>
        <v>0</v>
      </c>
    </row>
    <row r="643" spans="1:20" ht="22.2" hidden="1" customHeight="1">
      <c r="A643" s="379"/>
      <c r="B643" s="410" t="s">
        <v>796</v>
      </c>
      <c r="C643" s="411" t="str">
        <f t="shared" si="99"/>
        <v xml:space="preserve"> </v>
      </c>
      <c r="D643" s="433"/>
      <c r="E643" s="422" t="str">
        <f>VLOOKUP($B643,[1]DG!A:D,[1]DG!$B$2,)</f>
        <v>02.1120</v>
      </c>
      <c r="F643" s="434" t="str">
        <f>VLOOKUP($B643,[1]DG!A:D,[1]DG!C$2,)</f>
        <v>Bốc dỡ phụ kiện</v>
      </c>
      <c r="G643" s="422" t="str">
        <f>VLOOKUP($B643,[1]DG!A:D,[1]DG!$D$2,)</f>
        <v>tấn</v>
      </c>
      <c r="H643" s="435">
        <f t="shared" si="110"/>
        <v>0</v>
      </c>
      <c r="I643" s="435">
        <f t="shared" si="110"/>
        <v>0</v>
      </c>
      <c r="J643" s="435">
        <f t="shared" si="110"/>
        <v>0</v>
      </c>
      <c r="K643" s="435">
        <f t="shared" si="110"/>
        <v>0</v>
      </c>
      <c r="L643" s="435">
        <f t="shared" si="110"/>
        <v>0</v>
      </c>
      <c r="M643" s="435">
        <f t="shared" si="110"/>
        <v>0</v>
      </c>
      <c r="N643" s="435">
        <f t="shared" si="110"/>
        <v>0</v>
      </c>
      <c r="O643" s="435">
        <f t="shared" si="110"/>
        <v>0</v>
      </c>
      <c r="P643" s="435">
        <f t="shared" si="110"/>
        <v>0</v>
      </c>
      <c r="Q643" s="435">
        <f t="shared" si="110"/>
        <v>0</v>
      </c>
      <c r="R643" s="435">
        <f t="shared" si="110"/>
        <v>0</v>
      </c>
      <c r="S643" s="442"/>
      <c r="T643" s="432">
        <f t="shared" si="109"/>
        <v>0</v>
      </c>
    </row>
    <row r="644" spans="1:20" ht="22.2" hidden="1" customHeight="1">
      <c r="A644" s="379"/>
      <c r="B644" s="438" t="s">
        <v>797</v>
      </c>
      <c r="C644" s="411" t="str">
        <f t="shared" si="99"/>
        <v xml:space="preserve"> </v>
      </c>
      <c r="D644" s="433"/>
      <c r="E644" s="422" t="str">
        <f>VLOOKUP($B644,[1]DG!A:C,2,)</f>
        <v>02.1351</v>
      </c>
      <c r="F644" s="434" t="str">
        <f>VLOOKUP($B644,[1]DG!A:C,3,)</f>
        <v>V/c tiếp địa vào vị trí ( cự ly &lt;=100m)</v>
      </c>
      <c r="G644" s="422" t="str">
        <f>VLOOKUP($B644,[1]DG!A:D,4,0)</f>
        <v>tấn</v>
      </c>
      <c r="H644" s="435">
        <f t="shared" si="110"/>
        <v>0</v>
      </c>
      <c r="I644" s="435">
        <f t="shared" si="110"/>
        <v>0</v>
      </c>
      <c r="J644" s="435">
        <f t="shared" si="110"/>
        <v>0</v>
      </c>
      <c r="K644" s="435">
        <f t="shared" si="110"/>
        <v>0</v>
      </c>
      <c r="L644" s="435">
        <f t="shared" si="110"/>
        <v>0</v>
      </c>
      <c r="M644" s="435">
        <f t="shared" si="110"/>
        <v>0</v>
      </c>
      <c r="N644" s="435">
        <f t="shared" si="110"/>
        <v>0</v>
      </c>
      <c r="O644" s="435">
        <f t="shared" si="110"/>
        <v>0</v>
      </c>
      <c r="P644" s="435">
        <f t="shared" si="110"/>
        <v>0</v>
      </c>
      <c r="Q644" s="435">
        <f t="shared" si="110"/>
        <v>0</v>
      </c>
      <c r="R644" s="435">
        <f t="shared" si="110"/>
        <v>0</v>
      </c>
      <c r="S644" s="437"/>
      <c r="T644" s="432">
        <f t="shared" si="109"/>
        <v>0</v>
      </c>
    </row>
    <row r="645" spans="1:20" ht="22.2" hidden="1" customHeight="1">
      <c r="A645" s="423" t="s">
        <v>817</v>
      </c>
      <c r="B645" s="424" t="s">
        <v>817</v>
      </c>
      <c r="C645" s="425" t="str">
        <f t="shared" si="99"/>
        <v xml:space="preserve"> </v>
      </c>
      <c r="D645" s="459"/>
      <c r="E645" s="427"/>
      <c r="F645" s="428" t="s">
        <v>818</v>
      </c>
      <c r="G645" s="349" t="s">
        <v>67</v>
      </c>
      <c r="H645" s="429">
        <f>SUM(I645:O645)</f>
        <v>0</v>
      </c>
      <c r="I645" s="430"/>
      <c r="J645" s="430"/>
      <c r="K645" s="430">
        <f>IFERROR(HLOOKUP(B645,[1]pp3p1m!$1:$3,3,0),0)</f>
        <v>0</v>
      </c>
      <c r="L645" s="430">
        <f>IFERROR(HLOOKUP(chitiet!B645,[1]pp1p!$1:$3,3,0),0)</f>
        <v>0</v>
      </c>
      <c r="M645" s="430"/>
      <c r="N645" s="430"/>
      <c r="O645" s="430"/>
      <c r="P645" s="430"/>
      <c r="Q645" s="431"/>
      <c r="R645" s="431"/>
      <c r="S645" s="431"/>
      <c r="T645" s="432">
        <f>IFERROR(HLOOKUP(B645,[1]pp1p!$1:$3,3,0),0)+IFERROR(HLOOKUP(B645,[1]pp3p1m!$1:$3,3,0),0)</f>
        <v>0</v>
      </c>
    </row>
    <row r="646" spans="1:20" ht="22.2" hidden="1" customHeight="1">
      <c r="A646" s="379"/>
      <c r="B646" s="410" t="s">
        <v>127</v>
      </c>
      <c r="C646" s="411" t="str">
        <f t="shared" si="99"/>
        <v xml:space="preserve"> </v>
      </c>
      <c r="D646" s="439">
        <f>25*0.224</f>
        <v>5.6000000000000005</v>
      </c>
      <c r="E646" s="422"/>
      <c r="F646" s="441" t="str">
        <f>VLOOKUP($B646,[1]DG!A:D,[1]DG!C$2,)&amp;" : 25m"</f>
        <v>Cáp đồng trần M25mm2 : 25m</v>
      </c>
      <c r="G646" s="422" t="str">
        <f>VLOOKUP($B646,[1]DG!A:D,[1]DG!$D$2,)</f>
        <v>kg</v>
      </c>
      <c r="H646" s="435">
        <f t="shared" ref="H646:H654" si="111">H645*$D646</f>
        <v>0</v>
      </c>
      <c r="I646" s="435">
        <f t="shared" ref="I646:N650" si="112">I$612*$D646</f>
        <v>0</v>
      </c>
      <c r="J646" s="435">
        <f t="shared" si="112"/>
        <v>0</v>
      </c>
      <c r="K646" s="435">
        <f t="shared" si="112"/>
        <v>0</v>
      </c>
      <c r="L646" s="435">
        <f t="shared" si="112"/>
        <v>0</v>
      </c>
      <c r="M646" s="435">
        <f t="shared" si="112"/>
        <v>0</v>
      </c>
      <c r="N646" s="435">
        <f t="shared" si="112"/>
        <v>0</v>
      </c>
      <c r="O646" s="435"/>
      <c r="P646" s="435"/>
      <c r="Q646" s="442"/>
      <c r="R646" s="442"/>
      <c r="S646" s="442"/>
      <c r="T646" s="432">
        <f t="shared" si="98"/>
        <v>0</v>
      </c>
    </row>
    <row r="647" spans="1:20" ht="22.2" hidden="1" customHeight="1">
      <c r="A647" s="379"/>
      <c r="B647" s="410" t="s">
        <v>82</v>
      </c>
      <c r="C647" s="411" t="str">
        <f t="shared" si="99"/>
        <v xml:space="preserve"> </v>
      </c>
      <c r="D647" s="440">
        <v>4</v>
      </c>
      <c r="E647" s="422"/>
      <c r="F647" s="441" t="str">
        <f>VLOOKUP($B647,[1]DG!A:D,[1]DG!C$2,)</f>
        <v>Cọc tiếp đất Þ 16- 2,4m + kẹp cọc mạ đồng</v>
      </c>
      <c r="G647" s="422" t="str">
        <f>VLOOKUP($B647,[1]DG!A:D,[1]DG!$D$2,)</f>
        <v>bộ</v>
      </c>
      <c r="H647" s="435">
        <f t="shared" si="111"/>
        <v>0</v>
      </c>
      <c r="I647" s="435">
        <f t="shared" si="112"/>
        <v>0</v>
      </c>
      <c r="J647" s="435">
        <f t="shared" si="112"/>
        <v>0</v>
      </c>
      <c r="K647" s="435">
        <f t="shared" si="112"/>
        <v>0</v>
      </c>
      <c r="L647" s="435">
        <f t="shared" si="112"/>
        <v>0</v>
      </c>
      <c r="M647" s="435">
        <f t="shared" si="112"/>
        <v>0</v>
      </c>
      <c r="N647" s="435">
        <f t="shared" si="112"/>
        <v>0</v>
      </c>
      <c r="O647" s="435"/>
      <c r="P647" s="435"/>
      <c r="Q647" s="442"/>
      <c r="R647" s="442"/>
      <c r="S647" s="442"/>
      <c r="T647" s="432">
        <f t="shared" si="98"/>
        <v>0</v>
      </c>
    </row>
    <row r="648" spans="1:20" ht="22.2" hidden="1" customHeight="1">
      <c r="A648" s="379"/>
      <c r="B648" s="410" t="s">
        <v>809</v>
      </c>
      <c r="C648" s="411" t="str">
        <f t="shared" si="99"/>
        <v xml:space="preserve"> </v>
      </c>
      <c r="D648" s="440">
        <v>5</v>
      </c>
      <c r="E648" s="422"/>
      <c r="F648" s="441" t="str">
        <f>VLOOKUP($B648,[1]DG!A:D,[1]DG!C$2,)</f>
        <v>Kẹp nối đồng-nhôm</v>
      </c>
      <c r="G648" s="422" t="str">
        <f>VLOOKUP($B648,[1]DG!A:D,[1]DG!$D$2,)</f>
        <v>cái</v>
      </c>
      <c r="H648" s="435">
        <f t="shared" si="111"/>
        <v>0</v>
      </c>
      <c r="I648" s="435">
        <f t="shared" si="112"/>
        <v>0</v>
      </c>
      <c r="J648" s="435">
        <f t="shared" si="112"/>
        <v>0</v>
      </c>
      <c r="K648" s="435">
        <f t="shared" si="112"/>
        <v>0</v>
      </c>
      <c r="L648" s="435">
        <f t="shared" si="112"/>
        <v>0</v>
      </c>
      <c r="M648" s="435">
        <f t="shared" si="112"/>
        <v>0</v>
      </c>
      <c r="N648" s="435">
        <f t="shared" si="112"/>
        <v>0</v>
      </c>
      <c r="O648" s="435"/>
      <c r="P648" s="435"/>
      <c r="Q648" s="442"/>
      <c r="R648" s="442"/>
      <c r="S648" s="442"/>
      <c r="T648" s="432">
        <f t="shared" si="98"/>
        <v>0</v>
      </c>
    </row>
    <row r="649" spans="1:20" ht="22.2" hidden="1" customHeight="1">
      <c r="A649" s="379"/>
      <c r="B649" s="410" t="s">
        <v>801</v>
      </c>
      <c r="C649" s="411" t="str">
        <f t="shared" si="99"/>
        <v xml:space="preserve"> </v>
      </c>
      <c r="D649" s="440">
        <v>2</v>
      </c>
      <c r="E649" s="422"/>
      <c r="F649" s="441" t="str">
        <f>VLOOKUP($B649,[1]DG!A:D,[1]DG!C$2,)</f>
        <v>Đầu cosse ép Cu 25mm2</v>
      </c>
      <c r="G649" s="422" t="str">
        <f>VLOOKUP($B649,[1]DG!A:D,[1]DG!$D$2,)</f>
        <v>cái</v>
      </c>
      <c r="H649" s="435">
        <f t="shared" si="111"/>
        <v>0</v>
      </c>
      <c r="I649" s="435">
        <f t="shared" si="112"/>
        <v>0</v>
      </c>
      <c r="J649" s="435">
        <f t="shared" si="112"/>
        <v>0</v>
      </c>
      <c r="K649" s="435">
        <f t="shared" si="112"/>
        <v>0</v>
      </c>
      <c r="L649" s="435">
        <f t="shared" si="112"/>
        <v>0</v>
      </c>
      <c r="M649" s="435">
        <f t="shared" si="112"/>
        <v>0</v>
      </c>
      <c r="N649" s="435">
        <f t="shared" si="112"/>
        <v>0</v>
      </c>
      <c r="O649" s="435"/>
      <c r="P649" s="435"/>
      <c r="Q649" s="442"/>
      <c r="R649" s="442"/>
      <c r="S649" s="442"/>
      <c r="T649" s="432">
        <f t="shared" si="98"/>
        <v>0</v>
      </c>
    </row>
    <row r="650" spans="1:20" ht="22.2" hidden="1" customHeight="1">
      <c r="A650" s="379"/>
      <c r="B650" s="410" t="s">
        <v>88</v>
      </c>
      <c r="C650" s="411" t="str">
        <f t="shared" si="99"/>
        <v xml:space="preserve"> </v>
      </c>
      <c r="D650" s="440">
        <v>1</v>
      </c>
      <c r="E650" s="422"/>
      <c r="F650" s="441" t="str">
        <f>VLOOKUP($B650,[1]DG!A:D,[1]DG!C$2,)</f>
        <v>Boulon 12x40+ 2 long đền vuông D14-50x50x3/Zn</v>
      </c>
      <c r="G650" s="422" t="str">
        <f>VLOOKUP($B650,[1]DG!A:D,[1]DG!$D$2,)</f>
        <v>bộ</v>
      </c>
      <c r="H650" s="435">
        <f t="shared" si="111"/>
        <v>0</v>
      </c>
      <c r="I650" s="435">
        <f t="shared" si="112"/>
        <v>0</v>
      </c>
      <c r="J650" s="435">
        <f t="shared" si="112"/>
        <v>0</v>
      </c>
      <c r="K650" s="435">
        <f t="shared" si="112"/>
        <v>0</v>
      </c>
      <c r="L650" s="435">
        <f t="shared" si="112"/>
        <v>0</v>
      </c>
      <c r="M650" s="435">
        <f t="shared" si="112"/>
        <v>0</v>
      </c>
      <c r="N650" s="435">
        <f t="shared" si="112"/>
        <v>0</v>
      </c>
      <c r="O650" s="435"/>
      <c r="P650" s="435"/>
      <c r="Q650" s="442"/>
      <c r="R650" s="442"/>
      <c r="S650" s="442"/>
      <c r="T650" s="432">
        <f t="shared" si="98"/>
        <v>0</v>
      </c>
    </row>
    <row r="651" spans="1:20" ht="22.2" hidden="1" customHeight="1">
      <c r="A651" s="379"/>
      <c r="B651" s="410" t="s">
        <v>794</v>
      </c>
      <c r="C651" s="411" t="str">
        <f t="shared" si="99"/>
        <v xml:space="preserve"> </v>
      </c>
      <c r="D651" s="439">
        <f>D646</f>
        <v>5.6000000000000005</v>
      </c>
      <c r="E651" s="422" t="str">
        <f>VLOOKUP($B651,[1]DG!A:D,[1]DG!$B$2,)</f>
        <v>05.7001</v>
      </c>
      <c r="F651" s="434" t="str">
        <f>VLOOKUP($B651,[1]DG!A:D,[1]DG!C$2,)</f>
        <v xml:space="preserve">Kéo dây tiếp địa </v>
      </c>
      <c r="G651" s="422" t="str">
        <f>VLOOKUP($B651,[1]DG!A:D,[1]DG!$D$2,)</f>
        <v>mét</v>
      </c>
      <c r="H651" s="435">
        <f t="shared" si="111"/>
        <v>0</v>
      </c>
      <c r="I651" s="435"/>
      <c r="J651" s="435"/>
      <c r="K651" s="435"/>
      <c r="L651" s="435"/>
      <c r="M651" s="435"/>
      <c r="N651" s="435"/>
      <c r="O651" s="435"/>
      <c r="P651" s="435"/>
      <c r="Q651" s="437"/>
      <c r="R651" s="437"/>
      <c r="S651" s="437"/>
      <c r="T651" s="432">
        <f t="shared" si="98"/>
        <v>0</v>
      </c>
    </row>
    <row r="652" spans="1:20" ht="22.2" hidden="1" customHeight="1">
      <c r="A652" s="379"/>
      <c r="B652" s="410" t="s">
        <v>795</v>
      </c>
      <c r="C652" s="411" t="str">
        <f t="shared" si="99"/>
        <v xml:space="preserve"> </v>
      </c>
      <c r="D652" s="440">
        <f>D647</f>
        <v>4</v>
      </c>
      <c r="E652" s="422" t="str">
        <f>VLOOKUP($B652,[1]DG!A:D,[1]DG!$B$2,)</f>
        <v>05.8103</v>
      </c>
      <c r="F652" s="434" t="str">
        <f>VLOOKUP($B652,[1]DG!A:D,[1]DG!C$2,)</f>
        <v>Đóng cọc tiếp địa đất cấp 3</v>
      </c>
      <c r="G652" s="422" t="str">
        <f>VLOOKUP($B652,[1]DG!A:D,[1]DG!$D$2,)</f>
        <v>cọc</v>
      </c>
      <c r="H652" s="435">
        <f t="shared" si="111"/>
        <v>0</v>
      </c>
      <c r="I652" s="435"/>
      <c r="J652" s="435"/>
      <c r="K652" s="435"/>
      <c r="L652" s="435"/>
      <c r="M652" s="435"/>
      <c r="N652" s="435"/>
      <c r="O652" s="435"/>
      <c r="P652" s="435"/>
      <c r="Q652" s="442"/>
      <c r="R652" s="442"/>
      <c r="S652" s="442"/>
      <c r="T652" s="432">
        <f t="shared" si="98"/>
        <v>0</v>
      </c>
    </row>
    <row r="653" spans="1:20" ht="22.2" hidden="1" customHeight="1">
      <c r="A653" s="379"/>
      <c r="B653" s="410" t="s">
        <v>796</v>
      </c>
      <c r="C653" s="411" t="str">
        <f t="shared" si="99"/>
        <v xml:space="preserve"> </v>
      </c>
      <c r="D653" s="433">
        <v>8.0000000000000002E-3</v>
      </c>
      <c r="E653" s="422" t="str">
        <f>VLOOKUP($B653,[1]DG!A:D,[1]DG!$B$2,)</f>
        <v>02.1120</v>
      </c>
      <c r="F653" s="434" t="str">
        <f>VLOOKUP($B653,[1]DG!A:D,[1]DG!C$2,)</f>
        <v>Bốc dỡ phụ kiện</v>
      </c>
      <c r="G653" s="422" t="str">
        <f>VLOOKUP($B653,[1]DG!A:D,[1]DG!$D$2,)</f>
        <v>tấn</v>
      </c>
      <c r="H653" s="435">
        <f t="shared" si="111"/>
        <v>0</v>
      </c>
      <c r="I653" s="435"/>
      <c r="J653" s="435"/>
      <c r="K653" s="435"/>
      <c r="L653" s="435"/>
      <c r="M653" s="435"/>
      <c r="N653" s="435"/>
      <c r="O653" s="435"/>
      <c r="P653" s="435"/>
      <c r="Q653" s="442"/>
      <c r="R653" s="442"/>
      <c r="S653" s="442"/>
      <c r="T653" s="432">
        <f t="shared" si="98"/>
        <v>0</v>
      </c>
    </row>
    <row r="654" spans="1:20" ht="22.2" hidden="1" customHeight="1">
      <c r="A654" s="379"/>
      <c r="B654" s="438" t="s">
        <v>797</v>
      </c>
      <c r="C654" s="411" t="str">
        <f t="shared" si="99"/>
        <v xml:space="preserve"> </v>
      </c>
      <c r="D654" s="433">
        <v>8.0000000000000002E-3</v>
      </c>
      <c r="E654" s="422" t="str">
        <f>VLOOKUP($B654,[1]DG!A:C,2,)</f>
        <v>02.1351</v>
      </c>
      <c r="F654" s="434" t="str">
        <f>VLOOKUP($B654,[1]DG!A:C,3,)</f>
        <v>V/c tiếp địa vào vị trí ( cự ly &lt;=100m)</v>
      </c>
      <c r="G654" s="422" t="str">
        <f>VLOOKUP($B654,[1]DG!A:D,4,0)</f>
        <v>tấn</v>
      </c>
      <c r="H654" s="435">
        <f t="shared" si="111"/>
        <v>0</v>
      </c>
      <c r="I654" s="435"/>
      <c r="J654" s="435"/>
      <c r="K654" s="435"/>
      <c r="L654" s="435"/>
      <c r="M654" s="435"/>
      <c r="N654" s="435"/>
      <c r="O654" s="435"/>
      <c r="P654" s="435"/>
      <c r="Q654" s="437"/>
      <c r="R654" s="437"/>
      <c r="S654" s="437"/>
      <c r="T654" s="432">
        <f t="shared" si="98"/>
        <v>0</v>
      </c>
    </row>
    <row r="655" spans="1:20" ht="22.2" hidden="1" customHeight="1">
      <c r="A655" s="423" t="s">
        <v>819</v>
      </c>
      <c r="B655" s="424" t="s">
        <v>819</v>
      </c>
      <c r="C655" s="425" t="str">
        <f t="shared" si="99"/>
        <v xml:space="preserve"> </v>
      </c>
      <c r="D655" s="464"/>
      <c r="E655" s="427"/>
      <c r="F655" s="428" t="s">
        <v>820</v>
      </c>
      <c r="G655" s="349" t="s">
        <v>67</v>
      </c>
      <c r="H655" s="429">
        <f>SUM(I655:O655)</f>
        <v>0</v>
      </c>
      <c r="I655" s="430"/>
      <c r="J655" s="430"/>
      <c r="K655" s="430">
        <f>IFERROR(HLOOKUP(B655,[1]pp3p1m!$1:$3,3,0),0)</f>
        <v>0</v>
      </c>
      <c r="L655" s="430">
        <f>IFERROR(HLOOKUP(chitiet!B655,[1]pp1p!$1:$3,3,0),0)</f>
        <v>0</v>
      </c>
      <c r="M655" s="430"/>
      <c r="N655" s="430"/>
      <c r="O655" s="430"/>
      <c r="P655" s="430"/>
      <c r="Q655" s="431"/>
      <c r="R655" s="431"/>
      <c r="S655" s="431"/>
      <c r="T655" s="432">
        <f>IFERROR(HLOOKUP(B655,[1]pp1p!$1:$3,3,0),0)+IFERROR(HLOOKUP(B655,[1]pp3p1m!$1:$3,3,0),0)</f>
        <v>0</v>
      </c>
    </row>
    <row r="656" spans="1:20" ht="22.2" hidden="1" customHeight="1">
      <c r="A656" s="379"/>
      <c r="B656" s="410" t="s">
        <v>127</v>
      </c>
      <c r="C656" s="411" t="str">
        <f t="shared" si="99"/>
        <v xml:space="preserve"> </v>
      </c>
      <c r="D656" s="439">
        <f>14*0.224</f>
        <v>3.1360000000000001</v>
      </c>
      <c r="E656" s="422"/>
      <c r="F656" s="441" t="str">
        <f>VLOOKUP($B656,[1]DG!A:D,[1]DG!C$2,)&amp;" (14m)"</f>
        <v>Cáp đồng trần M25mm2 (14m)</v>
      </c>
      <c r="G656" s="422" t="str">
        <f>VLOOKUP($B656,[1]DG!A:D,[1]DG!$D$2,)</f>
        <v>kg</v>
      </c>
      <c r="H656" s="435">
        <f t="shared" ref="H656:N664" si="113">H$655*$D656</f>
        <v>0</v>
      </c>
      <c r="I656" s="435">
        <f t="shared" si="113"/>
        <v>0</v>
      </c>
      <c r="J656" s="435">
        <f t="shared" si="113"/>
        <v>0</v>
      </c>
      <c r="K656" s="435">
        <f t="shared" si="113"/>
        <v>0</v>
      </c>
      <c r="L656" s="435">
        <f t="shared" si="113"/>
        <v>0</v>
      </c>
      <c r="M656" s="435">
        <f t="shared" si="113"/>
        <v>0</v>
      </c>
      <c r="N656" s="435">
        <f t="shared" si="113"/>
        <v>0</v>
      </c>
      <c r="O656" s="435"/>
      <c r="P656" s="435"/>
      <c r="Q656" s="442"/>
      <c r="R656" s="442"/>
      <c r="S656" s="442"/>
      <c r="T656" s="432">
        <f t="shared" si="98"/>
        <v>0</v>
      </c>
    </row>
    <row r="657" spans="1:20" ht="22.2" hidden="1" customHeight="1">
      <c r="A657" s="379"/>
      <c r="B657" s="410" t="s">
        <v>82</v>
      </c>
      <c r="C657" s="411" t="str">
        <f t="shared" si="99"/>
        <v xml:space="preserve"> </v>
      </c>
      <c r="D657" s="440">
        <v>1</v>
      </c>
      <c r="E657" s="422"/>
      <c r="F657" s="441" t="str">
        <f>VLOOKUP($B657,[1]DG!A:D,[1]DG!C$2,)</f>
        <v>Cọc tiếp đất Þ 16- 2,4m + kẹp cọc mạ đồng</v>
      </c>
      <c r="G657" s="422" t="str">
        <f>VLOOKUP($B657,[1]DG!A:D,[1]DG!$D$2,)</f>
        <v>bộ</v>
      </c>
      <c r="H657" s="435">
        <f t="shared" si="113"/>
        <v>0</v>
      </c>
      <c r="I657" s="435">
        <f t="shared" si="113"/>
        <v>0</v>
      </c>
      <c r="J657" s="435">
        <f t="shared" si="113"/>
        <v>0</v>
      </c>
      <c r="K657" s="435">
        <f t="shared" si="113"/>
        <v>0</v>
      </c>
      <c r="L657" s="435">
        <f t="shared" si="113"/>
        <v>0</v>
      </c>
      <c r="M657" s="435">
        <f t="shared" si="113"/>
        <v>0</v>
      </c>
      <c r="N657" s="435">
        <f t="shared" si="113"/>
        <v>0</v>
      </c>
      <c r="O657" s="435"/>
      <c r="P657" s="435"/>
      <c r="Q657" s="442"/>
      <c r="R657" s="442"/>
      <c r="S657" s="442"/>
      <c r="T657" s="432">
        <f t="shared" si="98"/>
        <v>0</v>
      </c>
    </row>
    <row r="658" spans="1:20" ht="22.2" hidden="1" customHeight="1">
      <c r="A658" s="379"/>
      <c r="B658" s="410" t="s">
        <v>809</v>
      </c>
      <c r="C658" s="411" t="str">
        <f t="shared" si="99"/>
        <v xml:space="preserve"> </v>
      </c>
      <c r="D658" s="440">
        <v>2</v>
      </c>
      <c r="E658" s="422"/>
      <c r="F658" s="441" t="str">
        <f>VLOOKUP($B658,[1]DG!A:D,[1]DG!C$2,)</f>
        <v>Kẹp nối đồng-nhôm</v>
      </c>
      <c r="G658" s="422" t="str">
        <f>VLOOKUP($B658,[1]DG!A:D,[1]DG!$D$2,)</f>
        <v>cái</v>
      </c>
      <c r="H658" s="435">
        <f t="shared" si="113"/>
        <v>0</v>
      </c>
      <c r="I658" s="435">
        <f t="shared" si="113"/>
        <v>0</v>
      </c>
      <c r="J658" s="435">
        <f t="shared" si="113"/>
        <v>0</v>
      </c>
      <c r="K658" s="435">
        <f t="shared" si="113"/>
        <v>0</v>
      </c>
      <c r="L658" s="435">
        <f t="shared" si="113"/>
        <v>0</v>
      </c>
      <c r="M658" s="435">
        <f t="shared" si="113"/>
        <v>0</v>
      </c>
      <c r="N658" s="435">
        <f t="shared" si="113"/>
        <v>0</v>
      </c>
      <c r="O658" s="435"/>
      <c r="P658" s="435"/>
      <c r="Q658" s="442"/>
      <c r="R658" s="442"/>
      <c r="S658" s="442"/>
      <c r="T658" s="432">
        <f t="shared" si="98"/>
        <v>0</v>
      </c>
    </row>
    <row r="659" spans="1:20" ht="22.2" hidden="1" customHeight="1">
      <c r="A659" s="379"/>
      <c r="B659" s="410" t="s">
        <v>801</v>
      </c>
      <c r="C659" s="411" t="str">
        <f t="shared" si="99"/>
        <v xml:space="preserve"> </v>
      </c>
      <c r="D659" s="440">
        <v>2</v>
      </c>
      <c r="E659" s="422"/>
      <c r="F659" s="441" t="str">
        <f>VLOOKUP($B659,[1]DG!A:D,[1]DG!C$2,)</f>
        <v>Đầu cosse ép Cu 25mm2</v>
      </c>
      <c r="G659" s="422" t="str">
        <f>VLOOKUP($B659,[1]DG!A:D,[1]DG!$D$2,)</f>
        <v>cái</v>
      </c>
      <c r="H659" s="435">
        <f t="shared" si="113"/>
        <v>0</v>
      </c>
      <c r="I659" s="435">
        <f t="shared" ref="I659:N660" si="114">I$612*$D659</f>
        <v>0</v>
      </c>
      <c r="J659" s="435">
        <f t="shared" si="114"/>
        <v>0</v>
      </c>
      <c r="K659" s="435">
        <f t="shared" si="114"/>
        <v>0</v>
      </c>
      <c r="L659" s="435">
        <f t="shared" si="114"/>
        <v>0</v>
      </c>
      <c r="M659" s="435">
        <f t="shared" si="114"/>
        <v>0</v>
      </c>
      <c r="N659" s="435">
        <f t="shared" si="114"/>
        <v>0</v>
      </c>
      <c r="O659" s="435"/>
      <c r="P659" s="435"/>
      <c r="Q659" s="442"/>
      <c r="R659" s="442"/>
      <c r="S659" s="442"/>
      <c r="T659" s="432">
        <f t="shared" si="98"/>
        <v>0</v>
      </c>
    </row>
    <row r="660" spans="1:20" ht="22.2" hidden="1" customHeight="1">
      <c r="A660" s="379"/>
      <c r="B660" s="410" t="s">
        <v>88</v>
      </c>
      <c r="C660" s="411" t="str">
        <f t="shared" si="99"/>
        <v xml:space="preserve"> </v>
      </c>
      <c r="D660" s="440">
        <v>1</v>
      </c>
      <c r="E660" s="422"/>
      <c r="F660" s="441" t="str">
        <f>VLOOKUP($B660,[1]DG!A:D,[1]DG!C$2,)</f>
        <v>Boulon 12x40+ 2 long đền vuông D14-50x50x3/Zn</v>
      </c>
      <c r="G660" s="422" t="str">
        <f>VLOOKUP($B660,[1]DG!A:D,[1]DG!$D$2,)</f>
        <v>bộ</v>
      </c>
      <c r="H660" s="435">
        <f t="shared" si="113"/>
        <v>0</v>
      </c>
      <c r="I660" s="435">
        <f t="shared" si="114"/>
        <v>0</v>
      </c>
      <c r="J660" s="435">
        <f t="shared" si="114"/>
        <v>0</v>
      </c>
      <c r="K660" s="435">
        <f t="shared" si="114"/>
        <v>0</v>
      </c>
      <c r="L660" s="435">
        <f t="shared" si="114"/>
        <v>0</v>
      </c>
      <c r="M660" s="435">
        <f t="shared" si="114"/>
        <v>0</v>
      </c>
      <c r="N660" s="435">
        <f t="shared" si="114"/>
        <v>0</v>
      </c>
      <c r="O660" s="435"/>
      <c r="P660" s="435"/>
      <c r="Q660" s="442"/>
      <c r="R660" s="442"/>
      <c r="S660" s="442"/>
      <c r="T660" s="432">
        <f t="shared" si="98"/>
        <v>0</v>
      </c>
    </row>
    <row r="661" spans="1:20" ht="22.2" hidden="1" customHeight="1">
      <c r="A661" s="379"/>
      <c r="B661" s="410" t="s">
        <v>794</v>
      </c>
      <c r="C661" s="411" t="str">
        <f t="shared" si="99"/>
        <v xml:space="preserve"> </v>
      </c>
      <c r="D661" s="439">
        <f>D656</f>
        <v>3.1360000000000001</v>
      </c>
      <c r="E661" s="422" t="str">
        <f>VLOOKUP($B661,[1]DG!A:D,[1]DG!$B$2,)</f>
        <v>05.7001</v>
      </c>
      <c r="F661" s="434" t="str">
        <f>VLOOKUP($B661,[1]DG!A:D,[1]DG!C$2,)</f>
        <v xml:space="preserve">Kéo dây tiếp địa </v>
      </c>
      <c r="G661" s="422" t="str">
        <f>VLOOKUP($B661,[1]DG!A:D,[1]DG!$D$2,)</f>
        <v>mét</v>
      </c>
      <c r="H661" s="435">
        <f t="shared" si="113"/>
        <v>0</v>
      </c>
      <c r="I661" s="435"/>
      <c r="J661" s="435"/>
      <c r="K661" s="435"/>
      <c r="L661" s="435"/>
      <c r="M661" s="435"/>
      <c r="N661" s="435"/>
      <c r="O661" s="435"/>
      <c r="P661" s="435"/>
      <c r="Q661" s="437"/>
      <c r="R661" s="437"/>
      <c r="S661" s="437"/>
      <c r="T661" s="432">
        <f t="shared" si="98"/>
        <v>0</v>
      </c>
    </row>
    <row r="662" spans="1:20" ht="22.2" hidden="1" customHeight="1">
      <c r="A662" s="379"/>
      <c r="B662" s="410" t="s">
        <v>795</v>
      </c>
      <c r="C662" s="411" t="str">
        <f t="shared" si="99"/>
        <v xml:space="preserve"> </v>
      </c>
      <c r="D662" s="440">
        <v>1</v>
      </c>
      <c r="E662" s="422" t="str">
        <f>VLOOKUP($B662,[1]DG!A:D,[1]DG!$B$2,)</f>
        <v>05.8103</v>
      </c>
      <c r="F662" s="434" t="str">
        <f>VLOOKUP($B662,[1]DG!A:D,[1]DG!C$2,)</f>
        <v>Đóng cọc tiếp địa đất cấp 3</v>
      </c>
      <c r="G662" s="422" t="str">
        <f>VLOOKUP($B662,[1]DG!A:D,[1]DG!$D$2,)</f>
        <v>cọc</v>
      </c>
      <c r="H662" s="435">
        <f t="shared" si="113"/>
        <v>0</v>
      </c>
      <c r="I662" s="435"/>
      <c r="J662" s="435"/>
      <c r="K662" s="435"/>
      <c r="L662" s="435"/>
      <c r="M662" s="435"/>
      <c r="N662" s="435"/>
      <c r="O662" s="435"/>
      <c r="P662" s="435"/>
      <c r="Q662" s="442"/>
      <c r="R662" s="442"/>
      <c r="S662" s="442"/>
      <c r="T662" s="432">
        <f t="shared" si="98"/>
        <v>0</v>
      </c>
    </row>
    <row r="663" spans="1:20" ht="22.2" hidden="1" customHeight="1">
      <c r="A663" s="379"/>
      <c r="B663" s="410" t="s">
        <v>796</v>
      </c>
      <c r="C663" s="411" t="str">
        <f t="shared" si="99"/>
        <v xml:space="preserve"> </v>
      </c>
      <c r="D663" s="433"/>
      <c r="E663" s="422" t="str">
        <f>VLOOKUP($B663,[1]DG!A:D,[1]DG!$B$2,)</f>
        <v>02.1120</v>
      </c>
      <c r="F663" s="434" t="str">
        <f>VLOOKUP($B663,[1]DG!A:D,[1]DG!C$2,)</f>
        <v>Bốc dỡ phụ kiện</v>
      </c>
      <c r="G663" s="422" t="str">
        <f>VLOOKUP($B663,[1]DG!A:D,[1]DG!$D$2,)</f>
        <v>tấn</v>
      </c>
      <c r="H663" s="435">
        <f t="shared" si="113"/>
        <v>0</v>
      </c>
      <c r="I663" s="435"/>
      <c r="J663" s="435"/>
      <c r="K663" s="435"/>
      <c r="L663" s="435"/>
      <c r="M663" s="435"/>
      <c r="N663" s="435"/>
      <c r="O663" s="435"/>
      <c r="P663" s="435"/>
      <c r="Q663" s="442"/>
      <c r="R663" s="442"/>
      <c r="S663" s="442"/>
      <c r="T663" s="432">
        <f t="shared" si="98"/>
        <v>0</v>
      </c>
    </row>
    <row r="664" spans="1:20" ht="22.2" hidden="1" customHeight="1">
      <c r="A664" s="379"/>
      <c r="B664" s="438" t="s">
        <v>797</v>
      </c>
      <c r="C664" s="411" t="str">
        <f t="shared" si="99"/>
        <v xml:space="preserve"> </v>
      </c>
      <c r="D664" s="433"/>
      <c r="E664" s="422" t="str">
        <f>VLOOKUP($B664,[1]DG!A:C,2,)</f>
        <v>02.1351</v>
      </c>
      <c r="F664" s="434" t="str">
        <f>VLOOKUP($B664,[1]DG!A:C,3,)</f>
        <v>V/c tiếp địa vào vị trí ( cự ly &lt;=100m)</v>
      </c>
      <c r="G664" s="422" t="str">
        <f>VLOOKUP($B664,[1]DG!A:D,4,0)</f>
        <v>tấn</v>
      </c>
      <c r="H664" s="435">
        <f t="shared" si="113"/>
        <v>0</v>
      </c>
      <c r="I664" s="435"/>
      <c r="J664" s="435"/>
      <c r="K664" s="435"/>
      <c r="L664" s="435"/>
      <c r="M664" s="435"/>
      <c r="N664" s="435"/>
      <c r="O664" s="435"/>
      <c r="P664" s="435"/>
      <c r="Q664" s="437"/>
      <c r="R664" s="437"/>
      <c r="S664" s="437"/>
      <c r="T664" s="432">
        <f t="shared" si="98"/>
        <v>0</v>
      </c>
    </row>
    <row r="665" spans="1:20" ht="22.2" hidden="1" customHeight="1">
      <c r="A665" s="423" t="s">
        <v>821</v>
      </c>
      <c r="B665" s="424" t="s">
        <v>821</v>
      </c>
      <c r="C665" s="425" t="str">
        <f t="shared" si="99"/>
        <v xml:space="preserve"> </v>
      </c>
      <c r="D665" s="464"/>
      <c r="E665" s="427"/>
      <c r="F665" s="428" t="s">
        <v>822</v>
      </c>
      <c r="G665" s="349" t="s">
        <v>67</v>
      </c>
      <c r="H665" s="429">
        <f>SUM(I665:O665)</f>
        <v>0</v>
      </c>
      <c r="I665" s="430"/>
      <c r="J665" s="430"/>
      <c r="K665" s="430">
        <f>IFERROR(HLOOKUP(B665,[1]pp3p1m!$1:$3,3,0),0)</f>
        <v>0</v>
      </c>
      <c r="L665" s="430">
        <f>IFERROR(HLOOKUP(chitiet!B665,[1]pp1p!$1:$3,3,0),0)</f>
        <v>0</v>
      </c>
      <c r="M665" s="430"/>
      <c r="N665" s="430"/>
      <c r="O665" s="430"/>
      <c r="P665" s="430"/>
      <c r="Q665" s="431"/>
      <c r="R665" s="431"/>
      <c r="S665" s="431"/>
      <c r="T665" s="432">
        <f>IFERROR(HLOOKUP(B665,[1]pp1p!$1:$3,3,0),0)+IFERROR(HLOOKUP(B665,[1]pp3p1m!$1:$3,3,0),0)</f>
        <v>0</v>
      </c>
    </row>
    <row r="666" spans="1:20" ht="22.2" hidden="1" customHeight="1">
      <c r="A666" s="379"/>
      <c r="B666" s="410" t="s">
        <v>127</v>
      </c>
      <c r="C666" s="411" t="str">
        <f t="shared" si="99"/>
        <v xml:space="preserve"> </v>
      </c>
      <c r="D666" s="439">
        <f>22*0.224</f>
        <v>4.9279999999999999</v>
      </c>
      <c r="E666" s="422"/>
      <c r="F666" s="441" t="str">
        <f>VLOOKUP($B666,[1]DG!A:D,[1]DG!C$2,)&amp;" (22m)"</f>
        <v>Cáp đồng trần M25mm2 (22m)</v>
      </c>
      <c r="G666" s="422" t="str">
        <f>VLOOKUP($B666,[1]DG!A:D,[1]DG!$D$2,)</f>
        <v>kg</v>
      </c>
      <c r="H666" s="435">
        <f t="shared" ref="H666:N668" si="115">H$665*$D666</f>
        <v>0</v>
      </c>
      <c r="I666" s="435">
        <f t="shared" si="115"/>
        <v>0</v>
      </c>
      <c r="J666" s="435">
        <f t="shared" si="115"/>
        <v>0</v>
      </c>
      <c r="K666" s="435">
        <f t="shared" si="115"/>
        <v>0</v>
      </c>
      <c r="L666" s="435">
        <f t="shared" si="115"/>
        <v>0</v>
      </c>
      <c r="M666" s="435">
        <f t="shared" si="115"/>
        <v>0</v>
      </c>
      <c r="N666" s="435">
        <f t="shared" si="115"/>
        <v>0</v>
      </c>
      <c r="O666" s="435"/>
      <c r="P666" s="435"/>
      <c r="Q666" s="442"/>
      <c r="R666" s="442"/>
      <c r="S666" s="442"/>
      <c r="T666" s="432">
        <f t="shared" si="98"/>
        <v>0</v>
      </c>
    </row>
    <row r="667" spans="1:20" ht="22.2" hidden="1" customHeight="1">
      <c r="A667" s="379"/>
      <c r="B667" s="410" t="s">
        <v>82</v>
      </c>
      <c r="C667" s="411" t="str">
        <f t="shared" si="99"/>
        <v xml:space="preserve"> </v>
      </c>
      <c r="D667" s="440">
        <v>1</v>
      </c>
      <c r="E667" s="422"/>
      <c r="F667" s="441" t="str">
        <f>VLOOKUP($B667,[1]DG!A:D,[1]DG!C$2,)</f>
        <v>Cọc tiếp đất Þ 16- 2,4m + kẹp cọc mạ đồng</v>
      </c>
      <c r="G667" s="422" t="str">
        <f>VLOOKUP($B667,[1]DG!A:D,[1]DG!$D$2,)</f>
        <v>bộ</v>
      </c>
      <c r="H667" s="435">
        <f t="shared" si="115"/>
        <v>0</v>
      </c>
      <c r="I667" s="435">
        <f t="shared" si="115"/>
        <v>0</v>
      </c>
      <c r="J667" s="435">
        <f t="shared" si="115"/>
        <v>0</v>
      </c>
      <c r="K667" s="435">
        <f t="shared" si="115"/>
        <v>0</v>
      </c>
      <c r="L667" s="435">
        <f t="shared" si="115"/>
        <v>0</v>
      </c>
      <c r="M667" s="435">
        <f t="shared" si="115"/>
        <v>0</v>
      </c>
      <c r="N667" s="435">
        <f t="shared" si="115"/>
        <v>0</v>
      </c>
      <c r="O667" s="435"/>
      <c r="P667" s="435"/>
      <c r="Q667" s="442"/>
      <c r="R667" s="442"/>
      <c r="S667" s="442"/>
      <c r="T667" s="432">
        <f t="shared" si="98"/>
        <v>0</v>
      </c>
    </row>
    <row r="668" spans="1:20" ht="22.2" hidden="1" customHeight="1">
      <c r="A668" s="379"/>
      <c r="B668" s="410" t="s">
        <v>809</v>
      </c>
      <c r="C668" s="411" t="str">
        <f t="shared" si="99"/>
        <v xml:space="preserve"> </v>
      </c>
      <c r="D668" s="440">
        <v>2</v>
      </c>
      <c r="E668" s="422"/>
      <c r="F668" s="441" t="str">
        <f>VLOOKUP($B668,[1]DG!A:D,[1]DG!C$2,)</f>
        <v>Kẹp nối đồng-nhôm</v>
      </c>
      <c r="G668" s="422" t="str">
        <f>VLOOKUP($B668,[1]DG!A:D,[1]DG!$D$2,)</f>
        <v>cái</v>
      </c>
      <c r="H668" s="435">
        <f t="shared" si="115"/>
        <v>0</v>
      </c>
      <c r="I668" s="435">
        <f t="shared" si="115"/>
        <v>0</v>
      </c>
      <c r="J668" s="435">
        <f t="shared" si="115"/>
        <v>0</v>
      </c>
      <c r="K668" s="435">
        <f t="shared" si="115"/>
        <v>0</v>
      </c>
      <c r="L668" s="435">
        <f t="shared" si="115"/>
        <v>0</v>
      </c>
      <c r="M668" s="435">
        <f t="shared" si="115"/>
        <v>0</v>
      </c>
      <c r="N668" s="435">
        <f t="shared" si="115"/>
        <v>0</v>
      </c>
      <c r="O668" s="435"/>
      <c r="P668" s="435"/>
      <c r="Q668" s="442"/>
      <c r="R668" s="442"/>
      <c r="S668" s="442"/>
      <c r="T668" s="432">
        <f t="shared" si="98"/>
        <v>0</v>
      </c>
    </row>
    <row r="669" spans="1:20" ht="22.2" hidden="1" customHeight="1">
      <c r="A669" s="379"/>
      <c r="B669" s="410" t="s">
        <v>794</v>
      </c>
      <c r="C669" s="411" t="str">
        <f t="shared" si="99"/>
        <v xml:space="preserve"> </v>
      </c>
      <c r="D669" s="439">
        <f>D666</f>
        <v>4.9279999999999999</v>
      </c>
      <c r="E669" s="422" t="str">
        <f>VLOOKUP($B669,[1]DG!A:D,[1]DG!$B$2,)</f>
        <v>05.7001</v>
      </c>
      <c r="F669" s="434" t="str">
        <f>VLOOKUP($B669,[1]DG!A:D,[1]DG!C$2,)</f>
        <v xml:space="preserve">Kéo dây tiếp địa </v>
      </c>
      <c r="G669" s="422" t="str">
        <f>VLOOKUP($B669,[1]DG!A:D,[1]DG!$D$2,)</f>
        <v>mét</v>
      </c>
      <c r="H669" s="435"/>
      <c r="I669" s="435"/>
      <c r="J669" s="435"/>
      <c r="K669" s="435"/>
      <c r="L669" s="435"/>
      <c r="M669" s="435"/>
      <c r="N669" s="435"/>
      <c r="O669" s="435"/>
      <c r="P669" s="435"/>
      <c r="Q669" s="437"/>
      <c r="R669" s="437"/>
      <c r="S669" s="437"/>
      <c r="T669" s="432">
        <f t="shared" ref="T669:T732" si="116">IFERROR(HLOOKUP(B669,BangKeTru,3,0),0)</f>
        <v>0</v>
      </c>
    </row>
    <row r="670" spans="1:20" ht="22.2" hidden="1" customHeight="1">
      <c r="A670" s="379"/>
      <c r="B670" s="410" t="s">
        <v>795</v>
      </c>
      <c r="C670" s="411" t="str">
        <f t="shared" ref="C670:C733" si="117">IF(OR(P670&lt;&gt;0,H670&lt;&gt;0),"x"," ")</f>
        <v xml:space="preserve"> </v>
      </c>
      <c r="D670" s="440">
        <v>1</v>
      </c>
      <c r="E670" s="422" t="str">
        <f>VLOOKUP($B670,[1]DG!A:D,[1]DG!$B$2,)</f>
        <v>05.8103</v>
      </c>
      <c r="F670" s="434" t="str">
        <f>VLOOKUP($B670,[1]DG!A:D,[1]DG!C$2,)</f>
        <v>Đóng cọc tiếp địa đất cấp 3</v>
      </c>
      <c r="G670" s="422" t="str">
        <f>VLOOKUP($B670,[1]DG!A:D,[1]DG!$D$2,)</f>
        <v>cọc</v>
      </c>
      <c r="H670" s="435"/>
      <c r="I670" s="435"/>
      <c r="J670" s="435"/>
      <c r="K670" s="435"/>
      <c r="L670" s="435"/>
      <c r="M670" s="435"/>
      <c r="N670" s="435"/>
      <c r="O670" s="435"/>
      <c r="P670" s="435"/>
      <c r="Q670" s="442"/>
      <c r="R670" s="442"/>
      <c r="S670" s="442"/>
      <c r="T670" s="432">
        <f t="shared" si="116"/>
        <v>0</v>
      </c>
    </row>
    <row r="671" spans="1:20" ht="22.2" hidden="1" customHeight="1">
      <c r="A671" s="379"/>
      <c r="B671" s="410" t="s">
        <v>796</v>
      </c>
      <c r="C671" s="411" t="str">
        <f t="shared" si="117"/>
        <v xml:space="preserve"> </v>
      </c>
      <c r="D671" s="433">
        <v>8.0000000000000002E-3</v>
      </c>
      <c r="E671" s="422" t="str">
        <f>VLOOKUP($B671,[1]DG!A:D,[1]DG!$B$2,)</f>
        <v>02.1120</v>
      </c>
      <c r="F671" s="434" t="str">
        <f>VLOOKUP($B671,[1]DG!A:D,[1]DG!C$2,)</f>
        <v>Bốc dỡ phụ kiện</v>
      </c>
      <c r="G671" s="422" t="str">
        <f>VLOOKUP($B671,[1]DG!A:D,[1]DG!$D$2,)</f>
        <v>tấn</v>
      </c>
      <c r="H671" s="435"/>
      <c r="I671" s="435"/>
      <c r="J671" s="435"/>
      <c r="K671" s="435"/>
      <c r="L671" s="435"/>
      <c r="M671" s="435"/>
      <c r="N671" s="435"/>
      <c r="O671" s="435"/>
      <c r="P671" s="435"/>
      <c r="Q671" s="442"/>
      <c r="R671" s="442"/>
      <c r="S671" s="442"/>
      <c r="T671" s="432">
        <f t="shared" si="116"/>
        <v>0</v>
      </c>
    </row>
    <row r="672" spans="1:20" ht="22.2" hidden="1" customHeight="1">
      <c r="A672" s="379"/>
      <c r="B672" s="438" t="s">
        <v>797</v>
      </c>
      <c r="C672" s="411" t="str">
        <f t="shared" si="117"/>
        <v xml:space="preserve"> </v>
      </c>
      <c r="D672" s="433">
        <v>8.0000000000000002E-3</v>
      </c>
      <c r="E672" s="422" t="str">
        <f>VLOOKUP($B672,[1]DG!A:C,2,)</f>
        <v>02.1351</v>
      </c>
      <c r="F672" s="434" t="str">
        <f>VLOOKUP($B672,[1]DG!A:C,3,)</f>
        <v>V/c tiếp địa vào vị trí ( cự ly &lt;=100m)</v>
      </c>
      <c r="G672" s="422" t="str">
        <f>VLOOKUP($B672,[1]DG!A:D,4,0)</f>
        <v>tấn</v>
      </c>
      <c r="H672" s="435"/>
      <c r="I672" s="435"/>
      <c r="J672" s="435"/>
      <c r="K672" s="435"/>
      <c r="L672" s="435"/>
      <c r="M672" s="435"/>
      <c r="N672" s="435"/>
      <c r="O672" s="435"/>
      <c r="P672" s="435"/>
      <c r="Q672" s="437"/>
      <c r="R672" s="437"/>
      <c r="S672" s="437"/>
      <c r="T672" s="432">
        <f t="shared" si="116"/>
        <v>0</v>
      </c>
    </row>
    <row r="673" spans="1:20" ht="22.2" hidden="1" customHeight="1">
      <c r="A673" s="423" t="s">
        <v>823</v>
      </c>
      <c r="B673" s="424" t="s">
        <v>823</v>
      </c>
      <c r="C673" s="425" t="str">
        <f t="shared" si="117"/>
        <v xml:space="preserve"> </v>
      </c>
      <c r="D673" s="464"/>
      <c r="E673" s="427"/>
      <c r="F673" s="428" t="s">
        <v>824</v>
      </c>
      <c r="G673" s="349" t="s">
        <v>67</v>
      </c>
      <c r="H673" s="429">
        <f>SUM(I673:O673)</f>
        <v>0</v>
      </c>
      <c r="I673" s="430"/>
      <c r="J673" s="430"/>
      <c r="K673" s="430">
        <f>IFERROR(HLOOKUP(B673,[1]pp3p1m!$1:$3,3,0),0)</f>
        <v>0</v>
      </c>
      <c r="L673" s="430">
        <f>IFERROR(HLOOKUP(chitiet!B673,[1]pp1p!$1:$3,3,0),0)</f>
        <v>0</v>
      </c>
      <c r="M673" s="430"/>
      <c r="N673" s="430"/>
      <c r="O673" s="430"/>
      <c r="P673" s="430"/>
      <c r="Q673" s="431"/>
      <c r="R673" s="431"/>
      <c r="S673" s="431"/>
      <c r="T673" s="432">
        <f>IFERROR(HLOOKUP(B673,[1]pp1p!$1:$3,3,0),0)+IFERROR(HLOOKUP(B673,[1]pp3p1m!$1:$3,3,0),0)</f>
        <v>0</v>
      </c>
    </row>
    <row r="674" spans="1:20" ht="22.2" hidden="1" customHeight="1">
      <c r="A674" s="379"/>
      <c r="B674" s="410" t="s">
        <v>81</v>
      </c>
      <c r="C674" s="411" t="str">
        <f t="shared" si="117"/>
        <v xml:space="preserve"> </v>
      </c>
      <c r="D674" s="439">
        <f>6*0.224</f>
        <v>1.3440000000000001</v>
      </c>
      <c r="E674" s="422"/>
      <c r="F674" s="441" t="str">
        <f>VLOOKUP($B674,[1]DG!A:D,[1]DG!C$2,)&amp;" (6m)"</f>
        <v>Cáp đồng trần M25mm2 (6m)</v>
      </c>
      <c r="G674" s="422" t="str">
        <f>VLOOKUP($B674,[1]DG!A:D,[1]DG!$D$2,)</f>
        <v>kg</v>
      </c>
      <c r="H674" s="435">
        <f t="shared" ref="H674:N679" si="118">H$665*$D674</f>
        <v>0</v>
      </c>
      <c r="I674" s="435">
        <f t="shared" si="118"/>
        <v>0</v>
      </c>
      <c r="J674" s="435">
        <f t="shared" si="118"/>
        <v>0</v>
      </c>
      <c r="K674" s="435">
        <f t="shared" si="118"/>
        <v>0</v>
      </c>
      <c r="L674" s="435">
        <f t="shared" si="118"/>
        <v>0</v>
      </c>
      <c r="M674" s="435">
        <f t="shared" si="118"/>
        <v>0</v>
      </c>
      <c r="N674" s="435">
        <f t="shared" si="118"/>
        <v>0</v>
      </c>
      <c r="O674" s="435"/>
      <c r="P674" s="435"/>
      <c r="Q674" s="442"/>
      <c r="R674" s="442"/>
      <c r="S674" s="442"/>
      <c r="T674" s="432">
        <f t="shared" si="116"/>
        <v>0</v>
      </c>
    </row>
    <row r="675" spans="1:20" ht="22.2" hidden="1" customHeight="1">
      <c r="A675" s="379"/>
      <c r="B675" s="410" t="s">
        <v>244</v>
      </c>
      <c r="C675" s="411" t="str">
        <f t="shared" si="117"/>
        <v xml:space="preserve"> </v>
      </c>
      <c r="D675" s="439">
        <f>0.3*1*0.3</f>
        <v>0.09</v>
      </c>
      <c r="E675" s="422"/>
      <c r="F675" s="434" t="str">
        <f>VLOOKUP($B675,[1]DG!A:D,[1]DG!C$2,)&amp;": 0,3x0,3x1"</f>
        <v>Đào rãnh tiếp địa đất cấp 3: 0,3x0,3x1</v>
      </c>
      <c r="G675" s="422" t="str">
        <f>VLOOKUP($B675,[1]DG!A:D,[1]DG!$D$2,)</f>
        <v>m3</v>
      </c>
      <c r="H675" s="435">
        <f t="shared" si="118"/>
        <v>0</v>
      </c>
      <c r="I675" s="435">
        <f t="shared" si="118"/>
        <v>0</v>
      </c>
      <c r="J675" s="435">
        <f t="shared" si="118"/>
        <v>0</v>
      </c>
      <c r="K675" s="435">
        <f t="shared" si="118"/>
        <v>0</v>
      </c>
      <c r="L675" s="435">
        <f t="shared" si="118"/>
        <v>0</v>
      </c>
      <c r="M675" s="435">
        <f t="shared" si="118"/>
        <v>0</v>
      </c>
      <c r="N675" s="435">
        <f t="shared" si="118"/>
        <v>0</v>
      </c>
      <c r="O675" s="435"/>
      <c r="P675" s="435"/>
      <c r="Q675" s="442"/>
      <c r="R675" s="442"/>
      <c r="S675" s="442"/>
      <c r="T675" s="432">
        <f t="shared" si="116"/>
        <v>0</v>
      </c>
    </row>
    <row r="676" spans="1:20" ht="22.2" hidden="1" customHeight="1">
      <c r="A676" s="379"/>
      <c r="B676" s="410" t="s">
        <v>245</v>
      </c>
      <c r="C676" s="411" t="str">
        <f t="shared" si="117"/>
        <v xml:space="preserve"> </v>
      </c>
      <c r="D676" s="439">
        <f>D675</f>
        <v>0.09</v>
      </c>
      <c r="E676" s="422"/>
      <c r="F676" s="434" t="str">
        <f>VLOOKUP($B676,[1]DG!A:D,[1]DG!C$2,)&amp;": 0,3x0,3x1"</f>
        <v>Đắp đất rãnh tiếp độ chặt k=0,85: 0,3x0,3x1</v>
      </c>
      <c r="G676" s="422" t="str">
        <f>VLOOKUP($B676,[1]DG!A:D,[1]DG!$D$2,)</f>
        <v>m3</v>
      </c>
      <c r="H676" s="435">
        <f t="shared" si="118"/>
        <v>0</v>
      </c>
      <c r="I676" s="435">
        <f t="shared" si="118"/>
        <v>0</v>
      </c>
      <c r="J676" s="435">
        <f t="shared" si="118"/>
        <v>0</v>
      </c>
      <c r="K676" s="435">
        <f t="shared" si="118"/>
        <v>0</v>
      </c>
      <c r="L676" s="435">
        <f t="shared" si="118"/>
        <v>0</v>
      </c>
      <c r="M676" s="435">
        <f t="shared" si="118"/>
        <v>0</v>
      </c>
      <c r="N676" s="435">
        <f t="shared" si="118"/>
        <v>0</v>
      </c>
      <c r="O676" s="435"/>
      <c r="P676" s="435"/>
      <c r="Q676" s="442"/>
      <c r="R676" s="442"/>
      <c r="S676" s="442"/>
      <c r="T676" s="432">
        <f t="shared" si="116"/>
        <v>0</v>
      </c>
    </row>
    <row r="677" spans="1:20" ht="22.2" hidden="1" customHeight="1">
      <c r="A677" s="379"/>
      <c r="B677" s="410" t="s">
        <v>198</v>
      </c>
      <c r="C677" s="411" t="str">
        <f t="shared" si="117"/>
        <v xml:space="preserve"> </v>
      </c>
      <c r="D677" s="440">
        <v>1</v>
      </c>
      <c r="E677" s="422"/>
      <c r="F677" s="441" t="str">
        <f>VLOOKUP($B677,[1]DG!A:D,[1]DG!C$2,)</f>
        <v>Đầu cosse ép Cu 25mm2</v>
      </c>
      <c r="G677" s="422" t="str">
        <f>VLOOKUP($B677,[1]DG!A:D,[1]DG!$D$2,)</f>
        <v>cái</v>
      </c>
      <c r="H677" s="435">
        <f t="shared" si="118"/>
        <v>0</v>
      </c>
      <c r="I677" s="435">
        <f t="shared" si="118"/>
        <v>0</v>
      </c>
      <c r="J677" s="435">
        <f t="shared" si="118"/>
        <v>0</v>
      </c>
      <c r="K677" s="435">
        <f t="shared" si="118"/>
        <v>0</v>
      </c>
      <c r="L677" s="435">
        <f t="shared" si="118"/>
        <v>0</v>
      </c>
      <c r="M677" s="435">
        <f t="shared" si="118"/>
        <v>0</v>
      </c>
      <c r="N677" s="435">
        <f t="shared" si="118"/>
        <v>0</v>
      </c>
      <c r="O677" s="435"/>
      <c r="P677" s="435"/>
      <c r="Q677" s="442"/>
      <c r="R677" s="442"/>
      <c r="S677" s="442"/>
      <c r="T677" s="432">
        <f t="shared" si="116"/>
        <v>0</v>
      </c>
    </row>
    <row r="678" spans="1:20" ht="22.2" hidden="1" customHeight="1">
      <c r="A678" s="379"/>
      <c r="B678" s="410" t="s">
        <v>131</v>
      </c>
      <c r="C678" s="411" t="str">
        <f t="shared" si="117"/>
        <v xml:space="preserve"> </v>
      </c>
      <c r="D678" s="440">
        <v>1</v>
      </c>
      <c r="E678" s="422"/>
      <c r="F678" s="441" t="str">
        <f>VLOOKUP($B678,[1]DG!A:D,[1]DG!C$2,)</f>
        <v>Boulon 12x40+ 2 long đền vuông D14-50x50x3/Zn</v>
      </c>
      <c r="G678" s="422" t="str">
        <f>VLOOKUP($B678,[1]DG!A:D,[1]DG!$D$2,)</f>
        <v>bộ</v>
      </c>
      <c r="H678" s="435">
        <f t="shared" si="118"/>
        <v>0</v>
      </c>
      <c r="I678" s="435">
        <f t="shared" si="118"/>
        <v>0</v>
      </c>
      <c r="J678" s="435">
        <f t="shared" si="118"/>
        <v>0</v>
      </c>
      <c r="K678" s="435">
        <f t="shared" si="118"/>
        <v>0</v>
      </c>
      <c r="L678" s="435">
        <f t="shared" si="118"/>
        <v>0</v>
      </c>
      <c r="M678" s="435">
        <f t="shared" si="118"/>
        <v>0</v>
      </c>
      <c r="N678" s="435">
        <f t="shared" si="118"/>
        <v>0</v>
      </c>
      <c r="O678" s="435"/>
      <c r="P678" s="435"/>
      <c r="Q678" s="442"/>
      <c r="R678" s="442"/>
      <c r="S678" s="442"/>
      <c r="T678" s="432">
        <f t="shared" si="116"/>
        <v>0</v>
      </c>
    </row>
    <row r="679" spans="1:20" ht="22.2" hidden="1" customHeight="1">
      <c r="A679" s="379"/>
      <c r="B679" s="410" t="s">
        <v>182</v>
      </c>
      <c r="C679" s="411" t="str">
        <f t="shared" si="117"/>
        <v xml:space="preserve"> </v>
      </c>
      <c r="D679" s="440">
        <v>3</v>
      </c>
      <c r="E679" s="422"/>
      <c r="F679" s="441" t="str">
        <f>VLOOKUP($B679,[1]DG!A:D,[1]DG!C$2,)</f>
        <v xml:space="preserve">Ống PVC D21x1,6mm </v>
      </c>
      <c r="G679" s="422" t="str">
        <f>VLOOKUP($B679,[1]DG!A:D,[1]DG!$D$2,)</f>
        <v>m</v>
      </c>
      <c r="H679" s="435">
        <f t="shared" si="118"/>
        <v>0</v>
      </c>
      <c r="I679" s="435">
        <f t="shared" si="118"/>
        <v>0</v>
      </c>
      <c r="J679" s="435">
        <f t="shared" si="118"/>
        <v>0</v>
      </c>
      <c r="K679" s="435">
        <f t="shared" si="118"/>
        <v>0</v>
      </c>
      <c r="L679" s="435">
        <f t="shared" si="118"/>
        <v>0</v>
      </c>
      <c r="M679" s="435">
        <f t="shared" si="118"/>
        <v>0</v>
      </c>
      <c r="N679" s="435">
        <f t="shared" si="118"/>
        <v>0</v>
      </c>
      <c r="O679" s="435"/>
      <c r="P679" s="435"/>
      <c r="Q679" s="442"/>
      <c r="R679" s="442"/>
      <c r="S679" s="442"/>
      <c r="T679" s="432">
        <f t="shared" si="116"/>
        <v>0</v>
      </c>
    </row>
    <row r="680" spans="1:20" ht="22.2" hidden="1" customHeight="1">
      <c r="A680" s="379"/>
      <c r="B680" s="410" t="s">
        <v>794</v>
      </c>
      <c r="C680" s="411" t="str">
        <f t="shared" si="117"/>
        <v xml:space="preserve"> </v>
      </c>
      <c r="D680" s="440">
        <v>1</v>
      </c>
      <c r="E680" s="422" t="str">
        <f>VLOOKUP($B680,[1]DG!A:D,[1]DG!$B$2,)</f>
        <v>05.7001</v>
      </c>
      <c r="F680" s="434" t="str">
        <f>VLOOKUP($B680,[1]DG!A:D,[1]DG!C$2,)</f>
        <v xml:space="preserve">Kéo dây tiếp địa </v>
      </c>
      <c r="G680" s="422" t="str">
        <f>VLOOKUP($B680,[1]DG!A:D,[1]DG!$D$2,)</f>
        <v>mét</v>
      </c>
      <c r="H680" s="435"/>
      <c r="I680" s="435"/>
      <c r="J680" s="435"/>
      <c r="K680" s="435"/>
      <c r="L680" s="435"/>
      <c r="M680" s="435"/>
      <c r="N680" s="435"/>
      <c r="O680" s="435"/>
      <c r="P680" s="435"/>
      <c r="Q680" s="437"/>
      <c r="R680" s="437"/>
      <c r="S680" s="437"/>
      <c r="T680" s="432">
        <f t="shared" si="116"/>
        <v>0</v>
      </c>
    </row>
    <row r="681" spans="1:20" ht="22.2" hidden="1" customHeight="1">
      <c r="A681" s="379"/>
      <c r="B681" s="410" t="s">
        <v>185</v>
      </c>
      <c r="C681" s="411" t="str">
        <f t="shared" si="117"/>
        <v xml:space="preserve"> </v>
      </c>
      <c r="D681" s="440">
        <v>1</v>
      </c>
      <c r="E681" s="422">
        <f>VLOOKUP($B681,[1]DG!A:D,[1]DG!$B$2,)</f>
        <v>0</v>
      </c>
      <c r="F681" s="441" t="str">
        <f>VLOOKUP($B681,[1]DG!A:D,[1]DG!C$2,)</f>
        <v>Kẹp ép cỡ dây 25mm2</v>
      </c>
      <c r="G681" s="422" t="str">
        <f>VLOOKUP($B681,[1]DG!A:D,[1]DG!$D$2,)</f>
        <v>cái</v>
      </c>
      <c r="H681" s="435"/>
      <c r="I681" s="435"/>
      <c r="J681" s="435"/>
      <c r="K681" s="435"/>
      <c r="L681" s="435"/>
      <c r="M681" s="435"/>
      <c r="N681" s="435"/>
      <c r="O681" s="435"/>
      <c r="P681" s="435"/>
      <c r="Q681" s="442"/>
      <c r="R681" s="442"/>
      <c r="S681" s="442"/>
      <c r="T681" s="432">
        <f t="shared" si="116"/>
        <v>0</v>
      </c>
    </row>
    <row r="682" spans="1:20" ht="22.2" hidden="1" customHeight="1">
      <c r="A682" s="423" t="s">
        <v>825</v>
      </c>
      <c r="B682" s="424" t="s">
        <v>825</v>
      </c>
      <c r="C682" s="425" t="str">
        <f t="shared" si="117"/>
        <v xml:space="preserve"> </v>
      </c>
      <c r="D682" s="464"/>
      <c r="E682" s="427"/>
      <c r="F682" s="428" t="s">
        <v>826</v>
      </c>
      <c r="G682" s="349" t="s">
        <v>67</v>
      </c>
      <c r="H682" s="429">
        <f>SUM(I682:O682)</f>
        <v>0</v>
      </c>
      <c r="I682" s="430"/>
      <c r="J682" s="430"/>
      <c r="K682" s="430">
        <f>IFERROR(HLOOKUP(B682,[1]pp3p1m!$1:$3,3,0),0)</f>
        <v>0</v>
      </c>
      <c r="L682" s="430">
        <f>IFERROR(HLOOKUP(chitiet!B682,[1]pp1p!$1:$3,3,0),0)</f>
        <v>0</v>
      </c>
      <c r="M682" s="430"/>
      <c r="N682" s="430"/>
      <c r="O682" s="430"/>
      <c r="P682" s="430"/>
      <c r="Q682" s="431"/>
      <c r="R682" s="431"/>
      <c r="S682" s="431"/>
      <c r="T682" s="432">
        <f>IFERROR(HLOOKUP(B682,[1]pp1p!$1:$3,3,0),0)+IFERROR(HLOOKUP(B682,[1]pp3p1m!$1:$3,3,0),0)</f>
        <v>0</v>
      </c>
    </row>
    <row r="683" spans="1:20" ht="22.2" hidden="1" customHeight="1">
      <c r="A683" s="379"/>
      <c r="B683" s="410" t="s">
        <v>127</v>
      </c>
      <c r="C683" s="411" t="str">
        <f t="shared" si="117"/>
        <v xml:space="preserve"> </v>
      </c>
      <c r="D683" s="439">
        <f>53*0.224</f>
        <v>11.872</v>
      </c>
      <c r="E683" s="422"/>
      <c r="F683" s="441" t="str">
        <f>VLOOKUP($B683,[1]DG!A:D,[1]DG!C$2,)&amp;" (53m)"</f>
        <v>Cáp đồng trần M25mm2 (53m)</v>
      </c>
      <c r="G683" s="422" t="str">
        <f>VLOOKUP($B683,[1]DG!A:D,[1]DG!$D$2,)</f>
        <v>kg</v>
      </c>
      <c r="H683" s="435">
        <f t="shared" ref="H683:N690" si="119">H$665*$D683</f>
        <v>0</v>
      </c>
      <c r="I683" s="435">
        <f t="shared" si="119"/>
        <v>0</v>
      </c>
      <c r="J683" s="435">
        <f t="shared" si="119"/>
        <v>0</v>
      </c>
      <c r="K683" s="435">
        <f t="shared" si="119"/>
        <v>0</v>
      </c>
      <c r="L683" s="435">
        <f t="shared" si="119"/>
        <v>0</v>
      </c>
      <c r="M683" s="435">
        <f t="shared" si="119"/>
        <v>0</v>
      </c>
      <c r="N683" s="435">
        <f t="shared" si="119"/>
        <v>0</v>
      </c>
      <c r="O683" s="435"/>
      <c r="P683" s="435"/>
      <c r="Q683" s="442"/>
      <c r="R683" s="442"/>
      <c r="S683" s="442"/>
      <c r="T683" s="432">
        <f t="shared" si="116"/>
        <v>0</v>
      </c>
    </row>
    <row r="684" spans="1:20" ht="22.2" hidden="1" customHeight="1">
      <c r="A684" s="379"/>
      <c r="B684" s="410" t="s">
        <v>82</v>
      </c>
      <c r="C684" s="411" t="str">
        <f t="shared" si="117"/>
        <v xml:space="preserve"> </v>
      </c>
      <c r="D684" s="440">
        <v>9</v>
      </c>
      <c r="E684" s="422"/>
      <c r="F684" s="441" t="str">
        <f>VLOOKUP($B684,[1]DG!A:D,[1]DG!C$2,)</f>
        <v>Cọc tiếp đất Þ 16- 2,4m + kẹp cọc mạ đồng</v>
      </c>
      <c r="G684" s="422" t="str">
        <f>VLOOKUP($B684,[1]DG!A:D,[1]DG!$D$2,)</f>
        <v>bộ</v>
      </c>
      <c r="H684" s="435">
        <f t="shared" si="119"/>
        <v>0</v>
      </c>
      <c r="I684" s="435">
        <f t="shared" si="119"/>
        <v>0</v>
      </c>
      <c r="J684" s="435">
        <f t="shared" si="119"/>
        <v>0</v>
      </c>
      <c r="K684" s="435">
        <f t="shared" si="119"/>
        <v>0</v>
      </c>
      <c r="L684" s="435">
        <f t="shared" si="119"/>
        <v>0</v>
      </c>
      <c r="M684" s="435">
        <f t="shared" si="119"/>
        <v>0</v>
      </c>
      <c r="N684" s="435">
        <f t="shared" si="119"/>
        <v>0</v>
      </c>
      <c r="O684" s="435"/>
      <c r="P684" s="435"/>
      <c r="Q684" s="442"/>
      <c r="R684" s="442"/>
      <c r="S684" s="442"/>
      <c r="T684" s="432">
        <f t="shared" si="116"/>
        <v>0</v>
      </c>
    </row>
    <row r="685" spans="1:20" ht="22.2" hidden="1" customHeight="1">
      <c r="A685" s="379"/>
      <c r="B685" s="410" t="s">
        <v>84</v>
      </c>
      <c r="C685" s="411" t="str">
        <f t="shared" si="117"/>
        <v xml:space="preserve"> </v>
      </c>
      <c r="D685" s="440">
        <v>2</v>
      </c>
      <c r="E685" s="422"/>
      <c r="F685" s="441" t="str">
        <f>VLOOKUP($B685,[1]DG!A:D,[1]DG!C$2,)</f>
        <v>Kẹp ép WR cỡ dây 50mm2</v>
      </c>
      <c r="G685" s="422" t="str">
        <f>VLOOKUP($B685,[1]DG!A:D,[1]DG!$D$2,)</f>
        <v>cái</v>
      </c>
      <c r="H685" s="435">
        <f t="shared" si="119"/>
        <v>0</v>
      </c>
      <c r="I685" s="435">
        <f t="shared" si="119"/>
        <v>0</v>
      </c>
      <c r="J685" s="435">
        <f t="shared" si="119"/>
        <v>0</v>
      </c>
      <c r="K685" s="435">
        <f t="shared" si="119"/>
        <v>0</v>
      </c>
      <c r="L685" s="435">
        <f t="shared" si="119"/>
        <v>0</v>
      </c>
      <c r="M685" s="435">
        <f t="shared" si="119"/>
        <v>0</v>
      </c>
      <c r="N685" s="435">
        <f t="shared" si="119"/>
        <v>0</v>
      </c>
      <c r="O685" s="435"/>
      <c r="P685" s="435"/>
      <c r="Q685" s="442"/>
      <c r="R685" s="442"/>
      <c r="S685" s="442"/>
      <c r="T685" s="432">
        <f t="shared" si="116"/>
        <v>0</v>
      </c>
    </row>
    <row r="686" spans="1:20" ht="22.2" hidden="1" customHeight="1">
      <c r="A686" s="379"/>
      <c r="B686" s="410" t="s">
        <v>85</v>
      </c>
      <c r="C686" s="411" t="str">
        <f t="shared" si="117"/>
        <v xml:space="preserve"> </v>
      </c>
      <c r="D686" s="440">
        <v>11</v>
      </c>
      <c r="E686" s="422"/>
      <c r="F686" s="441" t="str">
        <f>VLOOKUP($B686,[1]DG!A:D,[1]DG!C$2,)</f>
        <v>Kẹp ép cỡ dây 25mm2</v>
      </c>
      <c r="G686" s="422" t="str">
        <f>VLOOKUP($B686,[1]DG!A:D,[1]DG!$D$2,)</f>
        <v>cái</v>
      </c>
      <c r="H686" s="435">
        <f t="shared" si="119"/>
        <v>0</v>
      </c>
      <c r="I686" s="435">
        <f t="shared" si="119"/>
        <v>0</v>
      </c>
      <c r="J686" s="435">
        <f t="shared" si="119"/>
        <v>0</v>
      </c>
      <c r="K686" s="435">
        <f t="shared" si="119"/>
        <v>0</v>
      </c>
      <c r="L686" s="435">
        <f t="shared" si="119"/>
        <v>0</v>
      </c>
      <c r="M686" s="435">
        <f t="shared" si="119"/>
        <v>0</v>
      </c>
      <c r="N686" s="435">
        <f t="shared" si="119"/>
        <v>0</v>
      </c>
      <c r="O686" s="435"/>
      <c r="P686" s="435"/>
      <c r="Q686" s="442"/>
      <c r="R686" s="442"/>
      <c r="S686" s="442"/>
      <c r="T686" s="432">
        <f t="shared" si="116"/>
        <v>0</v>
      </c>
    </row>
    <row r="687" spans="1:20" ht="22.2" hidden="1" customHeight="1">
      <c r="A687" s="379"/>
      <c r="B687" s="410" t="s">
        <v>83</v>
      </c>
      <c r="C687" s="411" t="str">
        <f t="shared" si="117"/>
        <v xml:space="preserve"> </v>
      </c>
      <c r="D687" s="440">
        <v>6</v>
      </c>
      <c r="E687" s="422"/>
      <c r="F687" s="441" t="str">
        <f>VLOOKUP($B687,[1]DG!A:D,[1]DG!C$2,)</f>
        <v xml:space="preserve">Ống PVC D21x1,6mm </v>
      </c>
      <c r="G687" s="422" t="str">
        <f>VLOOKUP($B687,[1]DG!A:D,[1]DG!$D$2,)</f>
        <v>m</v>
      </c>
      <c r="H687" s="435">
        <f t="shared" si="119"/>
        <v>0</v>
      </c>
      <c r="I687" s="435">
        <f t="shared" si="119"/>
        <v>0</v>
      </c>
      <c r="J687" s="435">
        <f t="shared" si="119"/>
        <v>0</v>
      </c>
      <c r="K687" s="435">
        <f t="shared" si="119"/>
        <v>0</v>
      </c>
      <c r="L687" s="435">
        <f t="shared" si="119"/>
        <v>0</v>
      </c>
      <c r="M687" s="435">
        <f t="shared" si="119"/>
        <v>0</v>
      </c>
      <c r="N687" s="435">
        <f t="shared" si="119"/>
        <v>0</v>
      </c>
      <c r="O687" s="435"/>
      <c r="P687" s="435"/>
      <c r="Q687" s="442"/>
      <c r="R687" s="442"/>
      <c r="S687" s="442"/>
      <c r="T687" s="432">
        <f t="shared" si="116"/>
        <v>0</v>
      </c>
    </row>
    <row r="688" spans="1:20" ht="22.2" hidden="1" customHeight="1">
      <c r="A688" s="379"/>
      <c r="B688" s="410" t="s">
        <v>86</v>
      </c>
      <c r="C688" s="411" t="str">
        <f t="shared" si="117"/>
        <v xml:space="preserve"> </v>
      </c>
      <c r="D688" s="440">
        <v>3</v>
      </c>
      <c r="E688" s="422"/>
      <c r="F688" s="441" t="str">
        <f>VLOOKUP($B688,[1]DG!A:D,[1]DG!C$2,)</f>
        <v>Cổ dê kẹp ống PVC  21</v>
      </c>
      <c r="G688" s="422" t="str">
        <f>VLOOKUP($B688,[1]DG!A:D,[1]DG!$D$2,)</f>
        <v>bộ</v>
      </c>
      <c r="H688" s="435">
        <f t="shared" si="119"/>
        <v>0</v>
      </c>
      <c r="I688" s="435">
        <f t="shared" si="119"/>
        <v>0</v>
      </c>
      <c r="J688" s="435">
        <f t="shared" si="119"/>
        <v>0</v>
      </c>
      <c r="K688" s="435">
        <f t="shared" si="119"/>
        <v>0</v>
      </c>
      <c r="L688" s="435">
        <f t="shared" si="119"/>
        <v>0</v>
      </c>
      <c r="M688" s="435">
        <f t="shared" si="119"/>
        <v>0</v>
      </c>
      <c r="N688" s="435">
        <f t="shared" si="119"/>
        <v>0</v>
      </c>
      <c r="O688" s="435"/>
      <c r="P688" s="435"/>
      <c r="Q688" s="442"/>
      <c r="R688" s="442"/>
      <c r="S688" s="442"/>
      <c r="T688" s="432">
        <f t="shared" si="116"/>
        <v>0</v>
      </c>
    </row>
    <row r="689" spans="1:20" ht="22.2" hidden="1" customHeight="1">
      <c r="A689" s="379"/>
      <c r="B689" s="410" t="s">
        <v>801</v>
      </c>
      <c r="C689" s="411" t="str">
        <f t="shared" si="117"/>
        <v xml:space="preserve"> </v>
      </c>
      <c r="D689" s="440">
        <v>2</v>
      </c>
      <c r="E689" s="422"/>
      <c r="F689" s="441" t="str">
        <f>VLOOKUP($B689,[1]DG!A:D,[1]DG!C$2,)</f>
        <v>Đầu cosse ép Cu 25mm2</v>
      </c>
      <c r="G689" s="422" t="str">
        <f>VLOOKUP($B689,[1]DG!A:D,[1]DG!$D$2,)</f>
        <v>cái</v>
      </c>
      <c r="H689" s="435">
        <f t="shared" si="119"/>
        <v>0</v>
      </c>
      <c r="I689" s="435">
        <f t="shared" si="119"/>
        <v>0</v>
      </c>
      <c r="J689" s="435">
        <f t="shared" si="119"/>
        <v>0</v>
      </c>
      <c r="K689" s="435">
        <f t="shared" si="119"/>
        <v>0</v>
      </c>
      <c r="L689" s="435">
        <f t="shared" si="119"/>
        <v>0</v>
      </c>
      <c r="M689" s="435">
        <f t="shared" si="119"/>
        <v>0</v>
      </c>
      <c r="N689" s="435">
        <f t="shared" si="119"/>
        <v>0</v>
      </c>
      <c r="O689" s="435"/>
      <c r="P689" s="435"/>
      <c r="Q689" s="442"/>
      <c r="R689" s="442"/>
      <c r="S689" s="442"/>
      <c r="T689" s="432">
        <f t="shared" si="116"/>
        <v>0</v>
      </c>
    </row>
    <row r="690" spans="1:20" ht="22.2" hidden="1" customHeight="1">
      <c r="A690" s="379"/>
      <c r="B690" s="410" t="s">
        <v>88</v>
      </c>
      <c r="C690" s="411" t="str">
        <f t="shared" si="117"/>
        <v xml:space="preserve"> </v>
      </c>
      <c r="D690" s="440">
        <v>1</v>
      </c>
      <c r="E690" s="422"/>
      <c r="F690" s="441" t="str">
        <f>VLOOKUP($B690,[1]DG!A:D,[1]DG!C$2,)</f>
        <v>Boulon 12x40+ 2 long đền vuông D14-50x50x3/Zn</v>
      </c>
      <c r="G690" s="422" t="str">
        <f>VLOOKUP($B690,[1]DG!A:D,[1]DG!$D$2,)</f>
        <v>bộ</v>
      </c>
      <c r="H690" s="435">
        <f t="shared" si="119"/>
        <v>0</v>
      </c>
      <c r="I690" s="435">
        <f t="shared" si="119"/>
        <v>0</v>
      </c>
      <c r="J690" s="435">
        <f t="shared" si="119"/>
        <v>0</v>
      </c>
      <c r="K690" s="435">
        <f t="shared" si="119"/>
        <v>0</v>
      </c>
      <c r="L690" s="435">
        <f t="shared" si="119"/>
        <v>0</v>
      </c>
      <c r="M690" s="435">
        <f t="shared" si="119"/>
        <v>0</v>
      </c>
      <c r="N690" s="435">
        <f t="shared" si="119"/>
        <v>0</v>
      </c>
      <c r="O690" s="435"/>
      <c r="P690" s="435"/>
      <c r="Q690" s="442"/>
      <c r="R690" s="442"/>
      <c r="S690" s="442"/>
      <c r="T690" s="432">
        <f t="shared" si="116"/>
        <v>0</v>
      </c>
    </row>
    <row r="691" spans="1:20" ht="22.2" hidden="1" customHeight="1">
      <c r="A691" s="379"/>
      <c r="B691" s="410" t="s">
        <v>794</v>
      </c>
      <c r="C691" s="411" t="str">
        <f t="shared" si="117"/>
        <v xml:space="preserve"> </v>
      </c>
      <c r="D691" s="439">
        <f>D683</f>
        <v>11.872</v>
      </c>
      <c r="E691" s="422" t="str">
        <f>VLOOKUP($B691,[1]DG!A:D,[1]DG!$B$2,)</f>
        <v>05.7001</v>
      </c>
      <c r="F691" s="434" t="str">
        <f>VLOOKUP($B691,[1]DG!A:D,[1]DG!C$2,)</f>
        <v xml:space="preserve">Kéo dây tiếp địa </v>
      </c>
      <c r="G691" s="422" t="str">
        <f>VLOOKUP($B691,[1]DG!A:D,[1]DG!$D$2,)</f>
        <v>mét</v>
      </c>
      <c r="H691" s="435"/>
      <c r="I691" s="435"/>
      <c r="J691" s="435"/>
      <c r="K691" s="435"/>
      <c r="L691" s="435"/>
      <c r="M691" s="435"/>
      <c r="N691" s="435"/>
      <c r="O691" s="435"/>
      <c r="P691" s="435"/>
      <c r="Q691" s="437"/>
      <c r="R691" s="437"/>
      <c r="S691" s="437"/>
      <c r="T691" s="432">
        <f t="shared" si="116"/>
        <v>0</v>
      </c>
    </row>
    <row r="692" spans="1:20" ht="22.2" hidden="1" customHeight="1">
      <c r="A692" s="379"/>
      <c r="B692" s="410" t="s">
        <v>795</v>
      </c>
      <c r="C692" s="411" t="str">
        <f t="shared" si="117"/>
        <v xml:space="preserve"> </v>
      </c>
      <c r="D692" s="440">
        <f>D684</f>
        <v>9</v>
      </c>
      <c r="E692" s="422" t="str">
        <f>VLOOKUP($B692,[1]DG!A:D,[1]DG!$B$2,)</f>
        <v>05.8103</v>
      </c>
      <c r="F692" s="434" t="str">
        <f>VLOOKUP($B692,[1]DG!A:D,[1]DG!C$2,)</f>
        <v>Đóng cọc tiếp địa đất cấp 3</v>
      </c>
      <c r="G692" s="422" t="str">
        <f>VLOOKUP($B692,[1]DG!A:D,[1]DG!$D$2,)</f>
        <v>cọc</v>
      </c>
      <c r="H692" s="435"/>
      <c r="I692" s="435"/>
      <c r="J692" s="435"/>
      <c r="K692" s="435"/>
      <c r="L692" s="435"/>
      <c r="M692" s="435"/>
      <c r="N692" s="435"/>
      <c r="O692" s="435"/>
      <c r="P692" s="435"/>
      <c r="Q692" s="442"/>
      <c r="R692" s="442"/>
      <c r="S692" s="442"/>
      <c r="T692" s="432">
        <f t="shared" si="116"/>
        <v>0</v>
      </c>
    </row>
    <row r="693" spans="1:20" ht="22.2" hidden="1" customHeight="1">
      <c r="A693" s="379"/>
      <c r="B693" s="410" t="s">
        <v>91</v>
      </c>
      <c r="C693" s="411" t="str">
        <f t="shared" si="117"/>
        <v xml:space="preserve"> </v>
      </c>
      <c r="D693" s="439">
        <v>13.2</v>
      </c>
      <c r="E693" s="422" t="str">
        <f>VLOOKUP($B693,[1]DG!A:D,[1]DG!$B$2,)</f>
        <v>03.3123</v>
      </c>
      <c r="F693" s="434" t="str">
        <f>VLOOKUP($B693,[1]DG!A:D,[1]DG!C$2,)</f>
        <v>Đào rãnh tiếp địa đất cấp 3</v>
      </c>
      <c r="G693" s="422" t="str">
        <f>VLOOKUP($B693,[1]DG!A:D,[1]DG!$D$2,)</f>
        <v>m3</v>
      </c>
      <c r="H693" s="435"/>
      <c r="I693" s="435"/>
      <c r="J693" s="435"/>
      <c r="K693" s="435"/>
      <c r="L693" s="435"/>
      <c r="M693" s="435"/>
      <c r="N693" s="435"/>
      <c r="O693" s="435"/>
      <c r="P693" s="435"/>
      <c r="Q693" s="437"/>
      <c r="R693" s="437"/>
      <c r="S693" s="437"/>
      <c r="T693" s="432">
        <f t="shared" si="116"/>
        <v>0</v>
      </c>
    </row>
    <row r="694" spans="1:20" ht="22.2" hidden="1" customHeight="1">
      <c r="A694" s="379"/>
      <c r="B694" s="410" t="s">
        <v>92</v>
      </c>
      <c r="C694" s="411" t="str">
        <f t="shared" si="117"/>
        <v xml:space="preserve"> </v>
      </c>
      <c r="D694" s="439">
        <f>D693</f>
        <v>13.2</v>
      </c>
      <c r="E694" s="422" t="str">
        <f>VLOOKUP($B694,[1]DG!A:D,[1]DG!$B$2,)</f>
        <v>03.4123</v>
      </c>
      <c r="F694" s="434" t="str">
        <f>VLOOKUP($B694,[1]DG!A:D,[1]DG!C$2,)</f>
        <v>Đắp đất rãnh tiếp độ chặt k=0,85</v>
      </c>
      <c r="G694" s="422" t="str">
        <f>VLOOKUP($B694,[1]DG!A:D,[1]DG!$D$2,)</f>
        <v>m3</v>
      </c>
      <c r="H694" s="435"/>
      <c r="I694" s="435"/>
      <c r="J694" s="435"/>
      <c r="K694" s="435"/>
      <c r="L694" s="435"/>
      <c r="M694" s="435"/>
      <c r="N694" s="435"/>
      <c r="O694" s="435"/>
      <c r="P694" s="435"/>
      <c r="Q694" s="442"/>
      <c r="R694" s="442"/>
      <c r="S694" s="442"/>
      <c r="T694" s="432">
        <f t="shared" si="116"/>
        <v>0</v>
      </c>
    </row>
    <row r="695" spans="1:20" ht="22.2" hidden="1" customHeight="1">
      <c r="A695" s="379"/>
      <c r="B695" s="410" t="s">
        <v>796</v>
      </c>
      <c r="C695" s="411" t="str">
        <f t="shared" si="117"/>
        <v xml:space="preserve"> </v>
      </c>
      <c r="D695" s="433"/>
      <c r="E695" s="422" t="str">
        <f>VLOOKUP($B695,[1]DG!A:D,[1]DG!$B$2,)</f>
        <v>02.1120</v>
      </c>
      <c r="F695" s="434" t="str">
        <f>VLOOKUP($B695,[1]DG!A:D,[1]DG!C$2,)</f>
        <v>Bốc dỡ phụ kiện</v>
      </c>
      <c r="G695" s="422" t="str">
        <f>VLOOKUP($B695,[1]DG!A:D,[1]DG!$D$2,)</f>
        <v>tấn</v>
      </c>
      <c r="H695" s="435"/>
      <c r="I695" s="435"/>
      <c r="J695" s="435"/>
      <c r="K695" s="435"/>
      <c r="L695" s="435"/>
      <c r="M695" s="435"/>
      <c r="N695" s="435"/>
      <c r="O695" s="435"/>
      <c r="P695" s="435"/>
      <c r="Q695" s="442"/>
      <c r="R695" s="442"/>
      <c r="S695" s="442"/>
      <c r="T695" s="432">
        <f t="shared" si="116"/>
        <v>0</v>
      </c>
    </row>
    <row r="696" spans="1:20" ht="22.2" hidden="1" customHeight="1">
      <c r="A696" s="379"/>
      <c r="B696" s="438" t="s">
        <v>797</v>
      </c>
      <c r="C696" s="411" t="str">
        <f t="shared" si="117"/>
        <v xml:space="preserve"> </v>
      </c>
      <c r="D696" s="433"/>
      <c r="E696" s="422" t="str">
        <f>VLOOKUP($B696,[1]DG!A:C,2,)</f>
        <v>02.1351</v>
      </c>
      <c r="F696" s="434" t="str">
        <f>VLOOKUP($B696,[1]DG!A:C,3,)</f>
        <v>V/c tiếp địa vào vị trí ( cự ly &lt;=100m)</v>
      </c>
      <c r="G696" s="422" t="str">
        <f>VLOOKUP($B696,[1]DG!A:D,4,0)</f>
        <v>tấn</v>
      </c>
      <c r="H696" s="435"/>
      <c r="I696" s="435"/>
      <c r="J696" s="435"/>
      <c r="K696" s="435"/>
      <c r="L696" s="435"/>
      <c r="M696" s="435"/>
      <c r="N696" s="435"/>
      <c r="O696" s="435"/>
      <c r="P696" s="435"/>
      <c r="Q696" s="437"/>
      <c r="R696" s="437"/>
      <c r="S696" s="437"/>
      <c r="T696" s="432">
        <f t="shared" si="116"/>
        <v>0</v>
      </c>
    </row>
    <row r="697" spans="1:20" ht="22.2" hidden="1" customHeight="1">
      <c r="B697" s="406"/>
      <c r="C697" s="465" t="str">
        <f>IF(OR(H697&lt;&gt;0,P697&lt;&gt;0),"x"," ")</f>
        <v xml:space="preserve"> </v>
      </c>
      <c r="D697" s="466">
        <f>SUM(H697:N697)+S697</f>
        <v>0</v>
      </c>
      <c r="E697" s="349" t="s">
        <v>827</v>
      </c>
      <c r="F697" s="421" t="s">
        <v>828</v>
      </c>
      <c r="G697" s="427"/>
      <c r="H697" s="429">
        <f t="shared" ref="H697:H698" si="120">SUM(I697:O697)</f>
        <v>0</v>
      </c>
      <c r="I697" s="427"/>
      <c r="J697" s="427"/>
      <c r="K697" s="430">
        <f>IFERROR(HLOOKUP(B697,[1]pp3p1m!$1:$3,3,0),0)</f>
        <v>0</v>
      </c>
      <c r="L697" s="430">
        <f>IFERROR(HLOOKUP(chitiet!B697,[1]pp1p!$1:$3,3,0),0)</f>
        <v>0</v>
      </c>
      <c r="M697" s="427"/>
      <c r="N697" s="427"/>
      <c r="O697" s="427"/>
      <c r="P697" s="429">
        <f t="shared" ref="P697" si="121">SUM(Q697:W697)</f>
        <v>0</v>
      </c>
      <c r="Q697" s="427"/>
      <c r="R697" s="427"/>
      <c r="S697" s="427"/>
      <c r="T697" s="432">
        <f>IFERROR(HLOOKUP(B697,[1]pp1p!$1:$3,3,0),0)+IFERROR(HLOOKUP(B697,[1]pp3p1m!$1:$3,3,0),0)</f>
        <v>0</v>
      </c>
    </row>
    <row r="698" spans="1:20" ht="22.2" hidden="1" customHeight="1">
      <c r="A698" s="467" t="s">
        <v>829</v>
      </c>
      <c r="B698" s="468" t="s">
        <v>829</v>
      </c>
      <c r="C698" s="469" t="str">
        <f t="shared" si="117"/>
        <v xml:space="preserve"> </v>
      </c>
      <c r="D698" s="426"/>
      <c r="E698" s="427"/>
      <c r="F698" s="428" t="s">
        <v>830</v>
      </c>
      <c r="G698" s="349" t="s">
        <v>339</v>
      </c>
      <c r="H698" s="429">
        <f t="shared" si="120"/>
        <v>0</v>
      </c>
      <c r="I698" s="430"/>
      <c r="J698" s="430"/>
      <c r="K698" s="430">
        <f>IFERROR(HLOOKUP(B698,[1]pp3p1m!$1:$3,3,0),0)</f>
        <v>0</v>
      </c>
      <c r="L698" s="430">
        <f>IFERROR(HLOOKUP(chitiet!B698,[1]pp1p!$1:$3,3,0),0)</f>
        <v>0</v>
      </c>
      <c r="M698" s="430"/>
      <c r="N698" s="430"/>
      <c r="O698" s="430"/>
      <c r="P698" s="430"/>
      <c r="Q698" s="431"/>
      <c r="R698" s="431"/>
      <c r="S698" s="431"/>
      <c r="T698" s="432">
        <f>IFERROR(HLOOKUP(B698,[1]pp1p!$1:$3,3,0),0)+IFERROR(HLOOKUP(B698,[1]pp3p1m!$1:$3,3,0),0)</f>
        <v>0</v>
      </c>
    </row>
    <row r="699" spans="1:20" ht="22.2" hidden="1" customHeight="1">
      <c r="A699" s="423"/>
      <c r="B699" s="410" t="s">
        <v>831</v>
      </c>
      <c r="C699" s="469" t="str">
        <f t="shared" si="117"/>
        <v xml:space="preserve"> </v>
      </c>
      <c r="D699" s="440">
        <v>1</v>
      </c>
      <c r="E699" s="422"/>
      <c r="F699" s="441" t="str">
        <f>VLOOKUP($B699,[1]DG!A:D,[1]DG!$C$2,)</f>
        <v>Trụ thép tròn cao 6 mét</v>
      </c>
      <c r="G699" s="422" t="str">
        <f>VLOOKUP($B699,[1]DG!A:D,[1]DG!$D$2,)</f>
        <v>trụ</v>
      </c>
      <c r="H699" s="435">
        <f t="shared" ref="H699:N700" si="122">H$705*$D699</f>
        <v>0</v>
      </c>
      <c r="I699" s="435">
        <f t="shared" si="122"/>
        <v>0</v>
      </c>
      <c r="J699" s="435">
        <f t="shared" si="122"/>
        <v>0</v>
      </c>
      <c r="K699" s="435">
        <f t="shared" si="122"/>
        <v>0</v>
      </c>
      <c r="L699" s="435">
        <f t="shared" si="122"/>
        <v>0</v>
      </c>
      <c r="M699" s="435">
        <f t="shared" si="122"/>
        <v>0</v>
      </c>
      <c r="N699" s="435">
        <f t="shared" si="122"/>
        <v>0</v>
      </c>
      <c r="O699" s="435"/>
      <c r="P699" s="435"/>
      <c r="Q699" s="442"/>
      <c r="R699" s="442"/>
      <c r="S699" s="442"/>
      <c r="T699" s="432">
        <f t="shared" si="116"/>
        <v>0</v>
      </c>
    </row>
    <row r="700" spans="1:20" ht="22.2" hidden="1" customHeight="1">
      <c r="A700" s="423"/>
      <c r="B700" s="410" t="s">
        <v>70</v>
      </c>
      <c r="C700" s="469" t="str">
        <f t="shared" si="117"/>
        <v xml:space="preserve"> </v>
      </c>
      <c r="D700" s="440">
        <v>1</v>
      </c>
      <c r="E700" s="422"/>
      <c r="F700" s="441" t="str">
        <f>VLOOKUP($B700,[1]DG!A:D,[1]DG!$C$2,)</f>
        <v>Vật liệu dựng trụ</v>
      </c>
      <c r="G700" s="422" t="str">
        <f>VLOOKUP($B700,[1]DG!A:D,[1]DG!$D$2,)</f>
        <v>trụ</v>
      </c>
      <c r="H700" s="435">
        <f t="shared" si="122"/>
        <v>0</v>
      </c>
      <c r="I700" s="435">
        <f t="shared" si="122"/>
        <v>0</v>
      </c>
      <c r="J700" s="435">
        <f t="shared" si="122"/>
        <v>0</v>
      </c>
      <c r="K700" s="435">
        <f t="shared" si="122"/>
        <v>0</v>
      </c>
      <c r="L700" s="435">
        <f t="shared" si="122"/>
        <v>0</v>
      </c>
      <c r="M700" s="435">
        <f t="shared" si="122"/>
        <v>0</v>
      </c>
      <c r="N700" s="435">
        <f t="shared" si="122"/>
        <v>0</v>
      </c>
      <c r="O700" s="435"/>
      <c r="P700" s="435"/>
      <c r="Q700" s="442"/>
      <c r="R700" s="442"/>
      <c r="S700" s="442"/>
      <c r="T700" s="432">
        <f t="shared" si="116"/>
        <v>0</v>
      </c>
    </row>
    <row r="701" spans="1:20" ht="22.2" hidden="1" customHeight="1">
      <c r="A701" s="423"/>
      <c r="B701" s="410" t="s">
        <v>832</v>
      </c>
      <c r="C701" s="469" t="str">
        <f t="shared" si="117"/>
        <v xml:space="preserve"> </v>
      </c>
      <c r="D701" s="440">
        <v>1</v>
      </c>
      <c r="E701" s="422" t="str">
        <f>VLOOKUP($B701,[1]DG!A:D,[1]DG!$B$2,)</f>
        <v>CS3.01.013</v>
      </c>
      <c r="F701" s="434" t="str">
        <f>VLOOKUP($B701,[1]DG!A:D,[1]DG!$C$2,)</f>
        <v>Lắp trụ thép ≤ 8m bằng thủ công</v>
      </c>
      <c r="G701" s="422" t="str">
        <f>VLOOKUP($B701,[1]DG!A:D,[1]DG!$D$2,)</f>
        <v>trụ</v>
      </c>
      <c r="H701" s="435"/>
      <c r="I701" s="435"/>
      <c r="J701" s="435"/>
      <c r="K701" s="435"/>
      <c r="L701" s="435"/>
      <c r="M701" s="435"/>
      <c r="N701" s="435"/>
      <c r="O701" s="435"/>
      <c r="P701" s="435"/>
      <c r="Q701" s="437"/>
      <c r="R701" s="437"/>
      <c r="S701" s="437"/>
      <c r="T701" s="432">
        <f t="shared" si="116"/>
        <v>0</v>
      </c>
    </row>
    <row r="702" spans="1:20" ht="22.2" hidden="1" customHeight="1">
      <c r="A702" s="423"/>
      <c r="B702" s="410" t="s">
        <v>833</v>
      </c>
      <c r="C702" s="469" t="str">
        <f t="shared" si="117"/>
        <v xml:space="preserve"> </v>
      </c>
      <c r="D702" s="439">
        <v>0.2</v>
      </c>
      <c r="E702" s="422" t="str">
        <f>VLOOKUP($B702,[1]DG!A:D,[1]DG!$B$2,)</f>
        <v>02.1124</v>
      </c>
      <c r="F702" s="434" t="str">
        <f>VLOOKUP($B702,[1]DG!A:D,[1]DG!$C$2,)</f>
        <v xml:space="preserve">Bốc dỡ trụ </v>
      </c>
      <c r="G702" s="422" t="str">
        <f>VLOOKUP($B702,[1]DG!A:D,[1]DG!$D$2,)</f>
        <v>tấn</v>
      </c>
      <c r="H702" s="435"/>
      <c r="I702" s="435"/>
      <c r="J702" s="435"/>
      <c r="K702" s="435"/>
      <c r="L702" s="435"/>
      <c r="M702" s="435"/>
      <c r="N702" s="435"/>
      <c r="O702" s="435"/>
      <c r="P702" s="435"/>
      <c r="Q702" s="437"/>
      <c r="R702" s="437"/>
      <c r="S702" s="437"/>
      <c r="T702" s="432">
        <f t="shared" si="116"/>
        <v>0</v>
      </c>
    </row>
    <row r="703" spans="1:20" ht="22.2" hidden="1" customHeight="1">
      <c r="A703" s="423"/>
      <c r="B703" s="438" t="s">
        <v>834</v>
      </c>
      <c r="C703" s="469" t="str">
        <f t="shared" si="117"/>
        <v xml:space="preserve"> </v>
      </c>
      <c r="D703" s="439">
        <f>D702</f>
        <v>0.2</v>
      </c>
      <c r="E703" s="422" t="str">
        <f>VLOOKUP($B703,[1]DG!A:C,2,)</f>
        <v>02.1461</v>
      </c>
      <c r="F703" s="434" t="str">
        <f>VLOOKUP($B703,[1]DG!A:C,3,)</f>
        <v>V/c cột vào vị trí (cự ly &lt;=100m)</v>
      </c>
      <c r="G703" s="422" t="str">
        <f>VLOOKUP($B703,[1]DG!A:D,4,0)</f>
        <v>tấn</v>
      </c>
      <c r="H703" s="435"/>
      <c r="I703" s="435"/>
      <c r="J703" s="435"/>
      <c r="K703" s="435"/>
      <c r="L703" s="435"/>
      <c r="M703" s="435"/>
      <c r="N703" s="435"/>
      <c r="O703" s="435"/>
      <c r="P703" s="435"/>
      <c r="Q703" s="437"/>
      <c r="R703" s="437"/>
      <c r="S703" s="437"/>
      <c r="T703" s="432">
        <f t="shared" si="116"/>
        <v>0</v>
      </c>
    </row>
    <row r="704" spans="1:20" ht="22.2" hidden="1" customHeight="1">
      <c r="A704" s="423"/>
      <c r="B704" s="438" t="s">
        <v>620</v>
      </c>
      <c r="C704" s="469" t="str">
        <f t="shared" si="117"/>
        <v xml:space="preserve"> </v>
      </c>
      <c r="D704" s="439">
        <v>0.25</v>
      </c>
      <c r="E704" s="422" t="str">
        <f>VLOOKUP($B704,[1]DG!A:C,2,)</f>
        <v>02.1482</v>
      </c>
      <c r="F704" s="434" t="str">
        <f>VLOOKUP($B704,[1]DG!A:C,3,)</f>
        <v>V/c dụng cụ thi công vào vị trí (cự ly &lt;=100m)</v>
      </c>
      <c r="G704" s="422" t="str">
        <f>VLOOKUP($B704,[1]DG!A:D,4,0)</f>
        <v>tấn</v>
      </c>
      <c r="H704" s="435"/>
      <c r="I704" s="435"/>
      <c r="J704" s="435"/>
      <c r="K704" s="435"/>
      <c r="L704" s="435"/>
      <c r="M704" s="435"/>
      <c r="N704" s="435"/>
      <c r="O704" s="435"/>
      <c r="P704" s="435"/>
      <c r="Q704" s="437"/>
      <c r="R704" s="437"/>
      <c r="S704" s="437"/>
      <c r="T704" s="432">
        <f t="shared" si="116"/>
        <v>0</v>
      </c>
    </row>
    <row r="705" spans="1:20" ht="22.2" hidden="1" customHeight="1">
      <c r="A705" s="470" t="s">
        <v>835</v>
      </c>
      <c r="B705" s="468" t="s">
        <v>835</v>
      </c>
      <c r="C705" s="469" t="str">
        <f t="shared" si="117"/>
        <v xml:space="preserve"> </v>
      </c>
      <c r="D705" s="426"/>
      <c r="E705" s="427"/>
      <c r="F705" s="428" t="s">
        <v>836</v>
      </c>
      <c r="G705" s="349" t="s">
        <v>339</v>
      </c>
      <c r="H705" s="429">
        <f>SUM(I705:O705)</f>
        <v>0</v>
      </c>
      <c r="I705" s="430"/>
      <c r="J705" s="430"/>
      <c r="K705" s="430">
        <f>IFERROR(HLOOKUP(B705,[1]pp3p1m!$1:$3,3,0),0)</f>
        <v>0</v>
      </c>
      <c r="L705" s="430">
        <f>IFERROR(HLOOKUP(chitiet!B705,[1]pp1p!$1:$3,3,0),0)</f>
        <v>0</v>
      </c>
      <c r="M705" s="430"/>
      <c r="N705" s="430"/>
      <c r="O705" s="430"/>
      <c r="P705" s="430">
        <f>H705+Q705-R705</f>
        <v>0</v>
      </c>
      <c r="Q705" s="431"/>
      <c r="R705" s="431"/>
      <c r="S705" s="431"/>
      <c r="T705" s="432">
        <f>IFERROR(HLOOKUP(B705,[1]pp1p!$1:$3,3,0),0)+IFERROR(HLOOKUP(B705,[1]pp3p1m!$1:$3,3,0),0)</f>
        <v>0</v>
      </c>
    </row>
    <row r="706" spans="1:20" ht="22.2" hidden="1" customHeight="1">
      <c r="A706" s="379"/>
      <c r="B706" s="410" t="s">
        <v>837</v>
      </c>
      <c r="C706" s="469" t="str">
        <f t="shared" si="117"/>
        <v xml:space="preserve"> </v>
      </c>
      <c r="D706" s="440">
        <v>1</v>
      </c>
      <c r="E706" s="422"/>
      <c r="F706" s="441" t="str">
        <f>VLOOKUP($B706,[1]DG!A:D,[1]DG!$C$2,)</f>
        <v>Trụ BTLT 7,5m F200 dự ứng lực</v>
      </c>
      <c r="G706" s="422" t="str">
        <f>VLOOKUP($B706,[1]DG!A:D,[1]DG!$D$2,)</f>
        <v>trụ</v>
      </c>
      <c r="H706" s="435">
        <f t="shared" ref="H706:O707" si="123">H$705*$D706</f>
        <v>0</v>
      </c>
      <c r="I706" s="435">
        <f t="shared" si="123"/>
        <v>0</v>
      </c>
      <c r="J706" s="435">
        <f t="shared" si="123"/>
        <v>0</v>
      </c>
      <c r="K706" s="435">
        <f t="shared" si="123"/>
        <v>0</v>
      </c>
      <c r="L706" s="435">
        <f t="shared" si="123"/>
        <v>0</v>
      </c>
      <c r="M706" s="435">
        <f t="shared" si="123"/>
        <v>0</v>
      </c>
      <c r="N706" s="435">
        <f t="shared" si="123"/>
        <v>0</v>
      </c>
      <c r="O706" s="435">
        <f t="shared" si="123"/>
        <v>0</v>
      </c>
      <c r="P706" s="436">
        <f>$P$705*D706</f>
        <v>0</v>
      </c>
      <c r="Q706" s="442"/>
      <c r="R706" s="442"/>
      <c r="S706" s="442"/>
      <c r="T706" s="432">
        <f t="shared" si="116"/>
        <v>0</v>
      </c>
    </row>
    <row r="707" spans="1:20" ht="22.2" hidden="1" customHeight="1">
      <c r="A707" s="379"/>
      <c r="B707" s="410" t="s">
        <v>70</v>
      </c>
      <c r="C707" s="469" t="str">
        <f t="shared" si="117"/>
        <v xml:space="preserve"> </v>
      </c>
      <c r="D707" s="440">
        <v>1</v>
      </c>
      <c r="E707" s="422"/>
      <c r="F707" s="441" t="str">
        <f>VLOOKUP($B707,[1]DG!A:D,[1]DG!$C$2,)</f>
        <v>Vật liệu dựng trụ</v>
      </c>
      <c r="G707" s="422" t="str">
        <f>VLOOKUP($B707,[1]DG!A:D,[1]DG!$D$2,)</f>
        <v>trụ</v>
      </c>
      <c r="H707" s="435">
        <f t="shared" si="123"/>
        <v>0</v>
      </c>
      <c r="I707" s="435">
        <f t="shared" si="123"/>
        <v>0</v>
      </c>
      <c r="J707" s="435">
        <f t="shared" si="123"/>
        <v>0</v>
      </c>
      <c r="K707" s="435">
        <f t="shared" si="123"/>
        <v>0</v>
      </c>
      <c r="L707" s="435">
        <f t="shared" si="123"/>
        <v>0</v>
      </c>
      <c r="M707" s="435">
        <f t="shared" si="123"/>
        <v>0</v>
      </c>
      <c r="N707" s="435">
        <f t="shared" si="123"/>
        <v>0</v>
      </c>
      <c r="O707" s="435">
        <f t="shared" si="123"/>
        <v>0</v>
      </c>
      <c r="P707" s="436">
        <f>$P$705*D707</f>
        <v>0</v>
      </c>
      <c r="Q707" s="442"/>
      <c r="R707" s="442"/>
      <c r="S707" s="442"/>
      <c r="T707" s="432">
        <f t="shared" si="116"/>
        <v>0</v>
      </c>
    </row>
    <row r="708" spans="1:20" ht="22.2" hidden="1" customHeight="1">
      <c r="A708" s="379"/>
      <c r="B708" s="410" t="s">
        <v>838</v>
      </c>
      <c r="C708" s="469" t="str">
        <f t="shared" si="117"/>
        <v xml:space="preserve"> </v>
      </c>
      <c r="D708" s="440">
        <v>1</v>
      </c>
      <c r="E708" s="422" t="str">
        <f>VLOOKUP($B708,[1]DG!A:D,[1]DG!$B$2,)</f>
        <v>05.5202</v>
      </c>
      <c r="F708" s="441" t="str">
        <f>VLOOKUP($B708,[1]DG!A:D,[1]DG!$C$2,)</f>
        <v>Dựng trụ BTLT &lt;8m thủ công +cơ giới</v>
      </c>
      <c r="G708" s="422" t="str">
        <f>VLOOKUP($B708,[1]DG!A:D,[1]DG!$D$2,)</f>
        <v>trụ</v>
      </c>
      <c r="H708" s="435">
        <f>H$705*$D708</f>
        <v>0</v>
      </c>
      <c r="I708" s="435"/>
      <c r="J708" s="435"/>
      <c r="K708" s="435"/>
      <c r="L708" s="435"/>
      <c r="M708" s="435"/>
      <c r="N708" s="435"/>
      <c r="O708" s="435"/>
      <c r="P708" s="436">
        <f>$P$705*D708</f>
        <v>0</v>
      </c>
      <c r="Q708" s="442"/>
      <c r="R708" s="442"/>
      <c r="S708" s="442"/>
      <c r="T708" s="432">
        <f t="shared" si="116"/>
        <v>0</v>
      </c>
    </row>
    <row r="709" spans="1:20" ht="22.2" hidden="1" customHeight="1">
      <c r="A709" s="379"/>
      <c r="B709" s="410" t="s">
        <v>833</v>
      </c>
      <c r="C709" s="469" t="str">
        <f t="shared" si="117"/>
        <v xml:space="preserve"> </v>
      </c>
      <c r="D709" s="439"/>
      <c r="E709" s="422" t="str">
        <f>VLOOKUP($B709,[1]DG!A:D,[1]DG!$B$2,)</f>
        <v>02.1124</v>
      </c>
      <c r="F709" s="434" t="str">
        <f>VLOOKUP($B709,[1]DG!A:D,[1]DG!$C$2,)</f>
        <v xml:space="preserve">Bốc dỡ trụ </v>
      </c>
      <c r="G709" s="422" t="str">
        <f>VLOOKUP($B709,[1]DG!A:D,[1]DG!$D$2,)</f>
        <v>tấn</v>
      </c>
      <c r="H709" s="435"/>
      <c r="I709" s="435"/>
      <c r="J709" s="435"/>
      <c r="K709" s="435"/>
      <c r="L709" s="435"/>
      <c r="M709" s="435"/>
      <c r="N709" s="435"/>
      <c r="O709" s="435"/>
      <c r="P709" s="435"/>
      <c r="Q709" s="437"/>
      <c r="R709" s="437"/>
      <c r="S709" s="437"/>
      <c r="T709" s="432">
        <f t="shared" si="116"/>
        <v>0</v>
      </c>
    </row>
    <row r="710" spans="1:20" ht="22.2" hidden="1" customHeight="1">
      <c r="A710" s="379"/>
      <c r="B710" s="438" t="s">
        <v>834</v>
      </c>
      <c r="C710" s="469" t="str">
        <f t="shared" si="117"/>
        <v xml:space="preserve"> </v>
      </c>
      <c r="D710" s="439"/>
      <c r="E710" s="422" t="str">
        <f>VLOOKUP($B710,[1]DG!A:C,2,)</f>
        <v>02.1461</v>
      </c>
      <c r="F710" s="434" t="str">
        <f>VLOOKUP($B710,[1]DG!A:C,3,)</f>
        <v>V/c cột vào vị trí (cự ly &lt;=100m)</v>
      </c>
      <c r="G710" s="422" t="str">
        <f>VLOOKUP($B710,[1]DG!A:D,4,0)</f>
        <v>tấn</v>
      </c>
      <c r="H710" s="435"/>
      <c r="I710" s="435"/>
      <c r="J710" s="435"/>
      <c r="K710" s="435"/>
      <c r="L710" s="435"/>
      <c r="M710" s="435"/>
      <c r="N710" s="435"/>
      <c r="O710" s="435"/>
      <c r="P710" s="435"/>
      <c r="Q710" s="437"/>
      <c r="R710" s="437"/>
      <c r="S710" s="437"/>
      <c r="T710" s="432">
        <f t="shared" si="116"/>
        <v>0</v>
      </c>
    </row>
    <row r="711" spans="1:20" ht="22.2" hidden="1" customHeight="1">
      <c r="A711" s="379"/>
      <c r="B711" s="438" t="s">
        <v>620</v>
      </c>
      <c r="C711" s="469" t="str">
        <f t="shared" si="117"/>
        <v xml:space="preserve"> </v>
      </c>
      <c r="D711" s="439"/>
      <c r="E711" s="422" t="str">
        <f>VLOOKUP($B711,[1]DG!A:C,2,)</f>
        <v>02.1482</v>
      </c>
      <c r="F711" s="434" t="str">
        <f>VLOOKUP($B711,[1]DG!A:C,3,)</f>
        <v>V/c dụng cụ thi công vào vị trí (cự ly &lt;=100m)</v>
      </c>
      <c r="G711" s="422" t="str">
        <f>VLOOKUP($B711,[1]DG!A:D,4,0)</f>
        <v>tấn</v>
      </c>
      <c r="H711" s="435"/>
      <c r="I711" s="435"/>
      <c r="J711" s="435"/>
      <c r="K711" s="435"/>
      <c r="L711" s="435"/>
      <c r="M711" s="435"/>
      <c r="N711" s="435"/>
      <c r="O711" s="435"/>
      <c r="P711" s="435"/>
      <c r="Q711" s="437"/>
      <c r="R711" s="437"/>
      <c r="S711" s="437"/>
      <c r="T711" s="432">
        <f t="shared" si="116"/>
        <v>0</v>
      </c>
    </row>
    <row r="712" spans="1:20" ht="22.2" hidden="1" customHeight="1">
      <c r="A712" s="470" t="s">
        <v>839</v>
      </c>
      <c r="B712" s="468" t="s">
        <v>839</v>
      </c>
      <c r="C712" s="469" t="str">
        <f t="shared" si="117"/>
        <v xml:space="preserve"> </v>
      </c>
      <c r="D712" s="426"/>
      <c r="E712" s="427"/>
      <c r="F712" s="428" t="s">
        <v>840</v>
      </c>
      <c r="G712" s="349" t="s">
        <v>339</v>
      </c>
      <c r="H712" s="429">
        <f>SUM(I712:O712)</f>
        <v>0</v>
      </c>
      <c r="I712" s="430"/>
      <c r="J712" s="430"/>
      <c r="K712" s="430">
        <f>IFERROR(HLOOKUP(B712,[1]pp3p1m!$1:$3,3,0),0)</f>
        <v>0</v>
      </c>
      <c r="L712" s="430">
        <f>IFERROR(HLOOKUP(chitiet!B712,[1]pp1p!$1:$3,3,0),0)</f>
        <v>0</v>
      </c>
      <c r="M712" s="430"/>
      <c r="N712" s="430"/>
      <c r="O712" s="430"/>
      <c r="P712" s="430">
        <f>H712+Q712-R712</f>
        <v>0</v>
      </c>
      <c r="Q712" s="431"/>
      <c r="R712" s="431"/>
      <c r="S712" s="431"/>
      <c r="T712" s="432">
        <f>IFERROR(HLOOKUP(B712,[1]pp1p!$1:$3,3,0),0)+IFERROR(HLOOKUP(B712,[1]pp3p1m!$1:$3,3,0),0)</f>
        <v>0</v>
      </c>
    </row>
    <row r="713" spans="1:20" ht="22.2" hidden="1" customHeight="1">
      <c r="A713" s="379"/>
      <c r="B713" s="410" t="s">
        <v>841</v>
      </c>
      <c r="C713" s="469" t="str">
        <f t="shared" si="117"/>
        <v xml:space="preserve"> </v>
      </c>
      <c r="D713" s="440">
        <v>1</v>
      </c>
      <c r="E713" s="422"/>
      <c r="F713" s="441" t="str">
        <f>VLOOKUP($B713,[1]DG!A:D,[1]DG!$C$2,)</f>
        <v>Trụ BTLT 8,4m F200 dự ứng lực</v>
      </c>
      <c r="G713" s="422" t="str">
        <f>VLOOKUP($B713,[1]DG!A:D,[1]DG!$D$2,)</f>
        <v>trụ</v>
      </c>
      <c r="H713" s="435">
        <f t="shared" ref="H713:O714" si="124">H$712*$D713</f>
        <v>0</v>
      </c>
      <c r="I713" s="435">
        <f t="shared" si="124"/>
        <v>0</v>
      </c>
      <c r="J713" s="435">
        <f t="shared" si="124"/>
        <v>0</v>
      </c>
      <c r="K713" s="435">
        <f t="shared" si="124"/>
        <v>0</v>
      </c>
      <c r="L713" s="435">
        <f t="shared" si="124"/>
        <v>0</v>
      </c>
      <c r="M713" s="435">
        <f t="shared" si="124"/>
        <v>0</v>
      </c>
      <c r="N713" s="435">
        <f t="shared" si="124"/>
        <v>0</v>
      </c>
      <c r="O713" s="435">
        <f t="shared" si="124"/>
        <v>0</v>
      </c>
      <c r="P713" s="435">
        <f>$P$712*D713</f>
        <v>0</v>
      </c>
      <c r="Q713" s="442"/>
      <c r="R713" s="442"/>
      <c r="S713" s="442"/>
      <c r="T713" s="432">
        <f t="shared" si="116"/>
        <v>0</v>
      </c>
    </row>
    <row r="714" spans="1:20" ht="22.2" hidden="1" customHeight="1">
      <c r="A714" s="379"/>
      <c r="B714" s="410" t="s">
        <v>70</v>
      </c>
      <c r="C714" s="469" t="str">
        <f t="shared" si="117"/>
        <v xml:space="preserve"> </v>
      </c>
      <c r="D714" s="440">
        <v>1</v>
      </c>
      <c r="E714" s="422"/>
      <c r="F714" s="441" t="str">
        <f>VLOOKUP($B714,[1]DG!A:D,[1]DG!$C$2,)</f>
        <v>Vật liệu dựng trụ</v>
      </c>
      <c r="G714" s="422" t="str">
        <f>VLOOKUP($B714,[1]DG!A:D,[1]DG!$D$2,)</f>
        <v>trụ</v>
      </c>
      <c r="H714" s="435">
        <f t="shared" si="124"/>
        <v>0</v>
      </c>
      <c r="I714" s="435">
        <f t="shared" si="124"/>
        <v>0</v>
      </c>
      <c r="J714" s="435">
        <f t="shared" si="124"/>
        <v>0</v>
      </c>
      <c r="K714" s="435">
        <f t="shared" si="124"/>
        <v>0</v>
      </c>
      <c r="L714" s="435">
        <f t="shared" si="124"/>
        <v>0</v>
      </c>
      <c r="M714" s="435">
        <f t="shared" si="124"/>
        <v>0</v>
      </c>
      <c r="N714" s="435">
        <f t="shared" si="124"/>
        <v>0</v>
      </c>
      <c r="O714" s="435">
        <f t="shared" si="124"/>
        <v>0</v>
      </c>
      <c r="P714" s="435">
        <f>$P$712*D714</f>
        <v>0</v>
      </c>
      <c r="Q714" s="442"/>
      <c r="R714" s="442"/>
      <c r="S714" s="442"/>
      <c r="T714" s="432">
        <f t="shared" si="116"/>
        <v>0</v>
      </c>
    </row>
    <row r="715" spans="1:20" ht="22.2" hidden="1" customHeight="1">
      <c r="A715" s="379"/>
      <c r="B715" s="410" t="s">
        <v>842</v>
      </c>
      <c r="C715" s="469" t="str">
        <f t="shared" si="117"/>
        <v xml:space="preserve"> </v>
      </c>
      <c r="D715" s="440">
        <v>1</v>
      </c>
      <c r="E715" s="422" t="str">
        <f>VLOOKUP($B715,[1]DG!A:D,[1]DG!$B$2,)</f>
        <v>05.5302</v>
      </c>
      <c r="F715" s="441" t="str">
        <f>VLOOKUP($B715,[1]DG!A:D,[1]DG!$C$2,)</f>
        <v>Dựng trụ BTLT &lt;10m thủ công +cơ giới</v>
      </c>
      <c r="G715" s="422" t="str">
        <f>VLOOKUP($B715,[1]DG!A:D,[1]DG!$D$2,)</f>
        <v>trụ</v>
      </c>
      <c r="H715" s="435">
        <f>H$712*$D715</f>
        <v>0</v>
      </c>
      <c r="I715" s="435"/>
      <c r="J715" s="435"/>
      <c r="K715" s="435"/>
      <c r="L715" s="435"/>
      <c r="M715" s="435"/>
      <c r="N715" s="435"/>
      <c r="O715" s="435"/>
      <c r="P715" s="435">
        <f>$P$712*D715</f>
        <v>0</v>
      </c>
      <c r="Q715" s="437"/>
      <c r="R715" s="437"/>
      <c r="S715" s="437"/>
      <c r="T715" s="432">
        <f t="shared" si="116"/>
        <v>0</v>
      </c>
    </row>
    <row r="716" spans="1:20" ht="22.2" hidden="1" customHeight="1">
      <c r="A716" s="379"/>
      <c r="B716" s="410" t="s">
        <v>833</v>
      </c>
      <c r="C716" s="469" t="str">
        <f t="shared" si="117"/>
        <v xml:space="preserve"> </v>
      </c>
      <c r="D716" s="439"/>
      <c r="E716" s="422" t="str">
        <f>VLOOKUP($B716,[1]DG!A:D,[1]DG!$B$2,)</f>
        <v>02.1124</v>
      </c>
      <c r="F716" s="434" t="str">
        <f>VLOOKUP($B716,[1]DG!A:D,[1]DG!$C$2,)</f>
        <v xml:space="preserve">Bốc dỡ trụ </v>
      </c>
      <c r="G716" s="422" t="str">
        <f>VLOOKUP($B716,[1]DG!A:D,[1]DG!$D$2,)</f>
        <v>tấn</v>
      </c>
      <c r="H716" s="435"/>
      <c r="I716" s="435"/>
      <c r="J716" s="435"/>
      <c r="K716" s="435"/>
      <c r="L716" s="435"/>
      <c r="M716" s="435"/>
      <c r="N716" s="435"/>
      <c r="O716" s="435"/>
      <c r="P716" s="435"/>
      <c r="Q716" s="437"/>
      <c r="R716" s="437"/>
      <c r="S716" s="437"/>
      <c r="T716" s="432">
        <f t="shared" si="116"/>
        <v>0</v>
      </c>
    </row>
    <row r="717" spans="1:20" ht="22.2" hidden="1" customHeight="1">
      <c r="A717" s="379"/>
      <c r="B717" s="438" t="s">
        <v>834</v>
      </c>
      <c r="C717" s="469" t="str">
        <f t="shared" si="117"/>
        <v xml:space="preserve"> </v>
      </c>
      <c r="D717" s="439"/>
      <c r="E717" s="422" t="str">
        <f>VLOOKUP($B717,[1]DG!A:C,2,)</f>
        <v>02.1461</v>
      </c>
      <c r="F717" s="434" t="str">
        <f>VLOOKUP($B717,[1]DG!A:C,3,)</f>
        <v>V/c cột vào vị trí (cự ly &lt;=100m)</v>
      </c>
      <c r="G717" s="422" t="str">
        <f>VLOOKUP($B717,[1]DG!A:D,4,0)</f>
        <v>tấn</v>
      </c>
      <c r="H717" s="435"/>
      <c r="I717" s="435"/>
      <c r="J717" s="435"/>
      <c r="K717" s="435"/>
      <c r="L717" s="435"/>
      <c r="M717" s="435"/>
      <c r="N717" s="435"/>
      <c r="O717" s="435"/>
      <c r="P717" s="435"/>
      <c r="Q717" s="437"/>
      <c r="R717" s="437"/>
      <c r="S717" s="437"/>
      <c r="T717" s="432">
        <f t="shared" si="116"/>
        <v>0</v>
      </c>
    </row>
    <row r="718" spans="1:20" ht="22.2" hidden="1" customHeight="1">
      <c r="A718" s="379"/>
      <c r="B718" s="438" t="s">
        <v>620</v>
      </c>
      <c r="C718" s="469" t="str">
        <f t="shared" si="117"/>
        <v xml:space="preserve"> </v>
      </c>
      <c r="D718" s="439"/>
      <c r="E718" s="422" t="str">
        <f>VLOOKUP($B718,[1]DG!A:C,2,)</f>
        <v>02.1482</v>
      </c>
      <c r="F718" s="434" t="str">
        <f>VLOOKUP($B718,[1]DG!A:C,3,)</f>
        <v>V/c dụng cụ thi công vào vị trí (cự ly &lt;=100m)</v>
      </c>
      <c r="G718" s="422" t="str">
        <f>VLOOKUP($B718,[1]DG!A:D,4,0)</f>
        <v>tấn</v>
      </c>
      <c r="H718" s="435"/>
      <c r="I718" s="435"/>
      <c r="J718" s="435"/>
      <c r="K718" s="435"/>
      <c r="L718" s="435"/>
      <c r="M718" s="435"/>
      <c r="N718" s="435"/>
      <c r="O718" s="435"/>
      <c r="P718" s="435"/>
      <c r="Q718" s="437"/>
      <c r="R718" s="437"/>
      <c r="S718" s="437"/>
      <c r="T718" s="432">
        <f t="shared" si="116"/>
        <v>0</v>
      </c>
    </row>
    <row r="719" spans="1:20" ht="22.2" hidden="1" customHeight="1">
      <c r="A719" s="470" t="s">
        <v>843</v>
      </c>
      <c r="B719" s="468" t="s">
        <v>843</v>
      </c>
      <c r="C719" s="469" t="str">
        <f t="shared" si="117"/>
        <v xml:space="preserve"> </v>
      </c>
      <c r="D719" s="426"/>
      <c r="E719" s="427"/>
      <c r="F719" s="428" t="s">
        <v>844</v>
      </c>
      <c r="G719" s="349" t="s">
        <v>339</v>
      </c>
      <c r="H719" s="429">
        <f>SUM(I719:O719)</f>
        <v>0</v>
      </c>
      <c r="I719" s="430"/>
      <c r="J719" s="430"/>
      <c r="K719" s="430">
        <f>IFERROR(HLOOKUP(B719,[1]pp3p1m!$1:$3,3,0),0)</f>
        <v>0</v>
      </c>
      <c r="L719" s="430">
        <f>IFERROR(HLOOKUP(chitiet!B719,[1]pp1p!$1:$3,3,0),0)</f>
        <v>0</v>
      </c>
      <c r="M719" s="430"/>
      <c r="N719" s="430"/>
      <c r="O719" s="430"/>
      <c r="P719" s="430"/>
      <c r="Q719" s="431"/>
      <c r="R719" s="431"/>
      <c r="S719" s="431"/>
      <c r="T719" s="432">
        <f>IFERROR(HLOOKUP(B719,[1]pp1p!$1:$3,3,0),0)+IFERROR(HLOOKUP(B719,[1]pp3p1m!$1:$3,3,0),0)</f>
        <v>0</v>
      </c>
    </row>
    <row r="720" spans="1:20" ht="22.2" hidden="1" customHeight="1">
      <c r="A720" s="379"/>
      <c r="B720" s="410" t="s">
        <v>845</v>
      </c>
      <c r="C720" s="469" t="str">
        <f t="shared" si="117"/>
        <v xml:space="preserve"> </v>
      </c>
      <c r="D720" s="440">
        <v>1</v>
      </c>
      <c r="E720" s="422"/>
      <c r="F720" s="441" t="str">
        <f>VLOOKUP($B720,[1]DG!A:D,[1]DG!$C$2,)</f>
        <v>Trụ BTLT 8,4m F200 dự ứng lực có dây tiếp địa</v>
      </c>
      <c r="G720" s="422" t="str">
        <f>VLOOKUP($B720,[1]DG!A:D,[1]DG!$D$2,)</f>
        <v>trụ</v>
      </c>
      <c r="H720" s="435">
        <f>H719*$D720</f>
        <v>0</v>
      </c>
      <c r="I720" s="435">
        <f t="shared" ref="I720:O721" si="125">I$712*$D720</f>
        <v>0</v>
      </c>
      <c r="J720" s="435">
        <f t="shared" si="125"/>
        <v>0</v>
      </c>
      <c r="K720" s="435">
        <f t="shared" si="125"/>
        <v>0</v>
      </c>
      <c r="L720" s="435">
        <f t="shared" si="125"/>
        <v>0</v>
      </c>
      <c r="M720" s="435">
        <f t="shared" si="125"/>
        <v>0</v>
      </c>
      <c r="N720" s="435">
        <f t="shared" si="125"/>
        <v>0</v>
      </c>
      <c r="O720" s="435">
        <f t="shared" si="125"/>
        <v>0</v>
      </c>
      <c r="P720" s="435"/>
      <c r="Q720" s="442"/>
      <c r="R720" s="442"/>
      <c r="S720" s="442"/>
      <c r="T720" s="432">
        <f t="shared" si="116"/>
        <v>0</v>
      </c>
    </row>
    <row r="721" spans="1:20" ht="22.2" hidden="1" customHeight="1">
      <c r="A721" s="379"/>
      <c r="B721" s="410" t="s">
        <v>70</v>
      </c>
      <c r="C721" s="469" t="str">
        <f t="shared" si="117"/>
        <v xml:space="preserve"> </v>
      </c>
      <c r="D721" s="440">
        <v>1</v>
      </c>
      <c r="E721" s="422"/>
      <c r="F721" s="441" t="str">
        <f>VLOOKUP($B721,[1]DG!A:D,[1]DG!$C$2,)</f>
        <v>Vật liệu dựng trụ</v>
      </c>
      <c r="G721" s="422" t="str">
        <f>VLOOKUP($B721,[1]DG!A:D,[1]DG!$D$2,)</f>
        <v>trụ</v>
      </c>
      <c r="H721" s="435">
        <f>H720*$D721</f>
        <v>0</v>
      </c>
      <c r="I721" s="435">
        <f t="shared" si="125"/>
        <v>0</v>
      </c>
      <c r="J721" s="435">
        <f t="shared" si="125"/>
        <v>0</v>
      </c>
      <c r="K721" s="435">
        <f t="shared" si="125"/>
        <v>0</v>
      </c>
      <c r="L721" s="435">
        <f t="shared" si="125"/>
        <v>0</v>
      </c>
      <c r="M721" s="435">
        <f t="shared" si="125"/>
        <v>0</v>
      </c>
      <c r="N721" s="435">
        <f t="shared" si="125"/>
        <v>0</v>
      </c>
      <c r="O721" s="435">
        <f t="shared" si="125"/>
        <v>0</v>
      </c>
      <c r="P721" s="435"/>
      <c r="Q721" s="442"/>
      <c r="R721" s="442"/>
      <c r="S721" s="442"/>
      <c r="T721" s="432">
        <f t="shared" si="116"/>
        <v>0</v>
      </c>
    </row>
    <row r="722" spans="1:20" ht="22.2" hidden="1" customHeight="1">
      <c r="A722" s="379"/>
      <c r="B722" s="410" t="s">
        <v>842</v>
      </c>
      <c r="C722" s="469" t="str">
        <f t="shared" si="117"/>
        <v xml:space="preserve"> </v>
      </c>
      <c r="D722" s="440">
        <v>1</v>
      </c>
      <c r="E722" s="422" t="str">
        <f>VLOOKUP($B722,[1]DG!A:D,[1]DG!$B$2,)</f>
        <v>05.5302</v>
      </c>
      <c r="F722" s="441" t="str">
        <f>VLOOKUP($B722,[1]DG!A:D,[1]DG!$C$2,)</f>
        <v>Dựng trụ BTLT &lt;10m thủ công +cơ giới</v>
      </c>
      <c r="G722" s="422" t="str">
        <f>VLOOKUP($B722,[1]DG!A:D,[1]DG!$D$2,)</f>
        <v>trụ</v>
      </c>
      <c r="H722" s="435">
        <f>H721*$D722</f>
        <v>0</v>
      </c>
      <c r="I722" s="435"/>
      <c r="J722" s="435"/>
      <c r="K722" s="435"/>
      <c r="L722" s="435"/>
      <c r="M722" s="435"/>
      <c r="N722" s="435"/>
      <c r="O722" s="435"/>
      <c r="P722" s="435"/>
      <c r="Q722" s="437"/>
      <c r="R722" s="437"/>
      <c r="S722" s="437"/>
      <c r="T722" s="432">
        <f t="shared" si="116"/>
        <v>0</v>
      </c>
    </row>
    <row r="723" spans="1:20" ht="22.2" hidden="1" customHeight="1">
      <c r="A723" s="379"/>
      <c r="B723" s="410" t="s">
        <v>833</v>
      </c>
      <c r="C723" s="469" t="str">
        <f t="shared" si="117"/>
        <v xml:space="preserve"> </v>
      </c>
      <c r="D723" s="439"/>
      <c r="E723" s="422" t="str">
        <f>VLOOKUP($B723,[1]DG!A:D,[1]DG!$B$2,)</f>
        <v>02.1124</v>
      </c>
      <c r="F723" s="434" t="str">
        <f>VLOOKUP($B723,[1]DG!A:D,[1]DG!$C$2,)</f>
        <v xml:space="preserve">Bốc dỡ trụ </v>
      </c>
      <c r="G723" s="422" t="str">
        <f>VLOOKUP($B723,[1]DG!A:D,[1]DG!$D$2,)</f>
        <v>tấn</v>
      </c>
      <c r="H723" s="435"/>
      <c r="I723" s="435"/>
      <c r="J723" s="435"/>
      <c r="K723" s="435"/>
      <c r="L723" s="435"/>
      <c r="M723" s="435"/>
      <c r="N723" s="435"/>
      <c r="O723" s="435"/>
      <c r="P723" s="435"/>
      <c r="Q723" s="437"/>
      <c r="R723" s="437"/>
      <c r="S723" s="437"/>
      <c r="T723" s="432">
        <f t="shared" si="116"/>
        <v>0</v>
      </c>
    </row>
    <row r="724" spans="1:20" ht="22.2" hidden="1" customHeight="1">
      <c r="A724" s="379"/>
      <c r="B724" s="438" t="s">
        <v>834</v>
      </c>
      <c r="C724" s="469" t="str">
        <f t="shared" si="117"/>
        <v xml:space="preserve"> </v>
      </c>
      <c r="D724" s="439"/>
      <c r="E724" s="422" t="str">
        <f>VLOOKUP($B724,[1]DG!A:C,2,)</f>
        <v>02.1461</v>
      </c>
      <c r="F724" s="434" t="str">
        <f>VLOOKUP($B724,[1]DG!A:C,3,)</f>
        <v>V/c cột vào vị trí (cự ly &lt;=100m)</v>
      </c>
      <c r="G724" s="422" t="str">
        <f>VLOOKUP($B724,[1]DG!A:D,4,0)</f>
        <v>tấn</v>
      </c>
      <c r="H724" s="435"/>
      <c r="I724" s="435"/>
      <c r="J724" s="435"/>
      <c r="K724" s="435"/>
      <c r="L724" s="435"/>
      <c r="M724" s="435"/>
      <c r="N724" s="435"/>
      <c r="O724" s="435"/>
      <c r="P724" s="435"/>
      <c r="Q724" s="437"/>
      <c r="R724" s="437"/>
      <c r="S724" s="437"/>
      <c r="T724" s="432">
        <f t="shared" si="116"/>
        <v>0</v>
      </c>
    </row>
    <row r="725" spans="1:20" ht="22.2" hidden="1" customHeight="1">
      <c r="A725" s="379"/>
      <c r="B725" s="438" t="s">
        <v>620</v>
      </c>
      <c r="C725" s="469" t="str">
        <f t="shared" si="117"/>
        <v xml:space="preserve"> </v>
      </c>
      <c r="D725" s="439"/>
      <c r="E725" s="422" t="str">
        <f>VLOOKUP($B725,[1]DG!A:C,2,)</f>
        <v>02.1482</v>
      </c>
      <c r="F725" s="434" t="str">
        <f>VLOOKUP($B725,[1]DG!A:C,3,)</f>
        <v>V/c dụng cụ thi công vào vị trí (cự ly &lt;=100m)</v>
      </c>
      <c r="G725" s="422" t="str">
        <f>VLOOKUP($B725,[1]DG!A:D,4,0)</f>
        <v>tấn</v>
      </c>
      <c r="H725" s="435"/>
      <c r="I725" s="435"/>
      <c r="J725" s="435"/>
      <c r="K725" s="435"/>
      <c r="L725" s="435"/>
      <c r="M725" s="435"/>
      <c r="N725" s="435"/>
      <c r="O725" s="435"/>
      <c r="P725" s="435"/>
      <c r="Q725" s="437"/>
      <c r="R725" s="437"/>
      <c r="S725" s="437"/>
      <c r="T725" s="432">
        <f t="shared" si="116"/>
        <v>0</v>
      </c>
    </row>
    <row r="726" spans="1:20" ht="22.2" hidden="1" customHeight="1">
      <c r="A726" s="470" t="s">
        <v>846</v>
      </c>
      <c r="B726" s="468" t="s">
        <v>839</v>
      </c>
      <c r="C726" s="469" t="str">
        <f t="shared" si="117"/>
        <v xml:space="preserve"> </v>
      </c>
      <c r="D726" s="426"/>
      <c r="E726" s="427"/>
      <c r="F726" s="428" t="s">
        <v>847</v>
      </c>
      <c r="G726" s="349" t="s">
        <v>339</v>
      </c>
      <c r="H726" s="429">
        <f>SUM(I726:O726)</f>
        <v>0</v>
      </c>
      <c r="I726" s="430"/>
      <c r="J726" s="430"/>
      <c r="K726" s="430">
        <f>IFERROR(HLOOKUP(B726,[1]pp3p1m!$1:$3,3,0),0)</f>
        <v>0</v>
      </c>
      <c r="L726" s="430">
        <f>IFERROR(HLOOKUP(chitiet!B726,[1]pp1p!$1:$3,3,0),0)</f>
        <v>0</v>
      </c>
      <c r="M726" s="430"/>
      <c r="N726" s="430"/>
      <c r="O726" s="430"/>
      <c r="P726" s="430"/>
      <c r="Q726" s="431"/>
      <c r="R726" s="431"/>
      <c r="S726" s="431"/>
      <c r="T726" s="432">
        <f>IFERROR(HLOOKUP(B726,[1]pp1p!$1:$3,3,0),0)+IFERROR(HLOOKUP(B726,[1]pp3p1m!$1:$3,3,0),0)</f>
        <v>0</v>
      </c>
    </row>
    <row r="727" spans="1:20" ht="22.2" hidden="1" customHeight="1">
      <c r="A727" s="379"/>
      <c r="B727" s="410" t="s">
        <v>70</v>
      </c>
      <c r="C727" s="469" t="str">
        <f t="shared" si="117"/>
        <v xml:space="preserve"> </v>
      </c>
      <c r="D727" s="440">
        <v>1</v>
      </c>
      <c r="E727" s="422"/>
      <c r="F727" s="441" t="s">
        <v>848</v>
      </c>
      <c r="G727" s="422" t="str">
        <f>VLOOKUP($B727,[1]DG!A:D,[1]DG!$D$2,)</f>
        <v>trụ</v>
      </c>
      <c r="H727" s="435">
        <f t="shared" ref="H727:O727" si="126">H$726*$D727</f>
        <v>0</v>
      </c>
      <c r="I727" s="435">
        <f t="shared" si="126"/>
        <v>0</v>
      </c>
      <c r="J727" s="435">
        <f t="shared" si="126"/>
        <v>0</v>
      </c>
      <c r="K727" s="435">
        <f t="shared" si="126"/>
        <v>0</v>
      </c>
      <c r="L727" s="435">
        <f t="shared" si="126"/>
        <v>0</v>
      </c>
      <c r="M727" s="435">
        <f t="shared" si="126"/>
        <v>0</v>
      </c>
      <c r="N727" s="435">
        <f t="shared" si="126"/>
        <v>0</v>
      </c>
      <c r="O727" s="435">
        <f t="shared" si="126"/>
        <v>0</v>
      </c>
      <c r="P727" s="435"/>
      <c r="Q727" s="442"/>
      <c r="R727" s="442"/>
      <c r="S727" s="442"/>
      <c r="T727" s="432">
        <f t="shared" si="116"/>
        <v>0</v>
      </c>
    </row>
    <row r="728" spans="1:20" ht="22.2" hidden="1" customHeight="1">
      <c r="A728" s="379"/>
      <c r="B728" s="410" t="s">
        <v>842</v>
      </c>
      <c r="C728" s="469" t="str">
        <f t="shared" si="117"/>
        <v xml:space="preserve"> </v>
      </c>
      <c r="D728" s="440">
        <v>1</v>
      </c>
      <c r="E728" s="422" t="str">
        <f>VLOOKUP($B728,[1]DG!A:D,[1]DG!$B$2,)</f>
        <v>05.5302</v>
      </c>
      <c r="F728" s="441" t="s">
        <v>849</v>
      </c>
      <c r="G728" s="422" t="str">
        <f>VLOOKUP($B728,[1]DG!A:D,[1]DG!$D$2,)</f>
        <v>trụ</v>
      </c>
      <c r="H728" s="435"/>
      <c r="I728" s="435"/>
      <c r="J728" s="435"/>
      <c r="K728" s="435"/>
      <c r="L728" s="435"/>
      <c r="M728" s="435"/>
      <c r="N728" s="435"/>
      <c r="O728" s="435"/>
      <c r="P728" s="435"/>
      <c r="Q728" s="437"/>
      <c r="R728" s="437"/>
      <c r="S728" s="437"/>
      <c r="T728" s="432">
        <f t="shared" si="116"/>
        <v>0</v>
      </c>
    </row>
    <row r="729" spans="1:20" ht="22.2" hidden="1" customHeight="1">
      <c r="A729" s="379"/>
      <c r="B729" s="438" t="s">
        <v>620</v>
      </c>
      <c r="C729" s="469" t="str">
        <f t="shared" si="117"/>
        <v xml:space="preserve"> </v>
      </c>
      <c r="D729" s="439">
        <v>0.25</v>
      </c>
      <c r="E729" s="422" t="str">
        <f>VLOOKUP($B729,[1]DG!A:C,2,)</f>
        <v>02.1482</v>
      </c>
      <c r="F729" s="434" t="str">
        <f>VLOOKUP($B729,[1]DG!A:C,3,)</f>
        <v>V/c dụng cụ thi công vào vị trí (cự ly &lt;=100m)</v>
      </c>
      <c r="G729" s="422" t="str">
        <f>VLOOKUP($B729,[1]DG!A:D,4,0)</f>
        <v>tấn</v>
      </c>
      <c r="H729" s="435"/>
      <c r="I729" s="435"/>
      <c r="J729" s="435"/>
      <c r="K729" s="435"/>
      <c r="L729" s="435"/>
      <c r="M729" s="435"/>
      <c r="N729" s="435"/>
      <c r="O729" s="435"/>
      <c r="P729" s="435"/>
      <c r="Q729" s="437"/>
      <c r="R729" s="437"/>
      <c r="S729" s="437"/>
      <c r="T729" s="432">
        <f t="shared" si="116"/>
        <v>0</v>
      </c>
    </row>
    <row r="730" spans="1:20" ht="22.2" hidden="1" customHeight="1">
      <c r="A730" s="467" t="s">
        <v>850</v>
      </c>
      <c r="B730" s="468" t="s">
        <v>850</v>
      </c>
      <c r="C730" s="469" t="str">
        <f t="shared" si="117"/>
        <v xml:space="preserve"> </v>
      </c>
      <c r="D730" s="426"/>
      <c r="E730" s="427"/>
      <c r="F730" s="428" t="s">
        <v>851</v>
      </c>
      <c r="G730" s="349" t="s">
        <v>339</v>
      </c>
      <c r="H730" s="429">
        <f>SUM(I730:O730)</f>
        <v>0</v>
      </c>
      <c r="I730" s="430"/>
      <c r="J730" s="430"/>
      <c r="K730" s="430">
        <f>IFERROR(HLOOKUP(B730,[1]pp3p1m!$1:$3,3,0),0)</f>
        <v>0</v>
      </c>
      <c r="L730" s="430">
        <f>IFERROR(HLOOKUP(chitiet!B730,[1]pp1p!$1:$3,3,0),0)</f>
        <v>0</v>
      </c>
      <c r="M730" s="430"/>
      <c r="N730" s="430"/>
      <c r="O730" s="430"/>
      <c r="P730" s="430"/>
      <c r="Q730" s="431"/>
      <c r="R730" s="431"/>
      <c r="S730" s="431"/>
      <c r="T730" s="432">
        <f>IFERROR(HLOOKUP(B730,[1]pp1p!$1:$3,3,0),0)+IFERROR(HLOOKUP(B730,[1]pp3p1m!$1:$3,3,0),0)</f>
        <v>0</v>
      </c>
    </row>
    <row r="731" spans="1:20" ht="22.2" hidden="1" customHeight="1">
      <c r="A731" s="379"/>
      <c r="B731" s="410" t="s">
        <v>70</v>
      </c>
      <c r="C731" s="469" t="str">
        <f t="shared" si="117"/>
        <v xml:space="preserve"> </v>
      </c>
      <c r="D731" s="440">
        <v>1</v>
      </c>
      <c r="E731" s="422"/>
      <c r="F731" s="441" t="s">
        <v>848</v>
      </c>
      <c r="G731" s="422" t="str">
        <f>VLOOKUP($B731,[1]DG!A:D,[1]DG!$D$2,)</f>
        <v>trụ</v>
      </c>
      <c r="H731" s="435">
        <f t="shared" ref="H731:O734" si="127">H$730*$D731</f>
        <v>0</v>
      </c>
      <c r="I731" s="435">
        <f t="shared" si="127"/>
        <v>0</v>
      </c>
      <c r="J731" s="435">
        <f t="shared" si="127"/>
        <v>0</v>
      </c>
      <c r="K731" s="435">
        <f t="shared" si="127"/>
        <v>0</v>
      </c>
      <c r="L731" s="435">
        <f t="shared" si="127"/>
        <v>0</v>
      </c>
      <c r="M731" s="435">
        <f t="shared" si="127"/>
        <v>0</v>
      </c>
      <c r="N731" s="435">
        <f t="shared" si="127"/>
        <v>0</v>
      </c>
      <c r="O731" s="435">
        <f t="shared" si="127"/>
        <v>0</v>
      </c>
      <c r="P731" s="435"/>
      <c r="Q731" s="442"/>
      <c r="R731" s="442"/>
      <c r="S731" s="442"/>
      <c r="T731" s="432">
        <f t="shared" si="116"/>
        <v>0</v>
      </c>
    </row>
    <row r="732" spans="1:20" ht="22.2" hidden="1" customHeight="1">
      <c r="A732" s="379"/>
      <c r="B732" s="410" t="s">
        <v>842</v>
      </c>
      <c r="C732" s="469" t="str">
        <f t="shared" si="117"/>
        <v xml:space="preserve"> </v>
      </c>
      <c r="D732" s="440">
        <v>1</v>
      </c>
      <c r="E732" s="422" t="str">
        <f>VLOOKUP($B732,[1]DG!A:D,[1]DG!$B$2,)</f>
        <v>05.5302</v>
      </c>
      <c r="F732" s="441" t="s">
        <v>849</v>
      </c>
      <c r="G732" s="422" t="str">
        <f>VLOOKUP($B732,[1]DG!A:D,[1]DG!$D$2,)</f>
        <v>trụ</v>
      </c>
      <c r="H732" s="435">
        <f t="shared" si="127"/>
        <v>0</v>
      </c>
      <c r="I732" s="435">
        <f t="shared" si="127"/>
        <v>0</v>
      </c>
      <c r="J732" s="435">
        <f t="shared" si="127"/>
        <v>0</v>
      </c>
      <c r="K732" s="435">
        <f t="shared" si="127"/>
        <v>0</v>
      </c>
      <c r="L732" s="435">
        <f t="shared" si="127"/>
        <v>0</v>
      </c>
      <c r="M732" s="435">
        <f t="shared" si="127"/>
        <v>0</v>
      </c>
      <c r="N732" s="435">
        <f t="shared" si="127"/>
        <v>0</v>
      </c>
      <c r="O732" s="435">
        <f t="shared" si="127"/>
        <v>0</v>
      </c>
      <c r="P732" s="435"/>
      <c r="Q732" s="442"/>
      <c r="R732" s="442"/>
      <c r="S732" s="442"/>
      <c r="T732" s="432">
        <f t="shared" si="116"/>
        <v>0</v>
      </c>
    </row>
    <row r="733" spans="1:20" ht="22.2" hidden="1" customHeight="1">
      <c r="A733" s="379"/>
      <c r="B733" s="410" t="s">
        <v>70</v>
      </c>
      <c r="C733" s="469" t="str">
        <f t="shared" si="117"/>
        <v xml:space="preserve"> </v>
      </c>
      <c r="D733" s="440">
        <v>1</v>
      </c>
      <c r="E733" s="422">
        <f>VLOOKUP($B733,[1]DG!A:D,[1]DG!$B$2,)</f>
        <v>0</v>
      </c>
      <c r="F733" s="441" t="str">
        <f>VLOOKUP($B733,[1]DG!A:D,[1]DG!$C$2,)</f>
        <v>Vật liệu dựng trụ</v>
      </c>
      <c r="G733" s="422" t="str">
        <f>VLOOKUP($B733,[1]DG!A:D,[1]DG!$D$2,)</f>
        <v>trụ</v>
      </c>
      <c r="H733" s="435">
        <f t="shared" si="127"/>
        <v>0</v>
      </c>
      <c r="I733" s="435">
        <f t="shared" si="127"/>
        <v>0</v>
      </c>
      <c r="J733" s="435">
        <f t="shared" si="127"/>
        <v>0</v>
      </c>
      <c r="K733" s="435">
        <f t="shared" si="127"/>
        <v>0</v>
      </c>
      <c r="L733" s="435">
        <f t="shared" si="127"/>
        <v>0</v>
      </c>
      <c r="M733" s="435">
        <f t="shared" si="127"/>
        <v>0</v>
      </c>
      <c r="N733" s="435">
        <f t="shared" si="127"/>
        <v>0</v>
      </c>
      <c r="O733" s="435">
        <f t="shared" si="127"/>
        <v>0</v>
      </c>
      <c r="P733" s="435"/>
      <c r="Q733" s="442"/>
      <c r="R733" s="442"/>
      <c r="S733" s="442"/>
      <c r="T733" s="432">
        <f t="shared" ref="T733:T796" si="128">IFERROR(HLOOKUP(B733,BangKeTru,3,0),0)</f>
        <v>0</v>
      </c>
    </row>
    <row r="734" spans="1:20" ht="22.2" hidden="1" customHeight="1">
      <c r="A734" s="379"/>
      <c r="B734" s="410" t="s">
        <v>842</v>
      </c>
      <c r="C734" s="469" t="str">
        <f t="shared" ref="C734:C797" si="129">IF(OR(P734&lt;&gt;0,H734&lt;&gt;0),"x"," ")</f>
        <v xml:space="preserve"> </v>
      </c>
      <c r="D734" s="440">
        <v>1</v>
      </c>
      <c r="E734" s="422" t="str">
        <f>VLOOKUP($B734,[1]DG!A:D,[1]DG!$B$2,)</f>
        <v>05.5302</v>
      </c>
      <c r="F734" s="441" t="str">
        <f>VLOOKUP($B734,[1]DG!A:D,[1]DG!$C$2,)</f>
        <v>Dựng trụ BTLT &lt;10m thủ công +cơ giới</v>
      </c>
      <c r="G734" s="422" t="str">
        <f>VLOOKUP($B734,[1]DG!A:D,[1]DG!$D$2,)</f>
        <v>trụ</v>
      </c>
      <c r="H734" s="435">
        <f t="shared" si="127"/>
        <v>0</v>
      </c>
      <c r="I734" s="435">
        <f t="shared" si="127"/>
        <v>0</v>
      </c>
      <c r="J734" s="435">
        <f t="shared" si="127"/>
        <v>0</v>
      </c>
      <c r="K734" s="435">
        <f t="shared" si="127"/>
        <v>0</v>
      </c>
      <c r="L734" s="435">
        <f t="shared" si="127"/>
        <v>0</v>
      </c>
      <c r="M734" s="435">
        <f t="shared" si="127"/>
        <v>0</v>
      </c>
      <c r="N734" s="435">
        <f t="shared" si="127"/>
        <v>0</v>
      </c>
      <c r="O734" s="435">
        <f t="shared" si="127"/>
        <v>0</v>
      </c>
      <c r="P734" s="435"/>
      <c r="Q734" s="442"/>
      <c r="R734" s="442"/>
      <c r="S734" s="442"/>
      <c r="T734" s="432">
        <f t="shared" si="128"/>
        <v>0</v>
      </c>
    </row>
    <row r="735" spans="1:20" ht="22.2" hidden="1" customHeight="1">
      <c r="A735" s="379"/>
      <c r="B735" s="438" t="s">
        <v>620</v>
      </c>
      <c r="C735" s="469" t="str">
        <f t="shared" si="129"/>
        <v xml:space="preserve"> </v>
      </c>
      <c r="D735" s="439"/>
      <c r="E735" s="422" t="str">
        <f>VLOOKUP($B735,[1]DG!A:C,2,)</f>
        <v>02.1482</v>
      </c>
      <c r="F735" s="434" t="str">
        <f>VLOOKUP($B735,[1]DG!A:C,3,)</f>
        <v>V/c dụng cụ thi công vào vị trí (cự ly &lt;=100m)</v>
      </c>
      <c r="G735" s="422" t="str">
        <f>VLOOKUP($B735,[1]DG!A:D,4,0)</f>
        <v>tấn</v>
      </c>
      <c r="H735" s="435"/>
      <c r="I735" s="435"/>
      <c r="J735" s="435"/>
      <c r="K735" s="435"/>
      <c r="L735" s="435"/>
      <c r="M735" s="435"/>
      <c r="N735" s="435"/>
      <c r="O735" s="435"/>
      <c r="P735" s="435"/>
      <c r="Q735" s="437"/>
      <c r="R735" s="437"/>
      <c r="S735" s="437"/>
      <c r="T735" s="432">
        <f t="shared" si="128"/>
        <v>0</v>
      </c>
    </row>
    <row r="736" spans="1:20" ht="22.2" hidden="1" customHeight="1">
      <c r="A736" s="467" t="s">
        <v>852</v>
      </c>
      <c r="B736" s="468" t="s">
        <v>852</v>
      </c>
      <c r="C736" s="469" t="str">
        <f t="shared" si="129"/>
        <v xml:space="preserve"> </v>
      </c>
      <c r="D736" s="426"/>
      <c r="E736" s="427"/>
      <c r="F736" s="428" t="s">
        <v>853</v>
      </c>
      <c r="G736" s="349" t="s">
        <v>339</v>
      </c>
      <c r="H736" s="429">
        <f>SUM(I736:O736)</f>
        <v>0</v>
      </c>
      <c r="I736" s="430"/>
      <c r="J736" s="430"/>
      <c r="K736" s="430">
        <f>IFERROR(HLOOKUP(B736,[1]pp3p1m!$1:$3,3,0),0)</f>
        <v>0</v>
      </c>
      <c r="L736" s="430">
        <f>IFERROR(HLOOKUP(chitiet!B736,[1]pp1p!$1:$3,3,0),0)</f>
        <v>0</v>
      </c>
      <c r="M736" s="430"/>
      <c r="N736" s="430"/>
      <c r="O736" s="430"/>
      <c r="P736" s="430"/>
      <c r="Q736" s="431"/>
      <c r="R736" s="431"/>
      <c r="S736" s="431"/>
      <c r="T736" s="432">
        <f>IFERROR(HLOOKUP(B736,[1]pp1p!$1:$3,3,0),0)+IFERROR(HLOOKUP(B736,[1]pp3p1m!$1:$3,3,0),0)</f>
        <v>0</v>
      </c>
    </row>
    <row r="737" spans="1:20" ht="22.2" hidden="1" customHeight="1">
      <c r="A737" s="379"/>
      <c r="B737" s="410" t="s">
        <v>342</v>
      </c>
      <c r="C737" s="469" t="str">
        <f t="shared" si="129"/>
        <v xml:space="preserve"> </v>
      </c>
      <c r="D737" s="440">
        <v>1</v>
      </c>
      <c r="E737" s="422"/>
      <c r="F737" s="441" t="str">
        <f>VLOOKUP($B737,[1]DG!A:D,[1]DG!$C$2,)</f>
        <v>Trụ BTLT 10,5m F350 dự ứng lực</v>
      </c>
      <c r="G737" s="422" t="str">
        <f>VLOOKUP($B737,[1]DG!A:D,[1]DG!$D$2,)</f>
        <v>trụ</v>
      </c>
      <c r="H737" s="435">
        <f t="shared" ref="H737:O738" si="130">H$736*$D737</f>
        <v>0</v>
      </c>
      <c r="I737" s="435">
        <f t="shared" si="130"/>
        <v>0</v>
      </c>
      <c r="J737" s="435">
        <f t="shared" si="130"/>
        <v>0</v>
      </c>
      <c r="K737" s="435">
        <f t="shared" si="130"/>
        <v>0</v>
      </c>
      <c r="L737" s="435">
        <f t="shared" si="130"/>
        <v>0</v>
      </c>
      <c r="M737" s="435">
        <f t="shared" si="130"/>
        <v>0</v>
      </c>
      <c r="N737" s="435">
        <f t="shared" si="130"/>
        <v>0</v>
      </c>
      <c r="O737" s="435">
        <f t="shared" si="130"/>
        <v>0</v>
      </c>
      <c r="P737" s="435"/>
      <c r="Q737" s="442"/>
      <c r="R737" s="442"/>
      <c r="S737" s="442"/>
      <c r="T737" s="432">
        <f t="shared" si="128"/>
        <v>0</v>
      </c>
    </row>
    <row r="738" spans="1:20" ht="22.2" hidden="1" customHeight="1">
      <c r="A738" s="379"/>
      <c r="B738" s="410" t="s">
        <v>70</v>
      </c>
      <c r="C738" s="469" t="str">
        <f t="shared" si="129"/>
        <v xml:space="preserve"> </v>
      </c>
      <c r="D738" s="440">
        <v>1</v>
      </c>
      <c r="E738" s="422"/>
      <c r="F738" s="441" t="str">
        <f>VLOOKUP($B738,[1]DG!A:D,[1]DG!$C$2,)</f>
        <v>Vật liệu dựng trụ</v>
      </c>
      <c r="G738" s="422" t="str">
        <f>VLOOKUP($B738,[1]DG!A:D,[1]DG!$D$2,)</f>
        <v>trụ</v>
      </c>
      <c r="H738" s="435">
        <f t="shared" si="130"/>
        <v>0</v>
      </c>
      <c r="I738" s="435">
        <f t="shared" si="130"/>
        <v>0</v>
      </c>
      <c r="J738" s="435">
        <f t="shared" si="130"/>
        <v>0</v>
      </c>
      <c r="K738" s="435">
        <f t="shared" si="130"/>
        <v>0</v>
      </c>
      <c r="L738" s="435">
        <f t="shared" si="130"/>
        <v>0</v>
      </c>
      <c r="M738" s="435">
        <f t="shared" si="130"/>
        <v>0</v>
      </c>
      <c r="N738" s="435">
        <f t="shared" si="130"/>
        <v>0</v>
      </c>
      <c r="O738" s="435">
        <f t="shared" si="130"/>
        <v>0</v>
      </c>
      <c r="P738" s="435"/>
      <c r="Q738" s="442"/>
      <c r="R738" s="442"/>
      <c r="S738" s="442"/>
      <c r="T738" s="432">
        <f t="shared" si="128"/>
        <v>0</v>
      </c>
    </row>
    <row r="739" spans="1:20" ht="22.2" hidden="1" customHeight="1">
      <c r="A739" s="379"/>
      <c r="B739" s="410" t="s">
        <v>563</v>
      </c>
      <c r="C739" s="469" t="str">
        <f t="shared" si="129"/>
        <v xml:space="preserve"> </v>
      </c>
      <c r="D739" s="440">
        <v>1</v>
      </c>
      <c r="E739" s="422" t="str">
        <f>VLOOKUP($B739,[1]DG!A:D,[1]DG!$B$2,)</f>
        <v>05.5402</v>
      </c>
      <c r="F739" s="441" t="str">
        <f>VLOOKUP($B739,[1]DG!A:D,[1]DG!$C$2,)</f>
        <v>Dựng trụ BTLT 10,5m thủ công + cơ giới</v>
      </c>
      <c r="G739" s="422" t="str">
        <f>VLOOKUP($B739,[1]DG!A:D,[1]DG!$D$2,)</f>
        <v>trụ</v>
      </c>
      <c r="H739" s="435"/>
      <c r="I739" s="435"/>
      <c r="J739" s="435"/>
      <c r="K739" s="435"/>
      <c r="L739" s="435"/>
      <c r="M739" s="435"/>
      <c r="N739" s="435"/>
      <c r="O739" s="435"/>
      <c r="P739" s="435"/>
      <c r="Q739" s="437"/>
      <c r="R739" s="437"/>
      <c r="S739" s="437"/>
      <c r="T739" s="432">
        <f t="shared" si="128"/>
        <v>0</v>
      </c>
    </row>
    <row r="740" spans="1:20" ht="22.2" hidden="1" customHeight="1">
      <c r="A740" s="379"/>
      <c r="B740" s="410" t="s">
        <v>833</v>
      </c>
      <c r="C740" s="469" t="str">
        <f t="shared" si="129"/>
        <v xml:space="preserve"> </v>
      </c>
      <c r="D740" s="439"/>
      <c r="E740" s="422" t="str">
        <f>VLOOKUP($B740,[1]DG!A:D,[1]DG!$B$2,)</f>
        <v>02.1124</v>
      </c>
      <c r="F740" s="434" t="str">
        <f>VLOOKUP($B740,[1]DG!A:D,[1]DG!$C$2,)</f>
        <v xml:space="preserve">Bốc dỡ trụ </v>
      </c>
      <c r="G740" s="422" t="str">
        <f>VLOOKUP($B740,[1]DG!A:D,[1]DG!$D$2,)</f>
        <v>tấn</v>
      </c>
      <c r="H740" s="435"/>
      <c r="I740" s="435"/>
      <c r="J740" s="435"/>
      <c r="K740" s="435"/>
      <c r="L740" s="435"/>
      <c r="M740" s="435"/>
      <c r="N740" s="435"/>
      <c r="O740" s="435"/>
      <c r="P740" s="435"/>
      <c r="Q740" s="437"/>
      <c r="R740" s="437"/>
      <c r="S740" s="437"/>
      <c r="T740" s="432">
        <f t="shared" si="128"/>
        <v>0</v>
      </c>
    </row>
    <row r="741" spans="1:20" ht="22.2" hidden="1" customHeight="1">
      <c r="A741" s="379"/>
      <c r="B741" s="438" t="s">
        <v>834</v>
      </c>
      <c r="C741" s="469" t="str">
        <f t="shared" si="129"/>
        <v xml:space="preserve"> </v>
      </c>
      <c r="D741" s="439"/>
      <c r="E741" s="422" t="str">
        <f>VLOOKUP($B741,[1]DG!A:C,2,)</f>
        <v>02.1461</v>
      </c>
      <c r="F741" s="434" t="str">
        <f>VLOOKUP($B741,[1]DG!A:C,3,)</f>
        <v>V/c cột vào vị trí (cự ly &lt;=100m)</v>
      </c>
      <c r="G741" s="422" t="str">
        <f>VLOOKUP($B741,[1]DG!A:D,4,0)</f>
        <v>tấn</v>
      </c>
      <c r="H741" s="435"/>
      <c r="I741" s="435"/>
      <c r="J741" s="435"/>
      <c r="K741" s="435"/>
      <c r="L741" s="435"/>
      <c r="M741" s="435"/>
      <c r="N741" s="435"/>
      <c r="O741" s="435"/>
      <c r="P741" s="435"/>
      <c r="Q741" s="437"/>
      <c r="R741" s="437"/>
      <c r="S741" s="437"/>
      <c r="T741" s="432">
        <f t="shared" si="128"/>
        <v>0</v>
      </c>
    </row>
    <row r="742" spans="1:20" ht="22.2" hidden="1" customHeight="1">
      <c r="A742" s="379"/>
      <c r="B742" s="438" t="s">
        <v>620</v>
      </c>
      <c r="C742" s="469" t="str">
        <f t="shared" si="129"/>
        <v xml:space="preserve"> </v>
      </c>
      <c r="D742" s="439"/>
      <c r="E742" s="422" t="str">
        <f>VLOOKUP($B742,[1]DG!A:C,2,)</f>
        <v>02.1482</v>
      </c>
      <c r="F742" s="434" t="str">
        <f>VLOOKUP($B742,[1]DG!A:C,3,)</f>
        <v>V/c dụng cụ thi công vào vị trí (cự ly &lt;=100m)</v>
      </c>
      <c r="G742" s="422" t="str">
        <f>VLOOKUP($B742,[1]DG!A:D,4,0)</f>
        <v>tấn</v>
      </c>
      <c r="H742" s="435"/>
      <c r="I742" s="435"/>
      <c r="J742" s="435"/>
      <c r="K742" s="435"/>
      <c r="L742" s="435"/>
      <c r="M742" s="435"/>
      <c r="N742" s="435"/>
      <c r="O742" s="435"/>
      <c r="P742" s="435"/>
      <c r="Q742" s="437"/>
      <c r="R742" s="437"/>
      <c r="S742" s="437"/>
      <c r="T742" s="432">
        <f t="shared" si="128"/>
        <v>0</v>
      </c>
    </row>
    <row r="743" spans="1:20" ht="22.2" hidden="1" customHeight="1">
      <c r="A743" s="467" t="s">
        <v>854</v>
      </c>
      <c r="B743" s="468" t="s">
        <v>854</v>
      </c>
      <c r="C743" s="469" t="str">
        <f t="shared" si="129"/>
        <v xml:space="preserve"> </v>
      </c>
      <c r="D743" s="426"/>
      <c r="E743" s="427"/>
      <c r="F743" s="428" t="s">
        <v>855</v>
      </c>
      <c r="G743" s="349" t="s">
        <v>339</v>
      </c>
      <c r="H743" s="429">
        <f>SUM(I743:O743)</f>
        <v>0</v>
      </c>
      <c r="I743" s="430"/>
      <c r="J743" s="430"/>
      <c r="K743" s="430">
        <f>IFERROR(HLOOKUP(B743,[1]pp3p1m!$1:$3,3,0),0)</f>
        <v>0</v>
      </c>
      <c r="L743" s="430">
        <f>IFERROR(HLOOKUP(chitiet!B743,[1]pp1p!$1:$3,3,0),0)</f>
        <v>0</v>
      </c>
      <c r="M743" s="430"/>
      <c r="N743" s="430"/>
      <c r="O743" s="430"/>
      <c r="P743" s="430"/>
      <c r="Q743" s="431"/>
      <c r="R743" s="431"/>
      <c r="S743" s="431"/>
      <c r="T743" s="432">
        <f>IFERROR(HLOOKUP(B743,[1]pp1p!$1:$3,3,0),0)+IFERROR(HLOOKUP(B743,[1]pp3p1m!$1:$3,3,0),0)</f>
        <v>0</v>
      </c>
    </row>
    <row r="744" spans="1:20" ht="22.2" hidden="1" customHeight="1">
      <c r="A744" s="379"/>
      <c r="B744" s="410" t="s">
        <v>563</v>
      </c>
      <c r="C744" s="469" t="str">
        <f t="shared" si="129"/>
        <v xml:space="preserve"> </v>
      </c>
      <c r="D744" s="440">
        <v>1</v>
      </c>
      <c r="E744" s="422" t="str">
        <f>VLOOKUP($B744,[1]DG!A:D,[1]DG!$B$2,)</f>
        <v>05.5402</v>
      </c>
      <c r="F744" s="441" t="s">
        <v>856</v>
      </c>
      <c r="G744" s="422" t="str">
        <f>VLOOKUP($B744,[1]DG!A:D,[1]DG!$D$2,)</f>
        <v>trụ</v>
      </c>
      <c r="H744" s="435"/>
      <c r="I744" s="435"/>
      <c r="J744" s="435"/>
      <c r="K744" s="435"/>
      <c r="L744" s="435"/>
      <c r="M744" s="435"/>
      <c r="N744" s="435"/>
      <c r="O744" s="435"/>
      <c r="P744" s="435"/>
      <c r="Q744" s="437"/>
      <c r="R744" s="437"/>
      <c r="S744" s="437"/>
      <c r="T744" s="432">
        <f t="shared" si="128"/>
        <v>0</v>
      </c>
    </row>
    <row r="745" spans="1:20" ht="22.2" hidden="1" customHeight="1">
      <c r="A745" s="471" t="s">
        <v>857</v>
      </c>
      <c r="B745" s="468" t="s">
        <v>857</v>
      </c>
      <c r="C745" s="469" t="str">
        <f t="shared" si="129"/>
        <v xml:space="preserve"> </v>
      </c>
      <c r="D745" s="426"/>
      <c r="E745" s="427"/>
      <c r="F745" s="428" t="s">
        <v>858</v>
      </c>
      <c r="G745" s="349" t="s">
        <v>339</v>
      </c>
      <c r="H745" s="429">
        <f>SUM(I745:O745)</f>
        <v>0</v>
      </c>
      <c r="I745" s="430"/>
      <c r="J745" s="430"/>
      <c r="K745" s="430">
        <f>IFERROR(HLOOKUP(B745,[1]pp3p1m!$1:$3,3,0),0)</f>
        <v>0</v>
      </c>
      <c r="L745" s="430">
        <f>IFERROR(HLOOKUP(chitiet!B745,[1]pp1p!$1:$3,3,0),0)</f>
        <v>0</v>
      </c>
      <c r="M745" s="430"/>
      <c r="N745" s="430"/>
      <c r="O745" s="430"/>
      <c r="P745" s="429">
        <f>T745</f>
        <v>0</v>
      </c>
      <c r="Q745" s="431"/>
      <c r="R745" s="431"/>
      <c r="S745" s="431"/>
      <c r="T745" s="432">
        <f>IFERROR(HLOOKUP(B745,[1]pp1p!$1:$3,3,0),0)+IFERROR(HLOOKUP(B745,[1]pp3p1m!$1:$3,3,0),0)</f>
        <v>0</v>
      </c>
    </row>
    <row r="746" spans="1:20" ht="22.2" hidden="1" customHeight="1">
      <c r="A746" s="379"/>
      <c r="B746" s="410" t="s">
        <v>69</v>
      </c>
      <c r="C746" s="469" t="str">
        <f t="shared" si="129"/>
        <v xml:space="preserve"> </v>
      </c>
      <c r="D746" s="440">
        <v>1</v>
      </c>
      <c r="E746" s="422"/>
      <c r="F746" s="441" t="str">
        <f>VLOOKUP($B746,[1]DG!A:D,[1]DG!$C$2,)</f>
        <v>Trụ BTLT 12m F350 dự ứng lực</v>
      </c>
      <c r="G746" s="422" t="str">
        <f>VLOOKUP($B746,[1]DG!A:D,[1]DG!$D$2,)</f>
        <v>trụ</v>
      </c>
      <c r="H746" s="435">
        <f t="shared" ref="H746:R747" si="131">H$745*$D746</f>
        <v>0</v>
      </c>
      <c r="I746" s="435">
        <f t="shared" si="131"/>
        <v>0</v>
      </c>
      <c r="J746" s="435">
        <f t="shared" si="131"/>
        <v>0</v>
      </c>
      <c r="K746" s="435">
        <f t="shared" si="131"/>
        <v>0</v>
      </c>
      <c r="L746" s="435">
        <f t="shared" si="131"/>
        <v>0</v>
      </c>
      <c r="M746" s="435">
        <f t="shared" si="131"/>
        <v>0</v>
      </c>
      <c r="N746" s="435">
        <f t="shared" si="131"/>
        <v>0</v>
      </c>
      <c r="O746" s="435">
        <f t="shared" si="131"/>
        <v>0</v>
      </c>
      <c r="P746" s="435">
        <f t="shared" si="131"/>
        <v>0</v>
      </c>
      <c r="Q746" s="435">
        <f t="shared" si="131"/>
        <v>0</v>
      </c>
      <c r="R746" s="435">
        <f t="shared" si="131"/>
        <v>0</v>
      </c>
      <c r="S746" s="442"/>
      <c r="T746" s="432">
        <f t="shared" si="128"/>
        <v>0</v>
      </c>
    </row>
    <row r="747" spans="1:20" ht="22.2" hidden="1" customHeight="1">
      <c r="A747" s="379"/>
      <c r="B747" s="410" t="s">
        <v>70</v>
      </c>
      <c r="C747" s="469" t="str">
        <f t="shared" si="129"/>
        <v xml:space="preserve"> </v>
      </c>
      <c r="D747" s="440">
        <v>1</v>
      </c>
      <c r="E747" s="422"/>
      <c r="F747" s="441" t="str">
        <f>VLOOKUP($B747,[1]DG!A:D,[1]DG!$C$2,)</f>
        <v>Vật liệu dựng trụ</v>
      </c>
      <c r="G747" s="422" t="str">
        <f>VLOOKUP($B747,[1]DG!A:D,[1]DG!$D$2,)</f>
        <v>trụ</v>
      </c>
      <c r="H747" s="435">
        <f t="shared" si="131"/>
        <v>0</v>
      </c>
      <c r="I747" s="435">
        <f t="shared" si="131"/>
        <v>0</v>
      </c>
      <c r="J747" s="435">
        <f t="shared" si="131"/>
        <v>0</v>
      </c>
      <c r="K747" s="435">
        <f t="shared" si="131"/>
        <v>0</v>
      </c>
      <c r="L747" s="435">
        <f t="shared" si="131"/>
        <v>0</v>
      </c>
      <c r="M747" s="435">
        <f t="shared" si="131"/>
        <v>0</v>
      </c>
      <c r="N747" s="435">
        <f t="shared" si="131"/>
        <v>0</v>
      </c>
      <c r="O747" s="435">
        <f t="shared" si="131"/>
        <v>0</v>
      </c>
      <c r="P747" s="435">
        <f t="shared" si="131"/>
        <v>0</v>
      </c>
      <c r="Q747" s="435">
        <f t="shared" si="131"/>
        <v>0</v>
      </c>
      <c r="R747" s="435">
        <f t="shared" si="131"/>
        <v>0</v>
      </c>
      <c r="S747" s="442"/>
      <c r="T747" s="432">
        <f t="shared" si="128"/>
        <v>0</v>
      </c>
    </row>
    <row r="748" spans="1:20" ht="22.2" hidden="1" customHeight="1">
      <c r="A748" s="379"/>
      <c r="B748" s="410" t="s">
        <v>859</v>
      </c>
      <c r="C748" s="469" t="str">
        <f t="shared" si="129"/>
        <v xml:space="preserve"> </v>
      </c>
      <c r="D748" s="440">
        <v>1</v>
      </c>
      <c r="E748" s="422" t="str">
        <f>VLOOKUP($B748,[1]DG!A:D,[1]DG!$B$2,)</f>
        <v>05.5213</v>
      </c>
      <c r="F748" s="441" t="str">
        <f>VLOOKUP($B748,[1]DG!A:D,[1]DG!$C$2,)</f>
        <v>Dựng trụ BTLT 12m bằng thủ công</v>
      </c>
      <c r="G748" s="422" t="str">
        <f>VLOOKUP($B748,[1]DG!A:D,[1]DG!$D$2,)</f>
        <v>trụ</v>
      </c>
      <c r="H748" s="435"/>
      <c r="I748" s="435"/>
      <c r="J748" s="435"/>
      <c r="K748" s="435"/>
      <c r="L748" s="435"/>
      <c r="M748" s="435"/>
      <c r="N748" s="435"/>
      <c r="O748" s="435"/>
      <c r="P748" s="435"/>
      <c r="Q748" s="437"/>
      <c r="R748" s="437"/>
      <c r="S748" s="437"/>
      <c r="T748" s="432">
        <f t="shared" si="128"/>
        <v>0</v>
      </c>
    </row>
    <row r="749" spans="1:20" ht="22.2" hidden="1" customHeight="1">
      <c r="A749" s="379"/>
      <c r="B749" s="410" t="s">
        <v>833</v>
      </c>
      <c r="C749" s="469" t="str">
        <f t="shared" si="129"/>
        <v xml:space="preserve"> </v>
      </c>
      <c r="D749" s="439">
        <f>1.2*0</f>
        <v>0</v>
      </c>
      <c r="E749" s="422" t="str">
        <f>VLOOKUP($B749,[1]DG!A:D,[1]DG!$B$2,)</f>
        <v>02.1124</v>
      </c>
      <c r="F749" s="434" t="str">
        <f>VLOOKUP($B749,[1]DG!A:D,[1]DG!$C$2,)</f>
        <v xml:space="preserve">Bốc dỡ trụ </v>
      </c>
      <c r="G749" s="422" t="str">
        <f>VLOOKUP($B749,[1]DG!A:D,[1]DG!$D$2,)</f>
        <v>tấn</v>
      </c>
      <c r="H749" s="435"/>
      <c r="I749" s="435"/>
      <c r="J749" s="435"/>
      <c r="K749" s="435"/>
      <c r="L749" s="435"/>
      <c r="M749" s="435"/>
      <c r="N749" s="435"/>
      <c r="O749" s="435"/>
      <c r="P749" s="435"/>
      <c r="Q749" s="437"/>
      <c r="R749" s="437"/>
      <c r="S749" s="437"/>
      <c r="T749" s="432">
        <f t="shared" si="128"/>
        <v>0</v>
      </c>
    </row>
    <row r="750" spans="1:20" ht="22.2" hidden="1" customHeight="1">
      <c r="A750" s="379"/>
      <c r="B750" s="438" t="s">
        <v>834</v>
      </c>
      <c r="C750" s="469" t="str">
        <f t="shared" si="129"/>
        <v xml:space="preserve"> </v>
      </c>
      <c r="D750" s="439">
        <f>1.2*0</f>
        <v>0</v>
      </c>
      <c r="E750" s="422" t="str">
        <f>VLOOKUP($B750,[1]DG!A:C,2,)</f>
        <v>02.1461</v>
      </c>
      <c r="F750" s="434" t="str">
        <f>VLOOKUP($B750,[1]DG!A:C,3,)</f>
        <v>V/c cột vào vị trí (cự ly &lt;=100m)</v>
      </c>
      <c r="G750" s="422" t="str">
        <f>VLOOKUP($B750,[1]DG!A:D,4,0)</f>
        <v>tấn</v>
      </c>
      <c r="H750" s="435"/>
      <c r="I750" s="435"/>
      <c r="J750" s="435"/>
      <c r="K750" s="435"/>
      <c r="L750" s="435"/>
      <c r="M750" s="435"/>
      <c r="N750" s="435"/>
      <c r="O750" s="435"/>
      <c r="P750" s="435"/>
      <c r="Q750" s="437"/>
      <c r="R750" s="437"/>
      <c r="S750" s="437"/>
      <c r="T750" s="432">
        <f t="shared" si="128"/>
        <v>0</v>
      </c>
    </row>
    <row r="751" spans="1:20" ht="22.2" hidden="1" customHeight="1">
      <c r="A751" s="379"/>
      <c r="B751" s="438" t="s">
        <v>620</v>
      </c>
      <c r="C751" s="469" t="str">
        <f t="shared" si="129"/>
        <v xml:space="preserve"> </v>
      </c>
      <c r="D751" s="439">
        <f>0.25*0</f>
        <v>0</v>
      </c>
      <c r="E751" s="422" t="str">
        <f>VLOOKUP($B751,[1]DG!A:C,2,)</f>
        <v>02.1482</v>
      </c>
      <c r="F751" s="434" t="str">
        <f>VLOOKUP($B751,[1]DG!A:C,3,)</f>
        <v>V/c dụng cụ thi công vào vị trí (cự ly &lt;=100m)</v>
      </c>
      <c r="G751" s="422" t="str">
        <f>VLOOKUP($B751,[1]DG!A:D,4,0)</f>
        <v>tấn</v>
      </c>
      <c r="H751" s="435"/>
      <c r="I751" s="435"/>
      <c r="J751" s="435"/>
      <c r="K751" s="435"/>
      <c r="L751" s="435"/>
      <c r="M751" s="435"/>
      <c r="N751" s="435"/>
      <c r="O751" s="435"/>
      <c r="P751" s="435"/>
      <c r="Q751" s="437"/>
      <c r="R751" s="437"/>
      <c r="S751" s="437"/>
      <c r="T751" s="432">
        <f t="shared" si="128"/>
        <v>0</v>
      </c>
    </row>
    <row r="752" spans="1:20" ht="22.2" customHeight="1">
      <c r="A752" s="472" t="s">
        <v>860</v>
      </c>
      <c r="B752" s="468" t="s">
        <v>860</v>
      </c>
      <c r="C752" s="465" t="str">
        <f t="shared" si="129"/>
        <v>x</v>
      </c>
      <c r="D752" s="426"/>
      <c r="E752" s="427"/>
      <c r="F752" s="428" t="s">
        <v>861</v>
      </c>
      <c r="G752" s="349" t="s">
        <v>339</v>
      </c>
      <c r="H752" s="429">
        <f>SUM(I752:O752)</f>
        <v>25</v>
      </c>
      <c r="I752" s="430"/>
      <c r="J752" s="430"/>
      <c r="K752" s="430">
        <f>IFERROR(HLOOKUP(B752,[1]pp3p1m!$1:$3,3,0),0)</f>
        <v>25</v>
      </c>
      <c r="L752" s="430">
        <f>IFERROR(HLOOKUP(chitiet!B752,[1]pp1p!$1:$3,3,0),0)</f>
        <v>0</v>
      </c>
      <c r="M752" s="430"/>
      <c r="N752" s="430"/>
      <c r="O752" s="430"/>
      <c r="P752" s="429">
        <f>H752+Q752-R752</f>
        <v>25</v>
      </c>
      <c r="Q752" s="431"/>
      <c r="R752" s="431"/>
      <c r="S752" s="431"/>
      <c r="T752" s="432">
        <f>IFERROR(HLOOKUP(B752,[1]pp1p!$1:$3,3,0),0)+IFERROR(HLOOKUP(B752,[1]pp3p1m!$1:$3,3,0),0)</f>
        <v>25</v>
      </c>
    </row>
    <row r="753" spans="1:20" ht="22.2" hidden="1" customHeight="1">
      <c r="B753" s="406" t="s">
        <v>69</v>
      </c>
      <c r="C753" s="465" t="str">
        <f t="shared" si="129"/>
        <v>x</v>
      </c>
      <c r="D753" s="440">
        <v>1</v>
      </c>
      <c r="E753" s="422"/>
      <c r="F753" s="441" t="str">
        <f>VLOOKUP($B753,[1]DG!A:D,[1]DG!$C$2,)</f>
        <v>Trụ BTLT 12m F350 dự ứng lực</v>
      </c>
      <c r="G753" s="422" t="str">
        <f>VLOOKUP($B753,[1]DG!A:D,[1]DG!$D$2,)</f>
        <v>trụ</v>
      </c>
      <c r="H753" s="435">
        <f>H$752*$D753</f>
        <v>25</v>
      </c>
      <c r="I753" s="435">
        <f>I$745*$D753</f>
        <v>0</v>
      </c>
      <c r="J753" s="435">
        <f>J$745*$D753</f>
        <v>0</v>
      </c>
      <c r="K753" s="435">
        <f>K$752*$D753</f>
        <v>25</v>
      </c>
      <c r="L753" s="435">
        <f>L$752*$D753</f>
        <v>0</v>
      </c>
      <c r="M753" s="435">
        <f t="shared" ref="M753:O754" si="132">M$745*$D753</f>
        <v>0</v>
      </c>
      <c r="N753" s="435">
        <f t="shared" si="132"/>
        <v>0</v>
      </c>
      <c r="O753" s="435">
        <f t="shared" si="132"/>
        <v>0</v>
      </c>
      <c r="P753" s="435">
        <f>$P$752*D753</f>
        <v>25</v>
      </c>
      <c r="Q753" s="442">
        <f>$Q$752*D753</f>
        <v>0</v>
      </c>
      <c r="R753" s="442"/>
      <c r="S753" s="442"/>
      <c r="T753" s="432">
        <f t="shared" si="128"/>
        <v>0</v>
      </c>
    </row>
    <row r="754" spans="1:20" ht="22.2" hidden="1" customHeight="1">
      <c r="B754" s="406" t="s">
        <v>70</v>
      </c>
      <c r="C754" s="465" t="str">
        <f t="shared" si="129"/>
        <v xml:space="preserve"> </v>
      </c>
      <c r="D754" s="440"/>
      <c r="E754" s="422"/>
      <c r="F754" s="434" t="str">
        <f>VLOOKUP($B754,[1]DG!A:D,[1]DG!$C$2,)</f>
        <v>Vật liệu dựng trụ</v>
      </c>
      <c r="G754" s="422" t="str">
        <f>VLOOKUP($B754,[1]DG!A:D,[1]DG!$D$2,)</f>
        <v>trụ</v>
      </c>
      <c r="H754" s="435">
        <f>H$752*$D754</f>
        <v>0</v>
      </c>
      <c r="I754" s="435">
        <f>I$745*$D754</f>
        <v>0</v>
      </c>
      <c r="J754" s="435">
        <f>J$745*$D754</f>
        <v>0</v>
      </c>
      <c r="K754" s="435">
        <f>K$752*$D754</f>
        <v>0</v>
      </c>
      <c r="L754" s="435">
        <f>L$752*$D754</f>
        <v>0</v>
      </c>
      <c r="M754" s="435">
        <f t="shared" si="132"/>
        <v>0</v>
      </c>
      <c r="N754" s="435">
        <f t="shared" si="132"/>
        <v>0</v>
      </c>
      <c r="O754" s="435">
        <f t="shared" si="132"/>
        <v>0</v>
      </c>
      <c r="P754" s="435">
        <f>$P$752*D754</f>
        <v>0</v>
      </c>
      <c r="Q754" s="442">
        <f>$Q$752*D754</f>
        <v>0</v>
      </c>
      <c r="R754" s="442"/>
      <c r="S754" s="442"/>
      <c r="T754" s="432">
        <f t="shared" si="128"/>
        <v>0</v>
      </c>
    </row>
    <row r="755" spans="1:20" ht="22.2" hidden="1" customHeight="1">
      <c r="B755" s="406" t="s">
        <v>862</v>
      </c>
      <c r="C755" s="465" t="str">
        <f t="shared" si="129"/>
        <v>x</v>
      </c>
      <c r="D755" s="440">
        <v>1</v>
      </c>
      <c r="E755" s="422" t="str">
        <f>VLOOKUP($B755,[1]DG!A:D,[1]DG!$B$2,)</f>
        <v>05.5402</v>
      </c>
      <c r="F755" s="434" t="str">
        <f>VLOOKUP($B755,[1]DG!A:D,[1]DG!$C$2,)</f>
        <v>Dựng trụ BTLT 12m thủ công + cơ giới</v>
      </c>
      <c r="G755" s="422" t="str">
        <f>VLOOKUP($B755,[1]DG!A:D,[1]DG!$D$2,)</f>
        <v>trụ</v>
      </c>
      <c r="H755" s="435">
        <f>H$752*$D755</f>
        <v>25</v>
      </c>
      <c r="I755" s="435"/>
      <c r="J755" s="435"/>
      <c r="K755" s="435"/>
      <c r="L755" s="435"/>
      <c r="M755" s="435"/>
      <c r="N755" s="435"/>
      <c r="O755" s="435"/>
      <c r="P755" s="435">
        <f>$P$752*D755</f>
        <v>25</v>
      </c>
      <c r="Q755" s="442">
        <f>$Q$752*D755</f>
        <v>0</v>
      </c>
      <c r="R755" s="437"/>
      <c r="S755" s="437"/>
      <c r="T755" s="432">
        <f t="shared" si="128"/>
        <v>0</v>
      </c>
    </row>
    <row r="756" spans="1:20" ht="22.2" hidden="1" customHeight="1">
      <c r="A756" s="379"/>
      <c r="B756" s="410" t="s">
        <v>833</v>
      </c>
      <c r="C756" s="469" t="str">
        <f t="shared" si="129"/>
        <v xml:space="preserve"> </v>
      </c>
      <c r="D756" s="439">
        <f>1.2*0</f>
        <v>0</v>
      </c>
      <c r="E756" s="422" t="str">
        <f>VLOOKUP($B756,[1]DG!A:D,[1]DG!$B$2,)</f>
        <v>02.1124</v>
      </c>
      <c r="F756" s="434" t="str">
        <f>VLOOKUP($B756,[1]DG!A:D,[1]DG!$C$2,)</f>
        <v xml:space="preserve">Bốc dỡ trụ </v>
      </c>
      <c r="G756" s="422" t="str">
        <f>VLOOKUP($B756,[1]DG!A:D,[1]DG!$D$2,)</f>
        <v>tấn</v>
      </c>
      <c r="H756" s="435"/>
      <c r="I756" s="435"/>
      <c r="J756" s="435"/>
      <c r="K756" s="435"/>
      <c r="L756" s="435"/>
      <c r="M756" s="435"/>
      <c r="N756" s="435"/>
      <c r="O756" s="435"/>
      <c r="P756" s="435"/>
      <c r="Q756" s="437"/>
      <c r="R756" s="437"/>
      <c r="S756" s="437"/>
      <c r="T756" s="432">
        <f t="shared" si="128"/>
        <v>0</v>
      </c>
    </row>
    <row r="757" spans="1:20" ht="22.2" hidden="1" customHeight="1">
      <c r="A757" s="379"/>
      <c r="B757" s="438" t="s">
        <v>834</v>
      </c>
      <c r="C757" s="469" t="str">
        <f t="shared" si="129"/>
        <v xml:space="preserve"> </v>
      </c>
      <c r="D757" s="439">
        <f>1.2*0</f>
        <v>0</v>
      </c>
      <c r="E757" s="422" t="str">
        <f>VLOOKUP($B757,[1]DG!A:C,2,)</f>
        <v>02.1461</v>
      </c>
      <c r="F757" s="434" t="str">
        <f>VLOOKUP($B757,[1]DG!A:C,3,)</f>
        <v>V/c cột vào vị trí (cự ly &lt;=100m)</v>
      </c>
      <c r="G757" s="422" t="str">
        <f>VLOOKUP($B757,[1]DG!A:D,4,0)</f>
        <v>tấn</v>
      </c>
      <c r="H757" s="435"/>
      <c r="I757" s="435"/>
      <c r="J757" s="435"/>
      <c r="K757" s="435"/>
      <c r="L757" s="435"/>
      <c r="M757" s="435"/>
      <c r="N757" s="435"/>
      <c r="O757" s="435"/>
      <c r="P757" s="435"/>
      <c r="Q757" s="437"/>
      <c r="R757" s="437"/>
      <c r="S757" s="437"/>
      <c r="T757" s="432">
        <f t="shared" si="128"/>
        <v>0</v>
      </c>
    </row>
    <row r="758" spans="1:20" ht="22.2" hidden="1" customHeight="1">
      <c r="A758" s="379"/>
      <c r="B758" s="438" t="s">
        <v>620</v>
      </c>
      <c r="C758" s="469" t="str">
        <f t="shared" si="129"/>
        <v xml:space="preserve"> </v>
      </c>
      <c r="D758" s="439">
        <f>0.25*0</f>
        <v>0</v>
      </c>
      <c r="E758" s="422" t="str">
        <f>VLOOKUP($B758,[1]DG!A:C,2,)</f>
        <v>02.1482</v>
      </c>
      <c r="F758" s="434" t="str">
        <f>VLOOKUP($B758,[1]DG!A:C,3,)</f>
        <v>V/c dụng cụ thi công vào vị trí (cự ly &lt;=100m)</v>
      </c>
      <c r="G758" s="422" t="str">
        <f>VLOOKUP($B758,[1]DG!A:D,4,0)</f>
        <v>tấn</v>
      </c>
      <c r="H758" s="435"/>
      <c r="I758" s="435"/>
      <c r="J758" s="435"/>
      <c r="K758" s="435"/>
      <c r="L758" s="435"/>
      <c r="M758" s="435"/>
      <c r="N758" s="435"/>
      <c r="O758" s="435"/>
      <c r="P758" s="435"/>
      <c r="Q758" s="437"/>
      <c r="R758" s="437"/>
      <c r="S758" s="437"/>
      <c r="T758" s="432">
        <f t="shared" si="128"/>
        <v>0</v>
      </c>
    </row>
    <row r="759" spans="1:20" ht="22.2" hidden="1" customHeight="1">
      <c r="A759" s="471" t="s">
        <v>863</v>
      </c>
      <c r="B759" s="468" t="s">
        <v>863</v>
      </c>
      <c r="C759" s="469" t="str">
        <f t="shared" si="129"/>
        <v xml:space="preserve"> </v>
      </c>
      <c r="D759" s="426"/>
      <c r="E759" s="427"/>
      <c r="F759" s="428" t="s">
        <v>864</v>
      </c>
      <c r="G759" s="349" t="s">
        <v>339</v>
      </c>
      <c r="H759" s="429">
        <f>SUM(I759:O759)</f>
        <v>0</v>
      </c>
      <c r="I759" s="430"/>
      <c r="J759" s="430"/>
      <c r="K759" s="430">
        <f>IFERROR(HLOOKUP(B759,[1]pp3p1m!$1:$3,3,0),0)</f>
        <v>0</v>
      </c>
      <c r="L759" s="430">
        <f>IFERROR(HLOOKUP(chitiet!B759,[1]pp1p!$1:$3,3,0),0)</f>
        <v>0</v>
      </c>
      <c r="M759" s="430"/>
      <c r="N759" s="430"/>
      <c r="O759" s="430"/>
      <c r="P759" s="430"/>
      <c r="Q759" s="431"/>
      <c r="R759" s="431"/>
      <c r="S759" s="431"/>
      <c r="T759" s="432">
        <f>IFERROR(HLOOKUP(B759,[1]pp1p!$1:$3,3,0),0)+IFERROR(HLOOKUP(B759,[1]pp3p1m!$1:$3,3,0),0)</f>
        <v>0</v>
      </c>
    </row>
    <row r="760" spans="1:20" ht="22.2" hidden="1" customHeight="1">
      <c r="A760" s="379"/>
      <c r="B760" s="410" t="s">
        <v>865</v>
      </c>
      <c r="C760" s="469" t="str">
        <f t="shared" si="129"/>
        <v xml:space="preserve"> </v>
      </c>
      <c r="D760" s="440">
        <v>1</v>
      </c>
      <c r="E760" s="422"/>
      <c r="F760" s="441" t="str">
        <f>VLOOKUP($B760,[1]DG!A:D,[1]DG!$C$2,)</f>
        <v>Trụ BTLT 12m F350 dự ứng lực (tiếp địa có sẵn)</v>
      </c>
      <c r="G760" s="422" t="str">
        <f>VLOOKUP($B760,[1]DG!A:D,[1]DG!$D$2,)</f>
        <v>trụ</v>
      </c>
      <c r="H760" s="435">
        <f>H$759*$D760</f>
        <v>0</v>
      </c>
      <c r="I760" s="435">
        <f>I$745*$D760</f>
        <v>0</v>
      </c>
      <c r="J760" s="435">
        <f>J$745*$D760</f>
        <v>0</v>
      </c>
      <c r="K760" s="435">
        <f>K$759*$D760</f>
        <v>0</v>
      </c>
      <c r="L760" s="435">
        <f>L$759*$D760</f>
        <v>0</v>
      </c>
      <c r="M760" s="435">
        <f t="shared" ref="M760:O761" si="133">M$745*$D760</f>
        <v>0</v>
      </c>
      <c r="N760" s="435">
        <f t="shared" si="133"/>
        <v>0</v>
      </c>
      <c r="O760" s="435">
        <f t="shared" si="133"/>
        <v>0</v>
      </c>
      <c r="P760" s="435"/>
      <c r="Q760" s="442"/>
      <c r="R760" s="442"/>
      <c r="S760" s="442"/>
      <c r="T760" s="432">
        <f t="shared" si="128"/>
        <v>0</v>
      </c>
    </row>
    <row r="761" spans="1:20" ht="22.2" hidden="1" customHeight="1">
      <c r="A761" s="379"/>
      <c r="B761" s="410" t="s">
        <v>70</v>
      </c>
      <c r="C761" s="469" t="str">
        <f t="shared" si="129"/>
        <v xml:space="preserve"> </v>
      </c>
      <c r="D761" s="440">
        <v>1</v>
      </c>
      <c r="E761" s="422"/>
      <c r="F761" s="441" t="str">
        <f>VLOOKUP($B761,[1]DG!A:D,[1]DG!$C$2,)</f>
        <v>Vật liệu dựng trụ</v>
      </c>
      <c r="G761" s="422" t="str">
        <f>VLOOKUP($B761,[1]DG!A:D,[1]DG!$D$2,)</f>
        <v>trụ</v>
      </c>
      <c r="H761" s="435">
        <f>H$759*$D761</f>
        <v>0</v>
      </c>
      <c r="I761" s="435">
        <f>I$745*$D761</f>
        <v>0</v>
      </c>
      <c r="J761" s="435">
        <f>J$745*$D761</f>
        <v>0</v>
      </c>
      <c r="K761" s="435">
        <f>K$759*$D761</f>
        <v>0</v>
      </c>
      <c r="L761" s="435">
        <f>L$759*$D761</f>
        <v>0</v>
      </c>
      <c r="M761" s="435">
        <f t="shared" si="133"/>
        <v>0</v>
      </c>
      <c r="N761" s="435">
        <f t="shared" si="133"/>
        <v>0</v>
      </c>
      <c r="O761" s="435">
        <f t="shared" si="133"/>
        <v>0</v>
      </c>
      <c r="P761" s="435"/>
      <c r="Q761" s="442"/>
      <c r="R761" s="442"/>
      <c r="S761" s="442"/>
      <c r="T761" s="432">
        <f t="shared" si="128"/>
        <v>0</v>
      </c>
    </row>
    <row r="762" spans="1:20" ht="22.2" hidden="1" customHeight="1">
      <c r="A762" s="379"/>
      <c r="B762" s="410" t="s">
        <v>862</v>
      </c>
      <c r="C762" s="469" t="str">
        <f t="shared" si="129"/>
        <v xml:space="preserve"> </v>
      </c>
      <c r="D762" s="440">
        <v>1</v>
      </c>
      <c r="E762" s="422" t="str">
        <f>VLOOKUP($B762,[1]DG!A:D,[1]DG!$B$2,)</f>
        <v>05.5402</v>
      </c>
      <c r="F762" s="441" t="str">
        <f>VLOOKUP($B762,[1]DG!A:D,[1]DG!$C$2,)</f>
        <v>Dựng trụ BTLT 12m thủ công + cơ giới</v>
      </c>
      <c r="G762" s="422" t="str">
        <f>VLOOKUP($B762,[1]DG!A:D,[1]DG!$D$2,)</f>
        <v>trụ</v>
      </c>
      <c r="H762" s="435"/>
      <c r="I762" s="435"/>
      <c r="J762" s="435"/>
      <c r="K762" s="435"/>
      <c r="L762" s="435"/>
      <c r="M762" s="435"/>
      <c r="N762" s="435"/>
      <c r="O762" s="435"/>
      <c r="P762" s="435"/>
      <c r="Q762" s="437"/>
      <c r="R762" s="437"/>
      <c r="S762" s="437"/>
      <c r="T762" s="432">
        <f t="shared" si="128"/>
        <v>0</v>
      </c>
    </row>
    <row r="763" spans="1:20" ht="22.2" hidden="1" customHeight="1">
      <c r="A763" s="467" t="s">
        <v>866</v>
      </c>
      <c r="B763" s="468" t="s">
        <v>866</v>
      </c>
      <c r="C763" s="469" t="str">
        <f t="shared" si="129"/>
        <v xml:space="preserve"> </v>
      </c>
      <c r="D763" s="426"/>
      <c r="E763" s="427"/>
      <c r="F763" s="428" t="s">
        <v>867</v>
      </c>
      <c r="G763" s="349" t="s">
        <v>339</v>
      </c>
      <c r="H763" s="429">
        <f>SUM(I763:O763)</f>
        <v>0</v>
      </c>
      <c r="I763" s="430"/>
      <c r="J763" s="430"/>
      <c r="K763" s="430">
        <f>IFERROR(HLOOKUP(B763,[1]pp3p1m!$1:$3,3,0),0)</f>
        <v>0</v>
      </c>
      <c r="L763" s="430">
        <f>IFERROR(HLOOKUP(chitiet!B763,[1]pp1p!$1:$3,3,0),0)</f>
        <v>0</v>
      </c>
      <c r="M763" s="430"/>
      <c r="N763" s="430"/>
      <c r="O763" s="430"/>
      <c r="P763" s="430"/>
      <c r="Q763" s="431"/>
      <c r="R763" s="431"/>
      <c r="S763" s="431"/>
      <c r="T763" s="432">
        <f>IFERROR(HLOOKUP(B763,[1]pp1p!$1:$3,3,0),0)+IFERROR(HLOOKUP(B763,[1]pp3p1m!$1:$3,3,0),0)</f>
        <v>0</v>
      </c>
    </row>
    <row r="764" spans="1:20" ht="22.2" hidden="1" customHeight="1">
      <c r="A764" s="379"/>
      <c r="B764" s="410" t="s">
        <v>868</v>
      </c>
      <c r="C764" s="469" t="str">
        <f t="shared" si="129"/>
        <v xml:space="preserve"> </v>
      </c>
      <c r="D764" s="440">
        <v>1</v>
      </c>
      <c r="E764" s="422"/>
      <c r="F764" s="441" t="str">
        <f>VLOOKUP($B764,[1]DG!A:D,[1]DG!$C$2,)</f>
        <v>Trụ BTLT 14m F650 dự ứng lực</v>
      </c>
      <c r="G764" s="422" t="str">
        <f>VLOOKUP($B764,[1]DG!A:D,[1]DG!$D$2,)</f>
        <v>trụ</v>
      </c>
      <c r="H764" s="435">
        <f t="shared" ref="H764:N765" si="134">H$763*$D764</f>
        <v>0</v>
      </c>
      <c r="I764" s="435">
        <f t="shared" si="134"/>
        <v>0</v>
      </c>
      <c r="J764" s="435">
        <f t="shared" si="134"/>
        <v>0</v>
      </c>
      <c r="K764" s="435">
        <f t="shared" si="134"/>
        <v>0</v>
      </c>
      <c r="L764" s="435">
        <f t="shared" si="134"/>
        <v>0</v>
      </c>
      <c r="M764" s="435">
        <f t="shared" si="134"/>
        <v>0</v>
      </c>
      <c r="N764" s="435">
        <f t="shared" si="134"/>
        <v>0</v>
      </c>
      <c r="O764" s="435"/>
      <c r="P764" s="435"/>
      <c r="Q764" s="442"/>
      <c r="R764" s="442"/>
      <c r="S764" s="442"/>
      <c r="T764" s="432">
        <f t="shared" si="128"/>
        <v>0</v>
      </c>
    </row>
    <row r="765" spans="1:20" ht="22.2" hidden="1" customHeight="1">
      <c r="A765" s="379"/>
      <c r="B765" s="410" t="s">
        <v>70</v>
      </c>
      <c r="C765" s="469" t="str">
        <f t="shared" si="129"/>
        <v xml:space="preserve"> </v>
      </c>
      <c r="D765" s="440">
        <v>1</v>
      </c>
      <c r="E765" s="422"/>
      <c r="F765" s="441" t="str">
        <f>VLOOKUP($B765,[1]DG!A:D,[1]DG!$C$2,)</f>
        <v>Vật liệu dựng trụ</v>
      </c>
      <c r="G765" s="422" t="str">
        <f>VLOOKUP($B765,[1]DG!A:D,[1]DG!$D$2,)</f>
        <v>trụ</v>
      </c>
      <c r="H765" s="435">
        <f t="shared" si="134"/>
        <v>0</v>
      </c>
      <c r="I765" s="435">
        <f t="shared" si="134"/>
        <v>0</v>
      </c>
      <c r="J765" s="435">
        <f t="shared" si="134"/>
        <v>0</v>
      </c>
      <c r="K765" s="435">
        <f t="shared" si="134"/>
        <v>0</v>
      </c>
      <c r="L765" s="435">
        <f t="shared" si="134"/>
        <v>0</v>
      </c>
      <c r="M765" s="435">
        <f t="shared" si="134"/>
        <v>0</v>
      </c>
      <c r="N765" s="435">
        <f t="shared" si="134"/>
        <v>0</v>
      </c>
      <c r="O765" s="435"/>
      <c r="P765" s="435"/>
      <c r="Q765" s="442"/>
      <c r="R765" s="442"/>
      <c r="S765" s="442"/>
      <c r="T765" s="432">
        <f t="shared" si="128"/>
        <v>0</v>
      </c>
    </row>
    <row r="766" spans="1:20" ht="22.2" hidden="1" customHeight="1">
      <c r="A766" s="379"/>
      <c r="B766" s="410" t="s">
        <v>869</v>
      </c>
      <c r="C766" s="469" t="str">
        <f t="shared" si="129"/>
        <v xml:space="preserve"> </v>
      </c>
      <c r="D766" s="440">
        <v>1</v>
      </c>
      <c r="E766" s="422" t="str">
        <f>VLOOKUP($B766,[1]DG!A:D,[1]DG!$B$2,)</f>
        <v>05.5224</v>
      </c>
      <c r="F766" s="441" t="str">
        <f>VLOOKUP($B766,[1]DG!A:D,[1]DG!$C$2,)</f>
        <v>Dựng trụ BTLT 14m thủ công + cơ giới</v>
      </c>
      <c r="G766" s="422" t="str">
        <f>VLOOKUP($B766,[1]DG!A:D,[1]DG!$D$2,)</f>
        <v>trụ</v>
      </c>
      <c r="H766" s="435"/>
      <c r="I766" s="435"/>
      <c r="J766" s="435"/>
      <c r="K766" s="435"/>
      <c r="L766" s="435"/>
      <c r="M766" s="435"/>
      <c r="N766" s="435"/>
      <c r="O766" s="435"/>
      <c r="P766" s="435"/>
      <c r="Q766" s="437"/>
      <c r="R766" s="437"/>
      <c r="S766" s="437"/>
      <c r="T766" s="432">
        <f t="shared" si="128"/>
        <v>0</v>
      </c>
    </row>
    <row r="767" spans="1:20" ht="22.2" hidden="1" customHeight="1">
      <c r="A767" s="379"/>
      <c r="B767" s="410" t="s">
        <v>833</v>
      </c>
      <c r="C767" s="469" t="str">
        <f t="shared" si="129"/>
        <v xml:space="preserve"> </v>
      </c>
      <c r="D767" s="439"/>
      <c r="E767" s="422" t="str">
        <f>VLOOKUP($B767,[1]DG!A:D,[1]DG!$B$2,)</f>
        <v>02.1124</v>
      </c>
      <c r="F767" s="434" t="str">
        <f>VLOOKUP($B767,[1]DG!A:D,[1]DG!$C$2,)</f>
        <v xml:space="preserve">Bốc dỡ trụ </v>
      </c>
      <c r="G767" s="422" t="str">
        <f>VLOOKUP($B767,[1]DG!A:D,[1]DG!$D$2,)</f>
        <v>tấn</v>
      </c>
      <c r="H767" s="435"/>
      <c r="I767" s="435"/>
      <c r="J767" s="435"/>
      <c r="K767" s="435"/>
      <c r="L767" s="435"/>
      <c r="M767" s="435"/>
      <c r="N767" s="435"/>
      <c r="O767" s="435"/>
      <c r="P767" s="435"/>
      <c r="Q767" s="437"/>
      <c r="R767" s="437"/>
      <c r="S767" s="437"/>
      <c r="T767" s="432">
        <f t="shared" si="128"/>
        <v>0</v>
      </c>
    </row>
    <row r="768" spans="1:20" ht="22.2" hidden="1" customHeight="1">
      <c r="A768" s="379"/>
      <c r="B768" s="438" t="s">
        <v>834</v>
      </c>
      <c r="C768" s="469" t="str">
        <f t="shared" si="129"/>
        <v xml:space="preserve"> </v>
      </c>
      <c r="D768" s="439"/>
      <c r="E768" s="422" t="str">
        <f>VLOOKUP($B768,[1]DG!A:C,2,)</f>
        <v>02.1461</v>
      </c>
      <c r="F768" s="434" t="str">
        <f>VLOOKUP($B768,[1]DG!A:C,3,)</f>
        <v>V/c cột vào vị trí (cự ly &lt;=100m)</v>
      </c>
      <c r="G768" s="422" t="str">
        <f>VLOOKUP($B768,[1]DG!A:D,4,0)</f>
        <v>tấn</v>
      </c>
      <c r="H768" s="435"/>
      <c r="I768" s="435"/>
      <c r="J768" s="435"/>
      <c r="K768" s="435"/>
      <c r="L768" s="435"/>
      <c r="M768" s="435"/>
      <c r="N768" s="435"/>
      <c r="O768" s="435"/>
      <c r="P768" s="435"/>
      <c r="Q768" s="437"/>
      <c r="R768" s="437"/>
      <c r="S768" s="437"/>
      <c r="T768" s="432">
        <f t="shared" si="128"/>
        <v>0</v>
      </c>
    </row>
    <row r="769" spans="1:20" ht="22.2" hidden="1" customHeight="1">
      <c r="A769" s="379"/>
      <c r="B769" s="438" t="s">
        <v>620</v>
      </c>
      <c r="C769" s="469" t="str">
        <f t="shared" si="129"/>
        <v xml:space="preserve"> </v>
      </c>
      <c r="D769" s="439"/>
      <c r="E769" s="422" t="str">
        <f>VLOOKUP($B769,[1]DG!A:C,2,)</f>
        <v>02.1482</v>
      </c>
      <c r="F769" s="434" t="str">
        <f>VLOOKUP($B769,[1]DG!A:C,3,)</f>
        <v>V/c dụng cụ thi công vào vị trí (cự ly &lt;=100m)</v>
      </c>
      <c r="G769" s="422" t="str">
        <f>VLOOKUP($B769,[1]DG!A:D,4,0)</f>
        <v>tấn</v>
      </c>
      <c r="H769" s="435"/>
      <c r="I769" s="435"/>
      <c r="J769" s="435"/>
      <c r="K769" s="435"/>
      <c r="L769" s="435"/>
      <c r="M769" s="435"/>
      <c r="N769" s="435"/>
      <c r="O769" s="435"/>
      <c r="P769" s="435"/>
      <c r="Q769" s="437"/>
      <c r="R769" s="437"/>
      <c r="S769" s="437"/>
      <c r="T769" s="432">
        <f t="shared" si="128"/>
        <v>0</v>
      </c>
    </row>
    <row r="770" spans="1:20" ht="22.2" hidden="1" customHeight="1">
      <c r="A770" s="467" t="s">
        <v>870</v>
      </c>
      <c r="B770" s="468" t="s">
        <v>870</v>
      </c>
      <c r="C770" s="469" t="str">
        <f t="shared" si="129"/>
        <v xml:space="preserve"> </v>
      </c>
      <c r="D770" s="426"/>
      <c r="E770" s="427"/>
      <c r="F770" s="428" t="s">
        <v>871</v>
      </c>
      <c r="G770" s="349" t="s">
        <v>339</v>
      </c>
      <c r="H770" s="429">
        <f>SUM(I770:O770)</f>
        <v>0</v>
      </c>
      <c r="I770" s="430"/>
      <c r="J770" s="430"/>
      <c r="K770" s="430">
        <f>IFERROR(HLOOKUP(B770,[1]pp3p1m!$1:$3,3,0),0)</f>
        <v>0</v>
      </c>
      <c r="L770" s="430">
        <f>IFERROR(HLOOKUP(chitiet!B770,[1]pp1p!$1:$3,3,0),0)</f>
        <v>0</v>
      </c>
      <c r="M770" s="430"/>
      <c r="N770" s="430"/>
      <c r="O770" s="430"/>
      <c r="P770" s="430"/>
      <c r="Q770" s="431"/>
      <c r="R770" s="431"/>
      <c r="S770" s="431"/>
      <c r="T770" s="432">
        <f>IFERROR(HLOOKUP(B770,[1]pp1p!$1:$3,3,0),0)+IFERROR(HLOOKUP(B770,[1]pp3p1m!$1:$3,3,0),0)</f>
        <v>0</v>
      </c>
    </row>
    <row r="771" spans="1:20" ht="22.2" hidden="1" customHeight="1">
      <c r="A771" s="379"/>
      <c r="B771" s="410" t="s">
        <v>872</v>
      </c>
      <c r="C771" s="469" t="str">
        <f t="shared" si="129"/>
        <v xml:space="preserve"> </v>
      </c>
      <c r="D771" s="440">
        <v>1</v>
      </c>
      <c r="E771" s="422"/>
      <c r="F771" s="441" t="str">
        <f>VLOOKUP($B771,[1]DG!A:D,[1]DG!$C$2,)</f>
        <v>Trụ BTLT 20m F1000 dự ứng lực</v>
      </c>
      <c r="G771" s="422" t="str">
        <f>VLOOKUP($B771,[1]DG!A:D,[1]DG!$D$2,)</f>
        <v>trụ</v>
      </c>
      <c r="H771" s="435">
        <f t="shared" ref="H771:J772" si="135">H$770*$D771</f>
        <v>0</v>
      </c>
      <c r="I771" s="435">
        <f t="shared" si="135"/>
        <v>0</v>
      </c>
      <c r="J771" s="435">
        <f t="shared" si="135"/>
        <v>0</v>
      </c>
      <c r="K771" s="435">
        <f>K$763*$D771</f>
        <v>0</v>
      </c>
      <c r="L771" s="435">
        <f>L$763*$D771</f>
        <v>0</v>
      </c>
      <c r="M771" s="435"/>
      <c r="N771" s="435"/>
      <c r="O771" s="435"/>
      <c r="P771" s="435"/>
      <c r="Q771" s="442"/>
      <c r="R771" s="442"/>
      <c r="S771" s="442"/>
      <c r="T771" s="432">
        <f t="shared" si="128"/>
        <v>0</v>
      </c>
    </row>
    <row r="772" spans="1:20" ht="22.2" hidden="1" customHeight="1">
      <c r="A772" s="379"/>
      <c r="B772" s="410" t="s">
        <v>70</v>
      </c>
      <c r="C772" s="469" t="str">
        <f t="shared" si="129"/>
        <v xml:space="preserve"> </v>
      </c>
      <c r="D772" s="440">
        <v>1</v>
      </c>
      <c r="E772" s="422"/>
      <c r="F772" s="441" t="str">
        <f>VLOOKUP($B772,[1]DG!A:D,[1]DG!$C$2,)</f>
        <v>Vật liệu dựng trụ</v>
      </c>
      <c r="G772" s="422" t="str">
        <f>VLOOKUP($B772,[1]DG!A:D,[1]DG!$D$2,)</f>
        <v>trụ</v>
      </c>
      <c r="H772" s="435">
        <f t="shared" si="135"/>
        <v>0</v>
      </c>
      <c r="I772" s="435">
        <f t="shared" si="135"/>
        <v>0</v>
      </c>
      <c r="J772" s="435">
        <f t="shared" si="135"/>
        <v>0</v>
      </c>
      <c r="K772" s="435">
        <f>K$763*$D772</f>
        <v>0</v>
      </c>
      <c r="L772" s="435">
        <f>L$763*$D772</f>
        <v>0</v>
      </c>
      <c r="M772" s="435"/>
      <c r="N772" s="435"/>
      <c r="O772" s="435"/>
      <c r="P772" s="435"/>
      <c r="Q772" s="442"/>
      <c r="R772" s="442"/>
      <c r="S772" s="442"/>
      <c r="T772" s="432">
        <f t="shared" si="128"/>
        <v>0</v>
      </c>
    </row>
    <row r="773" spans="1:20" ht="22.2" hidden="1" customHeight="1">
      <c r="A773" s="379"/>
      <c r="B773" s="410" t="s">
        <v>873</v>
      </c>
      <c r="C773" s="469" t="str">
        <f t="shared" si="129"/>
        <v xml:space="preserve"> </v>
      </c>
      <c r="D773" s="440">
        <v>1</v>
      </c>
      <c r="E773" s="422" t="str">
        <f>VLOOKUP($B773,[1]DG!A:D,[1]DG!$B$2,)</f>
        <v>05.5227</v>
      </c>
      <c r="F773" s="441" t="str">
        <f>VLOOKUP($B773,[1]DG!A:D,[1]DG!$C$2,)</f>
        <v>Dựng trụ BTLT 20m thủ công + cơ giới</v>
      </c>
      <c r="G773" s="422" t="str">
        <f>VLOOKUP($B773,[1]DG!A:D,[1]DG!$D$2,)</f>
        <v>trụ</v>
      </c>
      <c r="H773" s="435"/>
      <c r="I773" s="435"/>
      <c r="J773" s="435"/>
      <c r="K773" s="435"/>
      <c r="L773" s="435"/>
      <c r="M773" s="435"/>
      <c r="N773" s="435"/>
      <c r="O773" s="435"/>
      <c r="P773" s="435"/>
      <c r="Q773" s="437"/>
      <c r="R773" s="437"/>
      <c r="S773" s="437"/>
      <c r="T773" s="432">
        <f t="shared" si="128"/>
        <v>0</v>
      </c>
    </row>
    <row r="774" spans="1:20" ht="22.2" hidden="1" customHeight="1">
      <c r="A774" s="379"/>
      <c r="B774" s="410" t="s">
        <v>833</v>
      </c>
      <c r="C774" s="469" t="str">
        <f t="shared" si="129"/>
        <v xml:space="preserve"> </v>
      </c>
      <c r="D774" s="439">
        <v>2.72</v>
      </c>
      <c r="E774" s="422" t="str">
        <f>VLOOKUP($B774,[1]DG!A:D,[1]DG!$B$2,)</f>
        <v>02.1124</v>
      </c>
      <c r="F774" s="434" t="str">
        <f>VLOOKUP($B774,[1]DG!A:D,[1]DG!$C$2,)</f>
        <v xml:space="preserve">Bốc dỡ trụ </v>
      </c>
      <c r="G774" s="422" t="str">
        <f>VLOOKUP($B774,[1]DG!A:D,[1]DG!$D$2,)</f>
        <v>tấn</v>
      </c>
      <c r="H774" s="435"/>
      <c r="I774" s="435"/>
      <c r="J774" s="435"/>
      <c r="K774" s="435"/>
      <c r="L774" s="435"/>
      <c r="M774" s="435"/>
      <c r="N774" s="435"/>
      <c r="O774" s="435"/>
      <c r="P774" s="435"/>
      <c r="Q774" s="437"/>
      <c r="R774" s="437"/>
      <c r="S774" s="437"/>
      <c r="T774" s="432">
        <f t="shared" si="128"/>
        <v>0</v>
      </c>
    </row>
    <row r="775" spans="1:20" ht="22.2" hidden="1" customHeight="1">
      <c r="A775" s="379"/>
      <c r="B775" s="438" t="s">
        <v>834</v>
      </c>
      <c r="C775" s="469" t="str">
        <f t="shared" si="129"/>
        <v xml:space="preserve"> </v>
      </c>
      <c r="D775" s="439">
        <v>2.72</v>
      </c>
      <c r="E775" s="422" t="str">
        <f>VLOOKUP($B775,[1]DG!A:C,2,)</f>
        <v>02.1461</v>
      </c>
      <c r="F775" s="434" t="str">
        <f>VLOOKUP($B775,[1]DG!A:C,3,)</f>
        <v>V/c cột vào vị trí (cự ly &lt;=100m)</v>
      </c>
      <c r="G775" s="422" t="str">
        <f>VLOOKUP($B775,[1]DG!A:D,4,0)</f>
        <v>tấn</v>
      </c>
      <c r="H775" s="435"/>
      <c r="I775" s="435"/>
      <c r="J775" s="435"/>
      <c r="K775" s="435"/>
      <c r="L775" s="435"/>
      <c r="M775" s="435"/>
      <c r="N775" s="435"/>
      <c r="O775" s="435"/>
      <c r="P775" s="435"/>
      <c r="Q775" s="437"/>
      <c r="R775" s="437"/>
      <c r="S775" s="437"/>
      <c r="T775" s="432">
        <f t="shared" si="128"/>
        <v>0</v>
      </c>
    </row>
    <row r="776" spans="1:20" ht="22.2" hidden="1" customHeight="1">
      <c r="A776" s="379"/>
      <c r="B776" s="438" t="s">
        <v>620</v>
      </c>
      <c r="C776" s="469" t="str">
        <f t="shared" si="129"/>
        <v xml:space="preserve"> </v>
      </c>
      <c r="D776" s="439">
        <v>0.25</v>
      </c>
      <c r="E776" s="422" t="str">
        <f>VLOOKUP($B776,[1]DG!A:C,2,)</f>
        <v>02.1482</v>
      </c>
      <c r="F776" s="434" t="str">
        <f>VLOOKUP($B776,[1]DG!A:C,3,)</f>
        <v>V/c dụng cụ thi công vào vị trí (cự ly &lt;=100m)</v>
      </c>
      <c r="G776" s="422" t="str">
        <f>VLOOKUP($B776,[1]DG!A:D,4,0)</f>
        <v>tấn</v>
      </c>
      <c r="H776" s="435"/>
      <c r="I776" s="435"/>
      <c r="J776" s="435"/>
      <c r="K776" s="435"/>
      <c r="L776" s="435"/>
      <c r="M776" s="435"/>
      <c r="N776" s="435"/>
      <c r="O776" s="435"/>
      <c r="P776" s="435"/>
      <c r="Q776" s="437"/>
      <c r="R776" s="437"/>
      <c r="S776" s="437"/>
      <c r="T776" s="432">
        <f t="shared" si="128"/>
        <v>0</v>
      </c>
    </row>
    <row r="777" spans="1:20" ht="22.2" hidden="1" customHeight="1">
      <c r="A777" s="451"/>
      <c r="B777" s="424">
        <v>0</v>
      </c>
      <c r="C777" s="469" t="str">
        <f>IF(SUM(I777:O777)&gt;0,"x"," ")</f>
        <v xml:space="preserve"> </v>
      </c>
      <c r="D777" s="466">
        <f>SUM(H777:N777)+S777</f>
        <v>0</v>
      </c>
      <c r="E777" s="349" t="s">
        <v>874</v>
      </c>
      <c r="F777" s="428" t="s">
        <v>875</v>
      </c>
      <c r="G777" s="427"/>
      <c r="H777" s="429">
        <f t="shared" ref="H777:H778" si="136">SUM(I777:O777)</f>
        <v>0</v>
      </c>
      <c r="I777" s="427"/>
      <c r="J777" s="427"/>
      <c r="K777" s="430">
        <f>IFERROR(HLOOKUP(B777,[1]pp3p1m!$1:$3,3,0),0)</f>
        <v>0</v>
      </c>
      <c r="L777" s="430">
        <f>IFERROR(HLOOKUP(chitiet!B777,[1]pp1p!$1:$3,3,0),0)</f>
        <v>0</v>
      </c>
      <c r="M777" s="427"/>
      <c r="N777" s="427"/>
      <c r="O777" s="427"/>
      <c r="P777" s="429" t="str">
        <f>IF(SUM(P778:P1489)&gt;0," ","")</f>
        <v xml:space="preserve"> </v>
      </c>
      <c r="Q777" s="427"/>
      <c r="R777" s="427"/>
      <c r="S777" s="427"/>
      <c r="T777" s="432">
        <f>IFERROR(HLOOKUP(B777,[1]pp1p!$1:$3,3,0),0)+IFERROR(HLOOKUP(B777,[1]pp3p1m!$1:$3,3,0),0)</f>
        <v>0</v>
      </c>
    </row>
    <row r="778" spans="1:20" ht="22.2" hidden="1" customHeight="1">
      <c r="A778" s="423" t="s">
        <v>876</v>
      </c>
      <c r="B778" s="424" t="s">
        <v>876</v>
      </c>
      <c r="C778" s="469" t="str">
        <f t="shared" si="129"/>
        <v xml:space="preserve"> </v>
      </c>
      <c r="D778" s="426"/>
      <c r="E778" s="427"/>
      <c r="F778" s="428" t="s">
        <v>877</v>
      </c>
      <c r="G778" s="349" t="s">
        <v>67</v>
      </c>
      <c r="H778" s="429">
        <f t="shared" si="136"/>
        <v>0</v>
      </c>
      <c r="I778" s="430"/>
      <c r="J778" s="430"/>
      <c r="K778" s="430">
        <f>IFERROR(HLOOKUP(B778,[1]pp3p1m!$1:$3,3,0),0)</f>
        <v>0</v>
      </c>
      <c r="L778" s="430">
        <f>IFERROR(HLOOKUP(chitiet!B778,[1]pp1p!$1:$3,3,0),0)</f>
        <v>0</v>
      </c>
      <c r="M778" s="430"/>
      <c r="N778" s="430"/>
      <c r="O778" s="430"/>
      <c r="P778" s="429">
        <f>T778</f>
        <v>0</v>
      </c>
      <c r="Q778" s="431"/>
      <c r="R778" s="431"/>
      <c r="S778" s="431"/>
      <c r="T778" s="432">
        <f>IFERROR(HLOOKUP(B778,[1]pp1p!$1:$3,3,0),0)+IFERROR(HLOOKUP(B778,[1]pp3p1m!$1:$3,3,0),0)</f>
        <v>0</v>
      </c>
    </row>
    <row r="779" spans="1:20" ht="22.2" hidden="1" customHeight="1">
      <c r="A779" s="379"/>
      <c r="B779" s="410" t="s">
        <v>878</v>
      </c>
      <c r="C779" s="469" t="str">
        <f t="shared" si="129"/>
        <v xml:space="preserve"> </v>
      </c>
      <c r="D779" s="439">
        <v>1</v>
      </c>
      <c r="E779" s="422"/>
      <c r="F779" s="441" t="str">
        <f>VLOOKUP($B779,[1]DG!A:D,[1]DG!$C$2,)</f>
        <v>Đà 1,66m X-16Đ</v>
      </c>
      <c r="G779" s="422" t="str">
        <f>VLOOKUP($B779,[1]DG!A:D,[1]DG!$D$2,)</f>
        <v>Cái</v>
      </c>
      <c r="H779" s="435">
        <f>H$778*$D779</f>
        <v>0</v>
      </c>
      <c r="I779" s="463">
        <f t="shared" ref="I779:O779" si="137">I$778*$D779</f>
        <v>0</v>
      </c>
      <c r="J779" s="463">
        <f t="shared" si="137"/>
        <v>0</v>
      </c>
      <c r="K779" s="463">
        <f t="shared" si="137"/>
        <v>0</v>
      </c>
      <c r="L779" s="463">
        <f t="shared" si="137"/>
        <v>0</v>
      </c>
      <c r="M779" s="463">
        <f t="shared" si="137"/>
        <v>0</v>
      </c>
      <c r="N779" s="463">
        <f t="shared" si="137"/>
        <v>0</v>
      </c>
      <c r="O779" s="463">
        <f t="shared" si="137"/>
        <v>0</v>
      </c>
      <c r="P779" s="435">
        <f>P$778*$D779</f>
        <v>0</v>
      </c>
      <c r="Q779" s="463"/>
      <c r="R779" s="463"/>
      <c r="S779" s="442"/>
      <c r="T779" s="432">
        <f t="shared" si="128"/>
        <v>0</v>
      </c>
    </row>
    <row r="780" spans="1:20" ht="22.2" hidden="1" customHeight="1">
      <c r="A780" s="379"/>
      <c r="B780" s="410" t="s">
        <v>879</v>
      </c>
      <c r="C780" s="469" t="str">
        <f t="shared" si="129"/>
        <v xml:space="preserve"> </v>
      </c>
      <c r="D780" s="439">
        <v>2</v>
      </c>
      <c r="E780" s="422"/>
      <c r="F780" s="441" t="str">
        <f>VLOOKUP($B780,[1]DG!A:D,[1]DG!$C$2,)</f>
        <v>Thanh chống đà  810</v>
      </c>
      <c r="G780" s="422" t="str">
        <f>VLOOKUP($B780,[1]DG!A:D,[1]DG!$D$2,)</f>
        <v>cái</v>
      </c>
      <c r="H780" s="435">
        <f t="shared" ref="H780:P787" si="138">H$778*$D780</f>
        <v>0</v>
      </c>
      <c r="I780" s="463">
        <f t="shared" si="138"/>
        <v>0</v>
      </c>
      <c r="J780" s="463">
        <f t="shared" si="138"/>
        <v>0</v>
      </c>
      <c r="K780" s="463">
        <f t="shared" si="138"/>
        <v>0</v>
      </c>
      <c r="L780" s="463">
        <f t="shared" si="138"/>
        <v>0</v>
      </c>
      <c r="M780" s="463">
        <f t="shared" si="138"/>
        <v>0</v>
      </c>
      <c r="N780" s="463">
        <f t="shared" si="138"/>
        <v>0</v>
      </c>
      <c r="O780" s="463">
        <f t="shared" si="138"/>
        <v>0</v>
      </c>
      <c r="P780" s="435">
        <f t="shared" si="138"/>
        <v>0</v>
      </c>
      <c r="Q780" s="463"/>
      <c r="R780" s="463"/>
      <c r="S780" s="442"/>
      <c r="T780" s="432">
        <f t="shared" si="128"/>
        <v>0</v>
      </c>
    </row>
    <row r="781" spans="1:20" ht="22.2" hidden="1" customHeight="1">
      <c r="A781" s="379"/>
      <c r="B781" s="410" t="s">
        <v>880</v>
      </c>
      <c r="C781" s="469" t="str">
        <f t="shared" si="129"/>
        <v xml:space="preserve"> </v>
      </c>
      <c r="D781" s="440">
        <v>1</v>
      </c>
      <c r="E781" s="422"/>
      <c r="F781" s="441" t="str">
        <f>VLOOKUP($B781,[1]DG!A:D,[1]DG!$C$2,)</f>
        <v>Chân sứ đỉnh thẳng dài 870mm</v>
      </c>
      <c r="G781" s="422" t="str">
        <f>VLOOKUP($B781,[1]DG!A:D,[1]DG!$D$2,)</f>
        <v>cái</v>
      </c>
      <c r="H781" s="435">
        <f t="shared" si="138"/>
        <v>0</v>
      </c>
      <c r="I781" s="463">
        <f t="shared" si="138"/>
        <v>0</v>
      </c>
      <c r="J781" s="463">
        <f t="shared" si="138"/>
        <v>0</v>
      </c>
      <c r="K781" s="463">
        <f t="shared" si="138"/>
        <v>0</v>
      </c>
      <c r="L781" s="463">
        <f t="shared" si="138"/>
        <v>0</v>
      </c>
      <c r="M781" s="463">
        <f t="shared" si="138"/>
        <v>0</v>
      </c>
      <c r="N781" s="463">
        <f t="shared" si="138"/>
        <v>0</v>
      </c>
      <c r="O781" s="463">
        <f t="shared" si="138"/>
        <v>0</v>
      </c>
      <c r="P781" s="435">
        <f t="shared" si="138"/>
        <v>0</v>
      </c>
      <c r="Q781" s="463"/>
      <c r="R781" s="463"/>
      <c r="S781" s="442"/>
      <c r="T781" s="432">
        <f t="shared" si="128"/>
        <v>0</v>
      </c>
    </row>
    <row r="782" spans="1:20" ht="22.2" hidden="1" customHeight="1">
      <c r="A782" s="379"/>
      <c r="B782" s="410" t="s">
        <v>237</v>
      </c>
      <c r="C782" s="469" t="str">
        <f t="shared" si="129"/>
        <v xml:space="preserve"> </v>
      </c>
      <c r="D782" s="440">
        <v>4</v>
      </c>
      <c r="E782" s="422"/>
      <c r="F782" s="441" t="str">
        <f>VLOOKUP($B782,[1]DG!A:D,[1]DG!$C$2,)</f>
        <v>Boulon 16x250+ 2 long đền vuông D18-50x50x3/Zn</v>
      </c>
      <c r="G782" s="422" t="str">
        <f>VLOOKUP($B782,[1]DG!A:D,[1]DG!$D$2,)</f>
        <v>bộ</v>
      </c>
      <c r="H782" s="435">
        <f t="shared" si="138"/>
        <v>0</v>
      </c>
      <c r="I782" s="463">
        <f t="shared" si="138"/>
        <v>0</v>
      </c>
      <c r="J782" s="463">
        <f t="shared" si="138"/>
        <v>0</v>
      </c>
      <c r="K782" s="463">
        <f t="shared" si="138"/>
        <v>0</v>
      </c>
      <c r="L782" s="463">
        <f t="shared" si="138"/>
        <v>0</v>
      </c>
      <c r="M782" s="463">
        <f t="shared" si="138"/>
        <v>0</v>
      </c>
      <c r="N782" s="463">
        <f t="shared" si="138"/>
        <v>0</v>
      </c>
      <c r="O782" s="463">
        <f t="shared" si="138"/>
        <v>0</v>
      </c>
      <c r="P782" s="435">
        <f t="shared" si="138"/>
        <v>0</v>
      </c>
      <c r="Q782" s="463"/>
      <c r="R782" s="463"/>
      <c r="S782" s="442"/>
      <c r="T782" s="432">
        <f t="shared" si="128"/>
        <v>0</v>
      </c>
    </row>
    <row r="783" spans="1:20" ht="22.2" hidden="1" customHeight="1">
      <c r="A783" s="379"/>
      <c r="B783" s="410" t="s">
        <v>231</v>
      </c>
      <c r="C783" s="469" t="str">
        <f t="shared" si="129"/>
        <v xml:space="preserve"> </v>
      </c>
      <c r="D783" s="440">
        <v>2</v>
      </c>
      <c r="E783" s="422"/>
      <c r="F783" s="441" t="str">
        <f>VLOOKUP($B783,[1]DG!A:D,[1]DG!$C$2,)</f>
        <v>Boulon 16x50+ 2 long đền vuông D18-50x50x3/Zn</v>
      </c>
      <c r="G783" s="422" t="str">
        <f>VLOOKUP($B783,[1]DG!A:D,[1]DG!$D$2,)</f>
        <v>bộ</v>
      </c>
      <c r="H783" s="435">
        <f t="shared" si="138"/>
        <v>0</v>
      </c>
      <c r="I783" s="463">
        <f t="shared" si="138"/>
        <v>0</v>
      </c>
      <c r="J783" s="463">
        <f t="shared" si="138"/>
        <v>0</v>
      </c>
      <c r="K783" s="463">
        <f t="shared" si="138"/>
        <v>0</v>
      </c>
      <c r="L783" s="463">
        <f t="shared" si="138"/>
        <v>0</v>
      </c>
      <c r="M783" s="463">
        <f t="shared" si="138"/>
        <v>0</v>
      </c>
      <c r="N783" s="463">
        <f t="shared" si="138"/>
        <v>0</v>
      </c>
      <c r="O783" s="463">
        <f t="shared" si="138"/>
        <v>0</v>
      </c>
      <c r="P783" s="435">
        <f t="shared" si="138"/>
        <v>0</v>
      </c>
      <c r="Q783" s="463"/>
      <c r="R783" s="463"/>
      <c r="S783" s="442"/>
      <c r="T783" s="432">
        <f t="shared" si="128"/>
        <v>0</v>
      </c>
    </row>
    <row r="784" spans="1:20" ht="22.2" hidden="1" customHeight="1">
      <c r="A784" s="379"/>
      <c r="B784" s="410" t="s">
        <v>126</v>
      </c>
      <c r="C784" s="469" t="str">
        <f t="shared" si="129"/>
        <v xml:space="preserve"> </v>
      </c>
      <c r="D784" s="440">
        <v>1</v>
      </c>
      <c r="E784" s="422" t="str">
        <f>VLOOKUP($B784,[1]DG!A:D,[1]DG!$B$2,)</f>
        <v>05.6401</v>
      </c>
      <c r="F784" s="434" t="str">
        <f>VLOOKUP($B784,[1]DG!A:D,[1]DG!$C$2,)</f>
        <v>Lắp xà đỡ ≤ 25kg</v>
      </c>
      <c r="G784" s="422" t="str">
        <f>VLOOKUP($B784,[1]DG!A:D,[1]DG!$D$2,)</f>
        <v>bộ</v>
      </c>
      <c r="H784" s="435">
        <f t="shared" si="138"/>
        <v>0</v>
      </c>
      <c r="I784" s="463">
        <f t="shared" si="138"/>
        <v>0</v>
      </c>
      <c r="J784" s="463">
        <f t="shared" si="138"/>
        <v>0</v>
      </c>
      <c r="K784" s="463">
        <f t="shared" si="138"/>
        <v>0</v>
      </c>
      <c r="L784" s="463">
        <f t="shared" si="138"/>
        <v>0</v>
      </c>
      <c r="M784" s="463">
        <f t="shared" si="138"/>
        <v>0</v>
      </c>
      <c r="N784" s="463">
        <f t="shared" si="138"/>
        <v>0</v>
      </c>
      <c r="O784" s="463">
        <f t="shared" si="138"/>
        <v>0</v>
      </c>
      <c r="P784" s="435">
        <f t="shared" si="138"/>
        <v>0</v>
      </c>
      <c r="Q784" s="463"/>
      <c r="R784" s="463"/>
      <c r="S784" s="437"/>
      <c r="T784" s="432">
        <f t="shared" si="128"/>
        <v>0</v>
      </c>
    </row>
    <row r="785" spans="1:20" ht="22.2" hidden="1" customHeight="1">
      <c r="A785" s="379"/>
      <c r="B785" s="410" t="s">
        <v>881</v>
      </c>
      <c r="C785" s="469" t="str">
        <f t="shared" si="129"/>
        <v xml:space="preserve"> </v>
      </c>
      <c r="D785" s="433"/>
      <c r="E785" s="422" t="str">
        <f>VLOOKUP($B785,[1]DG!A:D,[1]DG!$B$2,)</f>
        <v>02.1115</v>
      </c>
      <c r="F785" s="434" t="str">
        <f>VLOOKUP($B785,[1]DG!A:D,[1]DG!$C$2,)</f>
        <v>Bốc dỡ xà, thép thanh</v>
      </c>
      <c r="G785" s="422" t="str">
        <f>VLOOKUP($B785,[1]DG!A:D,[1]DG!$D$2,)</f>
        <v>tấn</v>
      </c>
      <c r="H785" s="463">
        <f t="shared" si="138"/>
        <v>0</v>
      </c>
      <c r="I785" s="463">
        <f t="shared" si="138"/>
        <v>0</v>
      </c>
      <c r="J785" s="463">
        <f t="shared" si="138"/>
        <v>0</v>
      </c>
      <c r="K785" s="463">
        <f t="shared" si="138"/>
        <v>0</v>
      </c>
      <c r="L785" s="463">
        <f t="shared" si="138"/>
        <v>0</v>
      </c>
      <c r="M785" s="463">
        <f t="shared" si="138"/>
        <v>0</v>
      </c>
      <c r="N785" s="463">
        <f t="shared" si="138"/>
        <v>0</v>
      </c>
      <c r="O785" s="463">
        <f t="shared" si="138"/>
        <v>0</v>
      </c>
      <c r="P785" s="463"/>
      <c r="Q785" s="463"/>
      <c r="R785" s="463"/>
      <c r="S785" s="437"/>
      <c r="T785" s="432">
        <f t="shared" si="128"/>
        <v>0</v>
      </c>
    </row>
    <row r="786" spans="1:20" ht="22.2" hidden="1" customHeight="1">
      <c r="A786" s="379"/>
      <c r="B786" s="438" t="s">
        <v>882</v>
      </c>
      <c r="C786" s="469" t="str">
        <f t="shared" si="129"/>
        <v xml:space="preserve"> </v>
      </c>
      <c r="D786" s="433"/>
      <c r="E786" s="422" t="str">
        <f>VLOOKUP($B786,[1]DG!A:C,2,)</f>
        <v>02.1361</v>
      </c>
      <c r="F786" s="434" t="str">
        <f>VLOOKUP($B786,[1]DG!A:C,3,)</f>
        <v>V/c xà vào vị trí (cư ly &lt;=100m)</v>
      </c>
      <c r="G786" s="422" t="str">
        <f>VLOOKUP($B786,[1]DG!A:D,4,0)</f>
        <v>tấn</v>
      </c>
      <c r="H786" s="463">
        <f t="shared" si="138"/>
        <v>0</v>
      </c>
      <c r="I786" s="463">
        <f t="shared" si="138"/>
        <v>0</v>
      </c>
      <c r="J786" s="463">
        <f t="shared" si="138"/>
        <v>0</v>
      </c>
      <c r="K786" s="463">
        <f t="shared" si="138"/>
        <v>0</v>
      </c>
      <c r="L786" s="463">
        <f t="shared" si="138"/>
        <v>0</v>
      </c>
      <c r="M786" s="463">
        <f t="shared" si="138"/>
        <v>0</v>
      </c>
      <c r="N786" s="463">
        <f t="shared" si="138"/>
        <v>0</v>
      </c>
      <c r="O786" s="463">
        <f t="shared" si="138"/>
        <v>0</v>
      </c>
      <c r="P786" s="463"/>
      <c r="Q786" s="463"/>
      <c r="R786" s="463"/>
      <c r="S786" s="437"/>
      <c r="T786" s="432">
        <f t="shared" si="128"/>
        <v>0</v>
      </c>
    </row>
    <row r="787" spans="1:20" ht="22.2" hidden="1" customHeight="1">
      <c r="A787" s="379"/>
      <c r="B787" s="438" t="s">
        <v>620</v>
      </c>
      <c r="C787" s="469" t="str">
        <f t="shared" si="129"/>
        <v xml:space="preserve"> </v>
      </c>
      <c r="D787" s="439"/>
      <c r="E787" s="422" t="str">
        <f>VLOOKUP($B787,[1]DG!A:C,2,)</f>
        <v>02.1482</v>
      </c>
      <c r="F787" s="434" t="str">
        <f>VLOOKUP($B787,[1]DG!A:C,3,)</f>
        <v>V/c dụng cụ thi công vào vị trí (cự ly &lt;=100m)</v>
      </c>
      <c r="G787" s="422" t="str">
        <f>VLOOKUP($B787,[1]DG!A:D,4,0)</f>
        <v>tấn</v>
      </c>
      <c r="H787" s="463">
        <f t="shared" si="138"/>
        <v>0</v>
      </c>
      <c r="I787" s="463">
        <f t="shared" si="138"/>
        <v>0</v>
      </c>
      <c r="J787" s="463">
        <f t="shared" si="138"/>
        <v>0</v>
      </c>
      <c r="K787" s="463">
        <f t="shared" si="138"/>
        <v>0</v>
      </c>
      <c r="L787" s="463">
        <f t="shared" si="138"/>
        <v>0</v>
      </c>
      <c r="M787" s="463">
        <f t="shared" si="138"/>
        <v>0</v>
      </c>
      <c r="N787" s="463">
        <f t="shared" si="138"/>
        <v>0</v>
      </c>
      <c r="O787" s="463">
        <f t="shared" si="138"/>
        <v>0</v>
      </c>
      <c r="P787" s="463"/>
      <c r="Q787" s="463"/>
      <c r="R787" s="463"/>
      <c r="S787" s="437"/>
      <c r="T787" s="432">
        <f t="shared" si="128"/>
        <v>0</v>
      </c>
    </row>
    <row r="788" spans="1:20" ht="22.2" hidden="1" customHeight="1">
      <c r="A788" s="423" t="s">
        <v>883</v>
      </c>
      <c r="B788" s="424" t="s">
        <v>883</v>
      </c>
      <c r="C788" s="469" t="str">
        <f t="shared" si="129"/>
        <v xml:space="preserve"> </v>
      </c>
      <c r="D788" s="426"/>
      <c r="E788" s="427"/>
      <c r="F788" s="428" t="s">
        <v>884</v>
      </c>
      <c r="G788" s="349" t="s">
        <v>67</v>
      </c>
      <c r="H788" s="429">
        <f>SUM(I788:O788)</f>
        <v>0</v>
      </c>
      <c r="I788" s="430"/>
      <c r="J788" s="430"/>
      <c r="K788" s="430">
        <f>IFERROR(HLOOKUP(B788,[1]pp3p1m!$1:$3,3,0),0)</f>
        <v>0</v>
      </c>
      <c r="L788" s="430">
        <f>IFERROR(HLOOKUP(chitiet!B788,[1]pp1p!$1:$3,3,0),0)</f>
        <v>0</v>
      </c>
      <c r="M788" s="430"/>
      <c r="N788" s="430"/>
      <c r="O788" s="430"/>
      <c r="P788" s="430"/>
      <c r="Q788" s="431"/>
      <c r="R788" s="431"/>
      <c r="S788" s="431"/>
      <c r="T788" s="432">
        <f>IFERROR(HLOOKUP(B788,[1]pp1p!$1:$3,3,0),0)+IFERROR(HLOOKUP(B788,[1]pp3p1m!$1:$3,3,0),0)</f>
        <v>0</v>
      </c>
    </row>
    <row r="789" spans="1:20" ht="22.2" hidden="1" customHeight="1">
      <c r="A789" s="379"/>
      <c r="B789" s="410" t="s">
        <v>235</v>
      </c>
      <c r="C789" s="469" t="str">
        <f t="shared" si="129"/>
        <v xml:space="preserve"> </v>
      </c>
      <c r="D789" s="439">
        <f>9.02*(1.66+0.07*2)*2</f>
        <v>32.471999999999994</v>
      </c>
      <c r="E789" s="422"/>
      <c r="F789" s="441" t="str">
        <f>VLOOKUP($B789,[1]DG!A:D,[1]DG!$C$2,)</f>
        <v>Sắt góc L75 x75 x8</v>
      </c>
      <c r="G789" s="422" t="str">
        <f>VLOOKUP($B789,[1]DG!A:D,[1]DG!$D$2,)</f>
        <v>kg</v>
      </c>
      <c r="H789" s="435">
        <f>H$809*$D789</f>
        <v>0</v>
      </c>
      <c r="I789" s="435">
        <f t="shared" ref="I789:O793" si="139">I$788*$D789</f>
        <v>0</v>
      </c>
      <c r="J789" s="435">
        <f t="shared" si="139"/>
        <v>0</v>
      </c>
      <c r="K789" s="435">
        <f t="shared" si="139"/>
        <v>0</v>
      </c>
      <c r="L789" s="435">
        <f t="shared" si="139"/>
        <v>0</v>
      </c>
      <c r="M789" s="435">
        <f t="shared" si="139"/>
        <v>0</v>
      </c>
      <c r="N789" s="435">
        <f t="shared" si="139"/>
        <v>0</v>
      </c>
      <c r="O789" s="435">
        <f t="shared" si="139"/>
        <v>0</v>
      </c>
      <c r="P789" s="435"/>
      <c r="Q789" s="442"/>
      <c r="R789" s="442"/>
      <c r="S789" s="442"/>
      <c r="T789" s="432">
        <f t="shared" si="128"/>
        <v>0</v>
      </c>
    </row>
    <row r="790" spans="1:20" ht="22.2" hidden="1" customHeight="1">
      <c r="A790" s="379"/>
      <c r="B790" s="410" t="s">
        <v>236</v>
      </c>
      <c r="C790" s="469" t="str">
        <f t="shared" si="129"/>
        <v xml:space="preserve"> </v>
      </c>
      <c r="D790" s="439">
        <f>3.77*0.81*4</f>
        <v>12.2148</v>
      </c>
      <c r="E790" s="422"/>
      <c r="F790" s="441" t="str">
        <f>VLOOKUP($B790,[1]DG!A:D,[1]DG!$C$2,)</f>
        <v>Sắt góc L50 x50 x5</v>
      </c>
      <c r="G790" s="422" t="str">
        <f>VLOOKUP($B790,[1]DG!A:D,[1]DG!$D$2,)</f>
        <v>kg</v>
      </c>
      <c r="H790" s="435">
        <f>H$809*$D790</f>
        <v>0</v>
      </c>
      <c r="I790" s="435">
        <f t="shared" si="139"/>
        <v>0</v>
      </c>
      <c r="J790" s="435">
        <f t="shared" si="139"/>
        <v>0</v>
      </c>
      <c r="K790" s="435">
        <f t="shared" si="139"/>
        <v>0</v>
      </c>
      <c r="L790" s="435">
        <f t="shared" si="139"/>
        <v>0</v>
      </c>
      <c r="M790" s="435">
        <f t="shared" si="139"/>
        <v>0</v>
      </c>
      <c r="N790" s="435">
        <f t="shared" si="139"/>
        <v>0</v>
      </c>
      <c r="O790" s="435">
        <f t="shared" si="139"/>
        <v>0</v>
      </c>
      <c r="P790" s="435"/>
      <c r="Q790" s="442"/>
      <c r="R790" s="442"/>
      <c r="S790" s="442"/>
      <c r="T790" s="432">
        <f t="shared" si="128"/>
        <v>0</v>
      </c>
    </row>
    <row r="791" spans="1:20" ht="22.2" hidden="1" customHeight="1">
      <c r="A791" s="379"/>
      <c r="B791" s="410" t="s">
        <v>237</v>
      </c>
      <c r="C791" s="469" t="str">
        <f t="shared" si="129"/>
        <v xml:space="preserve"> </v>
      </c>
      <c r="D791" s="440">
        <v>4</v>
      </c>
      <c r="E791" s="422"/>
      <c r="F791" s="441" t="str">
        <f>VLOOKUP($B791,[1]DG!A:D,[1]DG!$C$2,)</f>
        <v>Boulon 16x250+ 2 long đền vuông D18-50x50x3/Zn</v>
      </c>
      <c r="G791" s="422" t="str">
        <f>VLOOKUP($B791,[1]DG!A:D,[1]DG!$D$2,)</f>
        <v>bộ</v>
      </c>
      <c r="H791" s="435">
        <f>H$809*$D791</f>
        <v>0</v>
      </c>
      <c r="I791" s="435">
        <f t="shared" si="139"/>
        <v>0</v>
      </c>
      <c r="J791" s="435">
        <f t="shared" si="139"/>
        <v>0</v>
      </c>
      <c r="K791" s="435">
        <f t="shared" si="139"/>
        <v>0</v>
      </c>
      <c r="L791" s="435">
        <f t="shared" si="139"/>
        <v>0</v>
      </c>
      <c r="M791" s="435">
        <f t="shared" si="139"/>
        <v>0</v>
      </c>
      <c r="N791" s="435">
        <f t="shared" si="139"/>
        <v>0</v>
      </c>
      <c r="O791" s="435">
        <f t="shared" si="139"/>
        <v>0</v>
      </c>
      <c r="P791" s="435"/>
      <c r="Q791" s="442"/>
      <c r="R791" s="442"/>
      <c r="S791" s="442"/>
      <c r="T791" s="432">
        <f t="shared" si="128"/>
        <v>0</v>
      </c>
    </row>
    <row r="792" spans="1:20" ht="22.2" hidden="1" customHeight="1">
      <c r="A792" s="379"/>
      <c r="B792" s="410" t="s">
        <v>885</v>
      </c>
      <c r="C792" s="469" t="str">
        <f t="shared" si="129"/>
        <v xml:space="preserve"> </v>
      </c>
      <c r="D792" s="440">
        <v>2</v>
      </c>
      <c r="E792" s="422"/>
      <c r="F792" s="441" t="str">
        <f>VLOOKUP($B792,[1]DG!A:D,[1]DG!$C$2,)</f>
        <v>Boulon 16x250VRS+ 4 long đền vuông D18-50x50x3/Zn</v>
      </c>
      <c r="G792" s="422" t="str">
        <f>VLOOKUP($B792,[1]DG!A:D,[1]DG!$D$2,)</f>
        <v>bộ</v>
      </c>
      <c r="H792" s="435">
        <f>H$809*$D792</f>
        <v>0</v>
      </c>
      <c r="I792" s="435">
        <f t="shared" si="139"/>
        <v>0</v>
      </c>
      <c r="J792" s="435">
        <f t="shared" si="139"/>
        <v>0</v>
      </c>
      <c r="K792" s="435">
        <f t="shared" si="139"/>
        <v>0</v>
      </c>
      <c r="L792" s="435">
        <f t="shared" si="139"/>
        <v>0</v>
      </c>
      <c r="M792" s="435">
        <f t="shared" si="139"/>
        <v>0</v>
      </c>
      <c r="N792" s="435">
        <f t="shared" si="139"/>
        <v>0</v>
      </c>
      <c r="O792" s="435">
        <f t="shared" si="139"/>
        <v>0</v>
      </c>
      <c r="P792" s="435"/>
      <c r="Q792" s="442"/>
      <c r="R792" s="442"/>
      <c r="S792" s="442"/>
      <c r="T792" s="432">
        <f t="shared" si="128"/>
        <v>0</v>
      </c>
    </row>
    <row r="793" spans="1:20" ht="22.2" hidden="1" customHeight="1">
      <c r="A793" s="379"/>
      <c r="B793" s="410" t="s">
        <v>231</v>
      </c>
      <c r="C793" s="469" t="str">
        <f t="shared" si="129"/>
        <v xml:space="preserve"> </v>
      </c>
      <c r="D793" s="440">
        <v>4</v>
      </c>
      <c r="E793" s="422"/>
      <c r="F793" s="441" t="str">
        <f>VLOOKUP($B793,[1]DG!A:D,[1]DG!$C$2,)</f>
        <v>Boulon 16x50+ 2 long đền vuông D18-50x50x3/Zn</v>
      </c>
      <c r="G793" s="422" t="str">
        <f>VLOOKUP($B793,[1]DG!A:D,[1]DG!$D$2,)</f>
        <v>bộ</v>
      </c>
      <c r="H793" s="435">
        <f>H$809*$D793</f>
        <v>0</v>
      </c>
      <c r="I793" s="435">
        <f t="shared" si="139"/>
        <v>0</v>
      </c>
      <c r="J793" s="435">
        <f t="shared" si="139"/>
        <v>0</v>
      </c>
      <c r="K793" s="435">
        <f t="shared" si="139"/>
        <v>0</v>
      </c>
      <c r="L793" s="435">
        <f t="shared" si="139"/>
        <v>0</v>
      </c>
      <c r="M793" s="435">
        <f t="shared" si="139"/>
        <v>0</v>
      </c>
      <c r="N793" s="435">
        <f t="shared" si="139"/>
        <v>0</v>
      </c>
      <c r="O793" s="435">
        <f t="shared" si="139"/>
        <v>0</v>
      </c>
      <c r="P793" s="435"/>
      <c r="Q793" s="442"/>
      <c r="R793" s="442"/>
      <c r="S793" s="442"/>
      <c r="T793" s="432">
        <f t="shared" si="128"/>
        <v>0</v>
      </c>
    </row>
    <row r="794" spans="1:20" ht="22.2" hidden="1" customHeight="1">
      <c r="A794" s="379"/>
      <c r="B794" s="410" t="s">
        <v>886</v>
      </c>
      <c r="C794" s="469" t="str">
        <f t="shared" si="129"/>
        <v xml:space="preserve"> </v>
      </c>
      <c r="D794" s="440">
        <v>1</v>
      </c>
      <c r="E794" s="473" t="str">
        <f>VLOOKUP($B794,[1]DG!A:D,[1]DG!$B$2,)</f>
        <v>05.6202</v>
      </c>
      <c r="F794" s="434" t="str">
        <f>VLOOKUP($B794,[1]DG!A:D,[1]DG!$C$2,)</f>
        <v>Lắp xà néo ≤ 50kg</v>
      </c>
      <c r="G794" s="422" t="str">
        <f>VLOOKUP($B794,[1]DG!A:D,[1]DG!$D$2,)</f>
        <v>bộ</v>
      </c>
      <c r="H794" s="435"/>
      <c r="I794" s="435"/>
      <c r="J794" s="435"/>
      <c r="K794" s="435"/>
      <c r="L794" s="435"/>
      <c r="M794" s="435"/>
      <c r="N794" s="435"/>
      <c r="O794" s="435"/>
      <c r="P794" s="435"/>
      <c r="Q794" s="437"/>
      <c r="R794" s="437"/>
      <c r="S794" s="437"/>
      <c r="T794" s="432">
        <f t="shared" si="128"/>
        <v>0</v>
      </c>
    </row>
    <row r="795" spans="1:20" ht="22.2" hidden="1" customHeight="1">
      <c r="A795" s="379"/>
      <c r="B795" s="410" t="s">
        <v>881</v>
      </c>
      <c r="C795" s="469" t="str">
        <f t="shared" si="129"/>
        <v xml:space="preserve"> </v>
      </c>
      <c r="D795" s="433"/>
      <c r="E795" s="422" t="str">
        <f>VLOOKUP($B795,[1]DG!A:D,[1]DG!$B$2,)</f>
        <v>02.1115</v>
      </c>
      <c r="F795" s="434" t="str">
        <f>VLOOKUP($B795,[1]DG!A:D,[1]DG!$C$2,)</f>
        <v>Bốc dỡ xà, thép thanh</v>
      </c>
      <c r="G795" s="422" t="str">
        <f>VLOOKUP($B795,[1]DG!A:D,[1]DG!$D$2,)</f>
        <v>tấn</v>
      </c>
      <c r="H795" s="435"/>
      <c r="I795" s="435"/>
      <c r="J795" s="435"/>
      <c r="K795" s="435"/>
      <c r="L795" s="435"/>
      <c r="M795" s="435"/>
      <c r="N795" s="435"/>
      <c r="O795" s="435"/>
      <c r="P795" s="435"/>
      <c r="Q795" s="437"/>
      <c r="R795" s="437"/>
      <c r="S795" s="437"/>
      <c r="T795" s="432">
        <f t="shared" si="128"/>
        <v>0</v>
      </c>
    </row>
    <row r="796" spans="1:20" ht="22.2" hidden="1" customHeight="1">
      <c r="A796" s="379"/>
      <c r="B796" s="438" t="s">
        <v>882</v>
      </c>
      <c r="C796" s="469" t="str">
        <f t="shared" si="129"/>
        <v xml:space="preserve"> </v>
      </c>
      <c r="D796" s="433"/>
      <c r="E796" s="422" t="str">
        <f>VLOOKUP($B796,[1]DG!A:C,2,)</f>
        <v>02.1361</v>
      </c>
      <c r="F796" s="434" t="str">
        <f>VLOOKUP($B796,[1]DG!A:C,3,)</f>
        <v>V/c xà vào vị trí (cư ly &lt;=100m)</v>
      </c>
      <c r="G796" s="422" t="str">
        <f>VLOOKUP($B796,[1]DG!A:D,4,0)</f>
        <v>tấn</v>
      </c>
      <c r="H796" s="435"/>
      <c r="I796" s="435"/>
      <c r="J796" s="435"/>
      <c r="K796" s="435"/>
      <c r="L796" s="435"/>
      <c r="M796" s="435"/>
      <c r="N796" s="435"/>
      <c r="O796" s="435"/>
      <c r="P796" s="435"/>
      <c r="Q796" s="437"/>
      <c r="R796" s="437"/>
      <c r="S796" s="437"/>
      <c r="T796" s="432">
        <f t="shared" si="128"/>
        <v>0</v>
      </c>
    </row>
    <row r="797" spans="1:20" ht="22.2" hidden="1" customHeight="1">
      <c r="A797" s="379"/>
      <c r="B797" s="438" t="s">
        <v>620</v>
      </c>
      <c r="C797" s="469" t="str">
        <f t="shared" si="129"/>
        <v xml:space="preserve"> </v>
      </c>
      <c r="D797" s="439"/>
      <c r="E797" s="422" t="str">
        <f>VLOOKUP($B797,[1]DG!A:C,2,)</f>
        <v>02.1482</v>
      </c>
      <c r="F797" s="434" t="str">
        <f>VLOOKUP($B797,[1]DG!A:C,3,)</f>
        <v>V/c dụng cụ thi công vào vị trí (cự ly &lt;=100m)</v>
      </c>
      <c r="G797" s="422" t="str">
        <f>VLOOKUP($B797,[1]DG!A:D,4,0)</f>
        <v>tấn</v>
      </c>
      <c r="H797" s="435"/>
      <c r="I797" s="435"/>
      <c r="J797" s="435"/>
      <c r="K797" s="435"/>
      <c r="L797" s="435"/>
      <c r="M797" s="435"/>
      <c r="N797" s="435"/>
      <c r="O797" s="435"/>
      <c r="P797" s="435"/>
      <c r="Q797" s="437"/>
      <c r="R797" s="437"/>
      <c r="S797" s="437"/>
      <c r="T797" s="432">
        <f t="shared" ref="T797:T860" si="140">IFERROR(HLOOKUP(B797,BangKeTru,3,0),0)</f>
        <v>0</v>
      </c>
    </row>
    <row r="798" spans="1:20" ht="22.2" customHeight="1">
      <c r="A798" s="451" t="s">
        <v>887</v>
      </c>
      <c r="B798" s="424" t="s">
        <v>887</v>
      </c>
      <c r="C798" s="465" t="str">
        <f t="shared" ref="C798:C861" si="141">IF(OR(P798&lt;&gt;0,H798&lt;&gt;0),"x"," ")</f>
        <v>x</v>
      </c>
      <c r="D798" s="426"/>
      <c r="E798" s="427"/>
      <c r="F798" s="428" t="s">
        <v>888</v>
      </c>
      <c r="G798" s="349" t="s">
        <v>67</v>
      </c>
      <c r="H798" s="429">
        <f>SUM(I798:O798)</f>
        <v>4</v>
      </c>
      <c r="I798" s="430"/>
      <c r="J798" s="430"/>
      <c r="K798" s="430">
        <f>IFERROR(HLOOKUP(B798,[1]pp3p1m!$1:$3,3,0),0)</f>
        <v>4</v>
      </c>
      <c r="L798" s="430">
        <f>IFERROR(HLOOKUP(chitiet!B798,[1]pp1p!$1:$3,3,0),0)</f>
        <v>0</v>
      </c>
      <c r="M798" s="430"/>
      <c r="N798" s="430"/>
      <c r="O798" s="430"/>
      <c r="P798" s="429">
        <f>H798+Q798-R798</f>
        <v>4</v>
      </c>
      <c r="Q798" s="431"/>
      <c r="R798" s="431"/>
      <c r="S798" s="431"/>
      <c r="T798" s="432">
        <f>IFERROR(HLOOKUP(B798,[1]pp1p!$1:$3,3,0),0)+IFERROR(HLOOKUP(B798,[1]pp3p1m!$1:$3,3,0),0)</f>
        <v>4</v>
      </c>
    </row>
    <row r="799" spans="1:20" ht="22.2" hidden="1" customHeight="1">
      <c r="B799" s="406" t="s">
        <v>889</v>
      </c>
      <c r="C799" s="465" t="str">
        <f t="shared" si="141"/>
        <v>x</v>
      </c>
      <c r="D799" s="440">
        <v>2</v>
      </c>
      <c r="E799" s="422"/>
      <c r="F799" s="441" t="str">
        <f>VLOOKUP($B799,[1]DG!A:D,[1]DG!$C$2,)</f>
        <v>Sắt góc L75 x75 x8 x2200</v>
      </c>
      <c r="G799" s="422" t="str">
        <f>VLOOKUP($B799,[1]DG!A:D,[1]DG!$D$2,)</f>
        <v>cái</v>
      </c>
      <c r="H799" s="435">
        <f t="shared" ref="H799:N804" si="142">H$798*$D799</f>
        <v>8</v>
      </c>
      <c r="I799" s="435">
        <f t="shared" si="142"/>
        <v>0</v>
      </c>
      <c r="J799" s="435">
        <f t="shared" si="142"/>
        <v>0</v>
      </c>
      <c r="K799" s="435">
        <f t="shared" si="142"/>
        <v>8</v>
      </c>
      <c r="L799" s="435">
        <f t="shared" si="142"/>
        <v>0</v>
      </c>
      <c r="M799" s="435">
        <f t="shared" si="142"/>
        <v>0</v>
      </c>
      <c r="N799" s="435">
        <f t="shared" si="142"/>
        <v>0</v>
      </c>
      <c r="O799" s="435"/>
      <c r="P799" s="435">
        <f t="shared" ref="P799:P805" si="143">$P$798*D799</f>
        <v>8</v>
      </c>
      <c r="Q799" s="457">
        <f t="shared" ref="Q799:Q805" si="144">$Q$798*D799</f>
        <v>0</v>
      </c>
      <c r="R799" s="457">
        <f t="shared" ref="R799:R808" si="145">$R$798*D799</f>
        <v>0</v>
      </c>
      <c r="S799" s="442"/>
      <c r="T799" s="432">
        <f t="shared" si="140"/>
        <v>0</v>
      </c>
    </row>
    <row r="800" spans="1:20" ht="22.2" hidden="1" customHeight="1">
      <c r="B800" s="406" t="s">
        <v>890</v>
      </c>
      <c r="C800" s="465" t="str">
        <f t="shared" si="141"/>
        <v>x</v>
      </c>
      <c r="D800" s="440">
        <v>4</v>
      </c>
      <c r="E800" s="422"/>
      <c r="F800" s="441" t="str">
        <f>VLOOKUP($B800,[1]DG!A:D,[1]DG!$C$2,)</f>
        <v>Sắt góc L50 x50 x5 - 810</v>
      </c>
      <c r="G800" s="422" t="str">
        <f>VLOOKUP($B800,[1]DG!A:D,[1]DG!$D$2,)</f>
        <v>cái</v>
      </c>
      <c r="H800" s="435">
        <f t="shared" si="142"/>
        <v>16</v>
      </c>
      <c r="I800" s="435">
        <f t="shared" si="142"/>
        <v>0</v>
      </c>
      <c r="J800" s="435">
        <f t="shared" si="142"/>
        <v>0</v>
      </c>
      <c r="K800" s="435">
        <f t="shared" si="142"/>
        <v>16</v>
      </c>
      <c r="L800" s="435">
        <f t="shared" si="142"/>
        <v>0</v>
      </c>
      <c r="M800" s="435">
        <f t="shared" si="142"/>
        <v>0</v>
      </c>
      <c r="N800" s="435">
        <f t="shared" si="142"/>
        <v>0</v>
      </c>
      <c r="O800" s="435"/>
      <c r="P800" s="435">
        <f t="shared" si="143"/>
        <v>16</v>
      </c>
      <c r="Q800" s="457">
        <f t="shared" si="144"/>
        <v>0</v>
      </c>
      <c r="R800" s="457">
        <f t="shared" si="145"/>
        <v>0</v>
      </c>
      <c r="S800" s="442"/>
      <c r="T800" s="432">
        <f t="shared" si="140"/>
        <v>0</v>
      </c>
    </row>
    <row r="801" spans="1:20" ht="22.2" hidden="1" customHeight="1">
      <c r="B801" s="406" t="s">
        <v>237</v>
      </c>
      <c r="C801" s="465" t="str">
        <f t="shared" si="141"/>
        <v xml:space="preserve"> </v>
      </c>
      <c r="D801" s="440"/>
      <c r="E801" s="422"/>
      <c r="F801" s="441" t="str">
        <f>VLOOKUP($B801,[1]DG!A:D,[1]DG!$C$2,)</f>
        <v>Boulon 16x250+ 2 long đền vuông D18-50x50x3/Zn</v>
      </c>
      <c r="G801" s="422" t="str">
        <f>VLOOKUP($B801,[1]DG!A:D,[1]DG!$D$2,)</f>
        <v>bộ</v>
      </c>
      <c r="H801" s="435">
        <f t="shared" si="142"/>
        <v>0</v>
      </c>
      <c r="I801" s="435">
        <f t="shared" si="142"/>
        <v>0</v>
      </c>
      <c r="J801" s="435">
        <f t="shared" si="142"/>
        <v>0</v>
      </c>
      <c r="K801" s="435">
        <f t="shared" si="142"/>
        <v>0</v>
      </c>
      <c r="L801" s="435">
        <f t="shared" si="142"/>
        <v>0</v>
      </c>
      <c r="M801" s="435">
        <f t="shared" si="142"/>
        <v>0</v>
      </c>
      <c r="N801" s="435">
        <f t="shared" si="142"/>
        <v>0</v>
      </c>
      <c r="O801" s="435"/>
      <c r="P801" s="435">
        <f t="shared" si="143"/>
        <v>0</v>
      </c>
      <c r="Q801" s="442">
        <f t="shared" si="144"/>
        <v>0</v>
      </c>
      <c r="R801" s="442">
        <f t="shared" si="145"/>
        <v>0</v>
      </c>
      <c r="S801" s="442"/>
      <c r="T801" s="432">
        <f t="shared" si="140"/>
        <v>0</v>
      </c>
    </row>
    <row r="802" spans="1:20" ht="22.2" hidden="1" customHeight="1">
      <c r="B802" s="406" t="s">
        <v>65</v>
      </c>
      <c r="C802" s="465" t="str">
        <f t="shared" si="141"/>
        <v>x</v>
      </c>
      <c r="D802" s="440">
        <v>1</v>
      </c>
      <c r="E802" s="422"/>
      <c r="F802" s="441" t="str">
        <f>VLOOKUP($B802,[1]DG!A:D,[1]DG!$C$2,)</f>
        <v>Boulon 16x300+ 2 long đền vuông D18-50x50x3/Zn</v>
      </c>
      <c r="G802" s="422" t="str">
        <f>VLOOKUP($B802,[1]DG!A:D,[1]DG!$D$2,)</f>
        <v>bộ</v>
      </c>
      <c r="H802" s="435">
        <f t="shared" si="142"/>
        <v>4</v>
      </c>
      <c r="I802" s="435">
        <f t="shared" si="142"/>
        <v>0</v>
      </c>
      <c r="J802" s="435">
        <f t="shared" si="142"/>
        <v>0</v>
      </c>
      <c r="K802" s="435">
        <f t="shared" si="142"/>
        <v>4</v>
      </c>
      <c r="L802" s="435">
        <f t="shared" si="142"/>
        <v>0</v>
      </c>
      <c r="M802" s="435">
        <f t="shared" si="142"/>
        <v>0</v>
      </c>
      <c r="N802" s="435">
        <f t="shared" si="142"/>
        <v>0</v>
      </c>
      <c r="O802" s="435"/>
      <c r="P802" s="435">
        <f t="shared" si="143"/>
        <v>4</v>
      </c>
      <c r="Q802" s="442">
        <f t="shared" si="144"/>
        <v>0</v>
      </c>
      <c r="R802" s="442">
        <f t="shared" si="145"/>
        <v>0</v>
      </c>
      <c r="S802" s="442"/>
      <c r="T802" s="432">
        <f t="shared" si="140"/>
        <v>0</v>
      </c>
    </row>
    <row r="803" spans="1:20" ht="22.2" hidden="1" customHeight="1">
      <c r="B803" s="406" t="s">
        <v>891</v>
      </c>
      <c r="C803" s="465" t="str">
        <f t="shared" si="141"/>
        <v>x</v>
      </c>
      <c r="D803" s="440">
        <v>4</v>
      </c>
      <c r="E803" s="422"/>
      <c r="F803" s="441" t="str">
        <f>VLOOKUP($B803,[1]DG!A:D,[1]DG!$C$2,)</f>
        <v>Boulon 16x300VRS+ 4 long đền vuông D18-50x50x3/Zn</v>
      </c>
      <c r="G803" s="422" t="str">
        <f>VLOOKUP($B803,[1]DG!A:D,[1]DG!$D$2,)</f>
        <v>bộ</v>
      </c>
      <c r="H803" s="435">
        <f t="shared" si="142"/>
        <v>16</v>
      </c>
      <c r="I803" s="435">
        <f t="shared" si="142"/>
        <v>0</v>
      </c>
      <c r="J803" s="435">
        <f t="shared" si="142"/>
        <v>0</v>
      </c>
      <c r="K803" s="435">
        <f t="shared" si="142"/>
        <v>16</v>
      </c>
      <c r="L803" s="435">
        <f t="shared" si="142"/>
        <v>0</v>
      </c>
      <c r="M803" s="435">
        <f t="shared" si="142"/>
        <v>0</v>
      </c>
      <c r="N803" s="435">
        <f t="shared" si="142"/>
        <v>0</v>
      </c>
      <c r="O803" s="435"/>
      <c r="P803" s="435">
        <f t="shared" si="143"/>
        <v>16</v>
      </c>
      <c r="Q803" s="442">
        <f t="shared" si="144"/>
        <v>0</v>
      </c>
      <c r="R803" s="442">
        <f t="shared" si="145"/>
        <v>0</v>
      </c>
      <c r="S803" s="442"/>
      <c r="T803" s="432">
        <f t="shared" si="140"/>
        <v>0</v>
      </c>
    </row>
    <row r="804" spans="1:20" ht="22.2" hidden="1" customHeight="1">
      <c r="B804" s="406" t="s">
        <v>231</v>
      </c>
      <c r="C804" s="465" t="str">
        <f t="shared" si="141"/>
        <v>x</v>
      </c>
      <c r="D804" s="440">
        <v>4</v>
      </c>
      <c r="E804" s="422"/>
      <c r="F804" s="441" t="str">
        <f>VLOOKUP($B804,[1]DG!A:D,[1]DG!$C$2,)</f>
        <v>Boulon 16x50+ 2 long đền vuông D18-50x50x3/Zn</v>
      </c>
      <c r="G804" s="422" t="str">
        <f>VLOOKUP($B804,[1]DG!A:D,[1]DG!$D$2,)</f>
        <v>bộ</v>
      </c>
      <c r="H804" s="435">
        <f t="shared" si="142"/>
        <v>16</v>
      </c>
      <c r="I804" s="435">
        <f t="shared" si="142"/>
        <v>0</v>
      </c>
      <c r="J804" s="435">
        <f t="shared" si="142"/>
        <v>0</v>
      </c>
      <c r="K804" s="435">
        <f t="shared" si="142"/>
        <v>16</v>
      </c>
      <c r="L804" s="435">
        <f t="shared" si="142"/>
        <v>0</v>
      </c>
      <c r="M804" s="435">
        <f t="shared" si="142"/>
        <v>0</v>
      </c>
      <c r="N804" s="435">
        <f t="shared" si="142"/>
        <v>0</v>
      </c>
      <c r="O804" s="435"/>
      <c r="P804" s="435">
        <f t="shared" si="143"/>
        <v>16</v>
      </c>
      <c r="Q804" s="442">
        <f t="shared" si="144"/>
        <v>0</v>
      </c>
      <c r="R804" s="442">
        <f t="shared" si="145"/>
        <v>0</v>
      </c>
      <c r="S804" s="442"/>
      <c r="T804" s="432">
        <f t="shared" si="140"/>
        <v>0</v>
      </c>
    </row>
    <row r="805" spans="1:20" ht="22.2" hidden="1" customHeight="1">
      <c r="B805" s="406" t="s">
        <v>379</v>
      </c>
      <c r="C805" s="465" t="str">
        <f t="shared" si="141"/>
        <v>x</v>
      </c>
      <c r="D805" s="440">
        <v>1</v>
      </c>
      <c r="E805" s="422" t="str">
        <f>VLOOKUP($B805,[1]DG!A:D,[1]DG!$B$2,)</f>
        <v>05.6203</v>
      </c>
      <c r="F805" s="434" t="str">
        <f>VLOOKUP($B805,[1]DG!A:D,[1]DG!$C$2,)</f>
        <v>Lắp xà néo ≤ 100kg</v>
      </c>
      <c r="G805" s="422" t="str">
        <f>VLOOKUP($B805,[1]DG!A:D,[1]DG!$D$2,)</f>
        <v>bộ</v>
      </c>
      <c r="H805" s="435">
        <f>H$798*$D805</f>
        <v>4</v>
      </c>
      <c r="I805" s="435"/>
      <c r="J805" s="435"/>
      <c r="K805" s="435"/>
      <c r="L805" s="435"/>
      <c r="M805" s="435"/>
      <c r="N805" s="435"/>
      <c r="O805" s="435"/>
      <c r="P805" s="435">
        <f t="shared" si="143"/>
        <v>4</v>
      </c>
      <c r="Q805" s="442">
        <f t="shared" si="144"/>
        <v>0</v>
      </c>
      <c r="R805" s="442">
        <f t="shared" si="145"/>
        <v>0</v>
      </c>
      <c r="S805" s="437"/>
      <c r="T805" s="432">
        <f t="shared" si="140"/>
        <v>0</v>
      </c>
    </row>
    <row r="806" spans="1:20" ht="22.2" hidden="1" customHeight="1">
      <c r="A806" s="379"/>
      <c r="B806" s="410" t="s">
        <v>881</v>
      </c>
      <c r="C806" s="469" t="str">
        <f t="shared" si="141"/>
        <v xml:space="preserve"> </v>
      </c>
      <c r="D806" s="433">
        <f>D807</f>
        <v>0</v>
      </c>
      <c r="E806" s="422" t="str">
        <f>VLOOKUP($B806,[1]DG!A:D,[1]DG!$B$2,)</f>
        <v>02.1115</v>
      </c>
      <c r="F806" s="434" t="str">
        <f>VLOOKUP($B806,[1]DG!A:D,[1]DG!$C$2,)</f>
        <v>Bốc dỡ xà, thép thanh</v>
      </c>
      <c r="G806" s="422" t="str">
        <f>VLOOKUP($B806,[1]DG!A:D,[1]DG!$D$2,)</f>
        <v>tấn</v>
      </c>
      <c r="H806" s="435"/>
      <c r="I806" s="435"/>
      <c r="J806" s="435"/>
      <c r="K806" s="435"/>
      <c r="L806" s="435"/>
      <c r="M806" s="435"/>
      <c r="N806" s="435"/>
      <c r="O806" s="435"/>
      <c r="P806" s="435"/>
      <c r="Q806" s="437"/>
      <c r="R806" s="442">
        <f t="shared" si="145"/>
        <v>0</v>
      </c>
      <c r="S806" s="437"/>
      <c r="T806" s="432">
        <f t="shared" si="140"/>
        <v>0</v>
      </c>
    </row>
    <row r="807" spans="1:20" ht="22.2" hidden="1" customHeight="1">
      <c r="A807" s="379"/>
      <c r="B807" s="438" t="s">
        <v>882</v>
      </c>
      <c r="C807" s="469" t="str">
        <f t="shared" si="141"/>
        <v xml:space="preserve"> </v>
      </c>
      <c r="D807" s="433">
        <f>ROUND(SUM(D799:D800)*1.05/1000,3)*0</f>
        <v>0</v>
      </c>
      <c r="E807" s="422" t="str">
        <f>VLOOKUP($B807,[1]DG!A:C,2,)</f>
        <v>02.1361</v>
      </c>
      <c r="F807" s="434" t="str">
        <f>VLOOKUP($B807,[1]DG!A:C,3,)</f>
        <v>V/c xà vào vị trí (cư ly &lt;=100m)</v>
      </c>
      <c r="G807" s="422" t="str">
        <f>VLOOKUP($B807,[1]DG!A:D,4,0)</f>
        <v>tấn</v>
      </c>
      <c r="H807" s="435"/>
      <c r="I807" s="435"/>
      <c r="J807" s="435"/>
      <c r="K807" s="435"/>
      <c r="L807" s="435"/>
      <c r="M807" s="435"/>
      <c r="N807" s="435"/>
      <c r="O807" s="435"/>
      <c r="P807" s="435"/>
      <c r="Q807" s="437"/>
      <c r="R807" s="442">
        <f t="shared" si="145"/>
        <v>0</v>
      </c>
      <c r="S807" s="437"/>
      <c r="T807" s="432">
        <f t="shared" si="140"/>
        <v>0</v>
      </c>
    </row>
    <row r="808" spans="1:20" ht="22.2" hidden="1" customHeight="1">
      <c r="A808" s="379"/>
      <c r="B808" s="438" t="s">
        <v>620</v>
      </c>
      <c r="C808" s="469" t="str">
        <f t="shared" si="141"/>
        <v xml:space="preserve"> </v>
      </c>
      <c r="D808" s="439">
        <f>0.05*0</f>
        <v>0</v>
      </c>
      <c r="E808" s="422" t="str">
        <f>VLOOKUP($B808,[1]DG!A:C,2,)</f>
        <v>02.1482</v>
      </c>
      <c r="F808" s="434" t="str">
        <f>VLOOKUP($B808,[1]DG!A:C,3,)</f>
        <v>V/c dụng cụ thi công vào vị trí (cự ly &lt;=100m)</v>
      </c>
      <c r="G808" s="422" t="str">
        <f>VLOOKUP($B808,[1]DG!A:D,4,0)</f>
        <v>tấn</v>
      </c>
      <c r="H808" s="435"/>
      <c r="I808" s="435"/>
      <c r="J808" s="435"/>
      <c r="K808" s="435"/>
      <c r="L808" s="435"/>
      <c r="M808" s="435"/>
      <c r="N808" s="435"/>
      <c r="O808" s="435"/>
      <c r="P808" s="435"/>
      <c r="Q808" s="437"/>
      <c r="R808" s="442">
        <f t="shared" si="145"/>
        <v>0</v>
      </c>
      <c r="S808" s="437"/>
      <c r="T808" s="432">
        <f t="shared" si="140"/>
        <v>0</v>
      </c>
    </row>
    <row r="809" spans="1:20" ht="22.2" hidden="1" customHeight="1">
      <c r="A809" s="423" t="s">
        <v>892</v>
      </c>
      <c r="B809" s="424" t="s">
        <v>892</v>
      </c>
      <c r="C809" s="469" t="str">
        <f t="shared" si="141"/>
        <v xml:space="preserve"> </v>
      </c>
      <c r="D809" s="426"/>
      <c r="E809" s="427"/>
      <c r="F809" s="428" t="s">
        <v>893</v>
      </c>
      <c r="G809" s="349" t="s">
        <v>67</v>
      </c>
      <c r="H809" s="429">
        <f>SUM(I809:O809)</f>
        <v>0</v>
      </c>
      <c r="I809" s="430"/>
      <c r="J809" s="430"/>
      <c r="K809" s="430">
        <f>IFERROR(HLOOKUP(B809,[1]pp3p1m!$1:$3,3,0),0)</f>
        <v>0</v>
      </c>
      <c r="L809" s="430">
        <f>IFERROR(HLOOKUP(chitiet!B809,[1]pp1p!$1:$3,3,0),0)</f>
        <v>0</v>
      </c>
      <c r="M809" s="430"/>
      <c r="N809" s="430"/>
      <c r="O809" s="430"/>
      <c r="P809" s="430">
        <f>H809+Q809-R809</f>
        <v>0</v>
      </c>
      <c r="Q809" s="431"/>
      <c r="R809" s="431"/>
      <c r="S809" s="431"/>
      <c r="T809" s="432">
        <f>IFERROR(HLOOKUP(B809,[1]pp1p!$1:$3,3,0),0)+IFERROR(HLOOKUP(B809,[1]pp3p1m!$1:$3,3,0),0)</f>
        <v>0</v>
      </c>
    </row>
    <row r="810" spans="1:20" ht="22.2" hidden="1" customHeight="1">
      <c r="A810" s="379"/>
      <c r="B810" s="410" t="s">
        <v>235</v>
      </c>
      <c r="C810" s="469" t="str">
        <f t="shared" si="141"/>
        <v xml:space="preserve"> </v>
      </c>
      <c r="D810" s="439">
        <f>9.02*2.2</f>
        <v>19.844000000000001</v>
      </c>
      <c r="E810" s="422"/>
      <c r="F810" s="441" t="str">
        <f>VLOOKUP($B810,[1]DG!A:D,[1]DG!$C$2,)</f>
        <v>Sắt góc L75 x75 x8</v>
      </c>
      <c r="G810" s="422" t="str">
        <f>VLOOKUP($B810,[1]DG!A:D,[1]DG!$D$2,)</f>
        <v>kg</v>
      </c>
      <c r="H810" s="435">
        <f t="shared" ref="H810:N813" si="146">H$809*$D810</f>
        <v>0</v>
      </c>
      <c r="I810" s="435">
        <f t="shared" si="146"/>
        <v>0</v>
      </c>
      <c r="J810" s="435">
        <f t="shared" si="146"/>
        <v>0</v>
      </c>
      <c r="K810" s="435">
        <f t="shared" si="146"/>
        <v>0</v>
      </c>
      <c r="L810" s="435">
        <f t="shared" si="146"/>
        <v>0</v>
      </c>
      <c r="M810" s="435">
        <f t="shared" si="146"/>
        <v>0</v>
      </c>
      <c r="N810" s="435">
        <f t="shared" si="146"/>
        <v>0</v>
      </c>
      <c r="O810" s="435"/>
      <c r="P810" s="435"/>
      <c r="Q810" s="442"/>
      <c r="R810" s="442"/>
      <c r="S810" s="442"/>
      <c r="T810" s="432">
        <f t="shared" si="140"/>
        <v>0</v>
      </c>
    </row>
    <row r="811" spans="1:20" ht="22.2" hidden="1" customHeight="1">
      <c r="A811" s="379"/>
      <c r="B811" s="410" t="s">
        <v>236</v>
      </c>
      <c r="C811" s="469" t="str">
        <f t="shared" si="141"/>
        <v xml:space="preserve"> </v>
      </c>
      <c r="D811" s="439">
        <f>3.77*0.72*2</f>
        <v>5.4287999999999998</v>
      </c>
      <c r="E811" s="422"/>
      <c r="F811" s="441" t="str">
        <f>VLOOKUP($B811,[1]DG!A:D,[1]DG!$C$2,)</f>
        <v>Sắt góc L50 x50 x5</v>
      </c>
      <c r="G811" s="422" t="str">
        <f>VLOOKUP($B811,[1]DG!A:D,[1]DG!$D$2,)</f>
        <v>kg</v>
      </c>
      <c r="H811" s="435">
        <f t="shared" si="146"/>
        <v>0</v>
      </c>
      <c r="I811" s="435">
        <f t="shared" si="146"/>
        <v>0</v>
      </c>
      <c r="J811" s="435">
        <f t="shared" si="146"/>
        <v>0</v>
      </c>
      <c r="K811" s="435">
        <f t="shared" si="146"/>
        <v>0</v>
      </c>
      <c r="L811" s="435">
        <f t="shared" si="146"/>
        <v>0</v>
      </c>
      <c r="M811" s="435">
        <f t="shared" si="146"/>
        <v>0</v>
      </c>
      <c r="N811" s="435">
        <f t="shared" si="146"/>
        <v>0</v>
      </c>
      <c r="O811" s="435"/>
      <c r="P811" s="435"/>
      <c r="Q811" s="442"/>
      <c r="R811" s="442"/>
      <c r="S811" s="442"/>
      <c r="T811" s="432">
        <f t="shared" si="140"/>
        <v>0</v>
      </c>
    </row>
    <row r="812" spans="1:20" ht="22.2" hidden="1" customHeight="1">
      <c r="A812" s="379"/>
      <c r="B812" s="410" t="s">
        <v>237</v>
      </c>
      <c r="C812" s="469" t="str">
        <f t="shared" si="141"/>
        <v xml:space="preserve"> </v>
      </c>
      <c r="D812" s="440">
        <v>2</v>
      </c>
      <c r="E812" s="422"/>
      <c r="F812" s="441" t="str">
        <f>VLOOKUP($B812,[1]DG!A:D,[1]DG!$C$2,)</f>
        <v>Boulon 16x250+ 2 long đền vuông D18-50x50x3/Zn</v>
      </c>
      <c r="G812" s="422" t="str">
        <f>VLOOKUP($B812,[1]DG!A:D,[1]DG!$D$2,)</f>
        <v>bộ</v>
      </c>
      <c r="H812" s="435">
        <f t="shared" si="146"/>
        <v>0</v>
      </c>
      <c r="I812" s="435">
        <f t="shared" si="146"/>
        <v>0</v>
      </c>
      <c r="J812" s="435">
        <f t="shared" si="146"/>
        <v>0</v>
      </c>
      <c r="K812" s="435">
        <f t="shared" si="146"/>
        <v>0</v>
      </c>
      <c r="L812" s="435">
        <f t="shared" si="146"/>
        <v>0</v>
      </c>
      <c r="M812" s="435">
        <f t="shared" si="146"/>
        <v>0</v>
      </c>
      <c r="N812" s="435">
        <f t="shared" si="146"/>
        <v>0</v>
      </c>
      <c r="O812" s="435"/>
      <c r="P812" s="435"/>
      <c r="Q812" s="442"/>
      <c r="R812" s="442"/>
      <c r="S812" s="442"/>
      <c r="T812" s="432">
        <f t="shared" si="140"/>
        <v>0</v>
      </c>
    </row>
    <row r="813" spans="1:20" ht="22.2" hidden="1" customHeight="1">
      <c r="A813" s="379"/>
      <c r="B813" s="410" t="s">
        <v>231</v>
      </c>
      <c r="C813" s="469" t="str">
        <f t="shared" si="141"/>
        <v xml:space="preserve"> </v>
      </c>
      <c r="D813" s="440">
        <v>1</v>
      </c>
      <c r="E813" s="422"/>
      <c r="F813" s="441" t="str">
        <f>VLOOKUP($B813,[1]DG!A:D,[1]DG!$C$2,)</f>
        <v>Boulon 16x50+ 2 long đền vuông D18-50x50x3/Zn</v>
      </c>
      <c r="G813" s="422" t="str">
        <f>VLOOKUP($B813,[1]DG!A:D,[1]DG!$D$2,)</f>
        <v>bộ</v>
      </c>
      <c r="H813" s="435">
        <f t="shared" si="146"/>
        <v>0</v>
      </c>
      <c r="I813" s="435">
        <f t="shared" si="146"/>
        <v>0</v>
      </c>
      <c r="J813" s="435">
        <f t="shared" si="146"/>
        <v>0</v>
      </c>
      <c r="K813" s="435">
        <f t="shared" si="146"/>
        <v>0</v>
      </c>
      <c r="L813" s="435">
        <f t="shared" si="146"/>
        <v>0</v>
      </c>
      <c r="M813" s="435">
        <f t="shared" si="146"/>
        <v>0</v>
      </c>
      <c r="N813" s="435">
        <f t="shared" si="146"/>
        <v>0</v>
      </c>
      <c r="O813" s="435"/>
      <c r="P813" s="435"/>
      <c r="Q813" s="442"/>
      <c r="R813" s="442"/>
      <c r="S813" s="442"/>
      <c r="T813" s="432">
        <f t="shared" si="140"/>
        <v>0</v>
      </c>
    </row>
    <row r="814" spans="1:20" ht="22.2" hidden="1" customHeight="1">
      <c r="A814" s="379"/>
      <c r="B814" s="410" t="s">
        <v>126</v>
      </c>
      <c r="C814" s="469" t="str">
        <f t="shared" si="141"/>
        <v xml:space="preserve"> </v>
      </c>
      <c r="D814" s="440">
        <v>1</v>
      </c>
      <c r="E814" s="422" t="str">
        <f>VLOOKUP($B814,[1]DG!A:D,[1]DG!$B$2,)</f>
        <v>05.6401</v>
      </c>
      <c r="F814" s="434" t="str">
        <f>VLOOKUP($B814,[1]DG!A:D,[1]DG!$C$2,)</f>
        <v>Lắp xà đỡ ≤ 25kg</v>
      </c>
      <c r="G814" s="422" t="str">
        <f>VLOOKUP($B814,[1]DG!A:D,[1]DG!$D$2,)</f>
        <v>bộ</v>
      </c>
      <c r="H814" s="435"/>
      <c r="I814" s="435"/>
      <c r="J814" s="435"/>
      <c r="K814" s="435"/>
      <c r="L814" s="435"/>
      <c r="M814" s="435"/>
      <c r="N814" s="435"/>
      <c r="O814" s="435"/>
      <c r="P814" s="435"/>
      <c r="Q814" s="437"/>
      <c r="R814" s="437"/>
      <c r="S814" s="437"/>
      <c r="T814" s="432">
        <f t="shared" si="140"/>
        <v>0</v>
      </c>
    </row>
    <row r="815" spans="1:20" ht="22.2" hidden="1" customHeight="1">
      <c r="A815" s="379"/>
      <c r="B815" s="410" t="s">
        <v>881</v>
      </c>
      <c r="C815" s="469" t="str">
        <f t="shared" si="141"/>
        <v xml:space="preserve"> </v>
      </c>
      <c r="D815" s="433"/>
      <c r="E815" s="422" t="str">
        <f>VLOOKUP($B815,[1]DG!A:D,[1]DG!$B$2,)</f>
        <v>02.1115</v>
      </c>
      <c r="F815" s="434" t="str">
        <f>VLOOKUP($B815,[1]DG!A:D,[1]DG!$C$2,)</f>
        <v>Bốc dỡ xà, thép thanh</v>
      </c>
      <c r="G815" s="422" t="str">
        <f>VLOOKUP($B815,[1]DG!A:D,[1]DG!$D$2,)</f>
        <v>tấn</v>
      </c>
      <c r="H815" s="435"/>
      <c r="I815" s="435"/>
      <c r="J815" s="435"/>
      <c r="K815" s="435"/>
      <c r="L815" s="435"/>
      <c r="M815" s="435"/>
      <c r="N815" s="435"/>
      <c r="O815" s="435"/>
      <c r="P815" s="435"/>
      <c r="Q815" s="437"/>
      <c r="R815" s="437"/>
      <c r="S815" s="437"/>
      <c r="T815" s="432">
        <f t="shared" si="140"/>
        <v>0</v>
      </c>
    </row>
    <row r="816" spans="1:20" ht="22.2" hidden="1" customHeight="1">
      <c r="A816" s="379"/>
      <c r="B816" s="438" t="s">
        <v>882</v>
      </c>
      <c r="C816" s="469" t="str">
        <f t="shared" si="141"/>
        <v xml:space="preserve"> </v>
      </c>
      <c r="D816" s="433"/>
      <c r="E816" s="422" t="str">
        <f>VLOOKUP($B816,[1]DG!A:C,2,)</f>
        <v>02.1361</v>
      </c>
      <c r="F816" s="434" t="str">
        <f>VLOOKUP($B816,[1]DG!A:C,3,)</f>
        <v>V/c xà vào vị trí (cư ly &lt;=100m)</v>
      </c>
      <c r="G816" s="422" t="str">
        <f>VLOOKUP($B816,[1]DG!A:D,4,0)</f>
        <v>tấn</v>
      </c>
      <c r="H816" s="435"/>
      <c r="I816" s="435"/>
      <c r="J816" s="435"/>
      <c r="K816" s="435"/>
      <c r="L816" s="435"/>
      <c r="M816" s="435"/>
      <c r="N816" s="435"/>
      <c r="O816" s="435"/>
      <c r="P816" s="435"/>
      <c r="Q816" s="437"/>
      <c r="R816" s="437"/>
      <c r="S816" s="437"/>
      <c r="T816" s="432">
        <f t="shared" si="140"/>
        <v>0</v>
      </c>
    </row>
    <row r="817" spans="1:20" ht="22.2" hidden="1" customHeight="1">
      <c r="A817" s="379"/>
      <c r="B817" s="438" t="s">
        <v>620</v>
      </c>
      <c r="C817" s="469" t="str">
        <f t="shared" si="141"/>
        <v xml:space="preserve"> </v>
      </c>
      <c r="D817" s="439"/>
      <c r="E817" s="422" t="str">
        <f>VLOOKUP($B817,[1]DG!A:C,2,)</f>
        <v>02.1482</v>
      </c>
      <c r="F817" s="434" t="str">
        <f>VLOOKUP($B817,[1]DG!A:C,3,)</f>
        <v>V/c dụng cụ thi công vào vị trí (cự ly &lt;=100m)</v>
      </c>
      <c r="G817" s="422" t="str">
        <f>VLOOKUP($B817,[1]DG!A:D,4,0)</f>
        <v>tấn</v>
      </c>
      <c r="H817" s="435"/>
      <c r="I817" s="435"/>
      <c r="J817" s="435"/>
      <c r="K817" s="435"/>
      <c r="L817" s="435"/>
      <c r="M817" s="435"/>
      <c r="N817" s="435"/>
      <c r="O817" s="435"/>
      <c r="P817" s="435"/>
      <c r="Q817" s="437"/>
      <c r="R817" s="437"/>
      <c r="S817" s="437"/>
      <c r="T817" s="432">
        <f t="shared" si="140"/>
        <v>0</v>
      </c>
    </row>
    <row r="818" spans="1:20" ht="22.2" hidden="1" customHeight="1">
      <c r="A818" s="423" t="s">
        <v>894</v>
      </c>
      <c r="B818" s="424" t="s">
        <v>894</v>
      </c>
      <c r="C818" s="469" t="str">
        <f t="shared" si="141"/>
        <v xml:space="preserve"> </v>
      </c>
      <c r="D818" s="426"/>
      <c r="E818" s="427"/>
      <c r="F818" s="428" t="s">
        <v>895</v>
      </c>
      <c r="G818" s="349" t="s">
        <v>67</v>
      </c>
      <c r="H818" s="429">
        <f>SUM(I818:O818)</f>
        <v>0</v>
      </c>
      <c r="I818" s="430"/>
      <c r="J818" s="430"/>
      <c r="K818" s="430">
        <f>IFERROR(HLOOKUP(B818,[1]pp3p1m!$1:$3,3,0),0)</f>
        <v>0</v>
      </c>
      <c r="L818" s="430">
        <f>IFERROR(HLOOKUP(chitiet!B818,[1]pp1p!$1:$3,3,0),0)</f>
        <v>0</v>
      </c>
      <c r="M818" s="430"/>
      <c r="N818" s="430"/>
      <c r="O818" s="430"/>
      <c r="P818" s="430">
        <f>H818+Q818-R818</f>
        <v>0</v>
      </c>
      <c r="Q818" s="431"/>
      <c r="R818" s="431"/>
      <c r="S818" s="431"/>
      <c r="T818" s="432">
        <f>IFERROR(HLOOKUP(B818,[1]pp1p!$1:$3,3,0),0)+IFERROR(HLOOKUP(B818,[1]pp3p1m!$1:$3,3,0),0)</f>
        <v>0</v>
      </c>
    </row>
    <row r="819" spans="1:20" ht="22.2" hidden="1" customHeight="1">
      <c r="A819" s="379"/>
      <c r="B819" s="410" t="s">
        <v>896</v>
      </c>
      <c r="C819" s="469" t="str">
        <f t="shared" si="141"/>
        <v xml:space="preserve"> </v>
      </c>
      <c r="D819" s="439">
        <f>9.02*2.2*2</f>
        <v>39.688000000000002</v>
      </c>
      <c r="E819" s="422"/>
      <c r="F819" s="441" t="str">
        <f>VLOOKUP($B819,[1]DG!A:D,[1]DG!$C$2,)</f>
        <v>Sắt góc L75 x75 x8-2.200</v>
      </c>
      <c r="G819" s="422" t="str">
        <f>VLOOKUP($B819,[1]DG!A:D,[1]DG!$D$2,)</f>
        <v>cái</v>
      </c>
      <c r="H819" s="435">
        <f t="shared" ref="H819:K824" si="147">H$818*$D819</f>
        <v>0</v>
      </c>
      <c r="I819" s="435">
        <f t="shared" ref="I819:K822" si="148">I$809*$D819</f>
        <v>0</v>
      </c>
      <c r="J819" s="435">
        <f t="shared" si="148"/>
        <v>0</v>
      </c>
      <c r="K819" s="435">
        <f t="shared" si="148"/>
        <v>0</v>
      </c>
      <c r="L819" s="435">
        <f t="shared" ref="L819:N824" si="149">L$818*$D819</f>
        <v>0</v>
      </c>
      <c r="M819" s="435">
        <f t="shared" si="149"/>
        <v>0</v>
      </c>
      <c r="N819" s="435">
        <f t="shared" si="149"/>
        <v>0</v>
      </c>
      <c r="O819" s="435"/>
      <c r="P819" s="435"/>
      <c r="Q819" s="442"/>
      <c r="R819" s="442"/>
      <c r="S819" s="442"/>
      <c r="T819" s="432">
        <f t="shared" si="140"/>
        <v>0</v>
      </c>
    </row>
    <row r="820" spans="1:20" ht="22.2" hidden="1" customHeight="1">
      <c r="A820" s="379"/>
      <c r="B820" s="410" t="s">
        <v>236</v>
      </c>
      <c r="C820" s="469" t="str">
        <f t="shared" si="141"/>
        <v xml:space="preserve"> </v>
      </c>
      <c r="D820" s="439">
        <f>3.77*0.72*4</f>
        <v>10.8576</v>
      </c>
      <c r="E820" s="422"/>
      <c r="F820" s="441" t="str">
        <f>VLOOKUP($B820,[1]DG!A:D,[1]DG!$C$2,)</f>
        <v>Sắt góc L50 x50 x5</v>
      </c>
      <c r="G820" s="422" t="str">
        <f>VLOOKUP($B820,[1]DG!A:D,[1]DG!$D$2,)</f>
        <v>kg</v>
      </c>
      <c r="H820" s="435">
        <f t="shared" si="147"/>
        <v>0</v>
      </c>
      <c r="I820" s="435">
        <f t="shared" si="148"/>
        <v>0</v>
      </c>
      <c r="J820" s="435">
        <f t="shared" si="148"/>
        <v>0</v>
      </c>
      <c r="K820" s="435">
        <f t="shared" si="148"/>
        <v>0</v>
      </c>
      <c r="L820" s="435">
        <f t="shared" si="149"/>
        <v>0</v>
      </c>
      <c r="M820" s="435">
        <f t="shared" si="149"/>
        <v>0</v>
      </c>
      <c r="N820" s="435">
        <f t="shared" si="149"/>
        <v>0</v>
      </c>
      <c r="O820" s="435"/>
      <c r="P820" s="435"/>
      <c r="Q820" s="442"/>
      <c r="R820" s="442"/>
      <c r="S820" s="442"/>
      <c r="T820" s="432">
        <f t="shared" si="140"/>
        <v>0</v>
      </c>
    </row>
    <row r="821" spans="1:20" ht="22.2" hidden="1" customHeight="1">
      <c r="A821" s="379"/>
      <c r="B821" s="410" t="s">
        <v>231</v>
      </c>
      <c r="C821" s="469" t="str">
        <f t="shared" si="141"/>
        <v xml:space="preserve"> </v>
      </c>
      <c r="D821" s="440">
        <v>4</v>
      </c>
      <c r="E821" s="422"/>
      <c r="F821" s="441" t="str">
        <f>VLOOKUP($B821,[1]DG!A:D,[1]DG!$C$2,)</f>
        <v>Boulon 16x50+ 2 long đền vuông D18-50x50x3/Zn</v>
      </c>
      <c r="G821" s="422" t="str">
        <f>VLOOKUP($B821,[1]DG!A:D,[1]DG!$D$2,)</f>
        <v>bộ</v>
      </c>
      <c r="H821" s="435">
        <f t="shared" si="147"/>
        <v>0</v>
      </c>
      <c r="I821" s="435">
        <f t="shared" si="148"/>
        <v>0</v>
      </c>
      <c r="J821" s="435">
        <f t="shared" si="148"/>
        <v>0</v>
      </c>
      <c r="K821" s="435">
        <f t="shared" si="148"/>
        <v>0</v>
      </c>
      <c r="L821" s="435">
        <f t="shared" si="149"/>
        <v>0</v>
      </c>
      <c r="M821" s="435">
        <f t="shared" si="149"/>
        <v>0</v>
      </c>
      <c r="N821" s="435">
        <f t="shared" si="149"/>
        <v>0</v>
      </c>
      <c r="O821" s="435"/>
      <c r="P821" s="435"/>
      <c r="Q821" s="442"/>
      <c r="R821" s="442"/>
      <c r="S821" s="442"/>
      <c r="T821" s="432">
        <f t="shared" si="140"/>
        <v>0</v>
      </c>
    </row>
    <row r="822" spans="1:20" ht="22.2" hidden="1" customHeight="1">
      <c r="A822" s="379"/>
      <c r="B822" s="410" t="s">
        <v>237</v>
      </c>
      <c r="C822" s="469" t="str">
        <f t="shared" si="141"/>
        <v xml:space="preserve"> </v>
      </c>
      <c r="D822" s="440">
        <v>1</v>
      </c>
      <c r="E822" s="422"/>
      <c r="F822" s="441" t="str">
        <f>VLOOKUP($B822,[1]DG!A:D,[1]DG!$C$2,)</f>
        <v>Boulon 16x250+ 2 long đền vuông D18-50x50x3/Zn</v>
      </c>
      <c r="G822" s="422" t="str">
        <f>VLOOKUP($B822,[1]DG!A:D,[1]DG!$D$2,)</f>
        <v>bộ</v>
      </c>
      <c r="H822" s="435">
        <f t="shared" si="147"/>
        <v>0</v>
      </c>
      <c r="I822" s="435">
        <f t="shared" si="148"/>
        <v>0</v>
      </c>
      <c r="J822" s="435">
        <f t="shared" si="148"/>
        <v>0</v>
      </c>
      <c r="K822" s="435">
        <f t="shared" si="148"/>
        <v>0</v>
      </c>
      <c r="L822" s="435">
        <f t="shared" si="149"/>
        <v>0</v>
      </c>
      <c r="M822" s="435">
        <f t="shared" si="149"/>
        <v>0</v>
      </c>
      <c r="N822" s="435">
        <f t="shared" si="149"/>
        <v>0</v>
      </c>
      <c r="O822" s="435"/>
      <c r="P822" s="435"/>
      <c r="Q822" s="442"/>
      <c r="R822" s="442"/>
      <c r="S822" s="442"/>
      <c r="T822" s="432">
        <f t="shared" si="140"/>
        <v>0</v>
      </c>
    </row>
    <row r="823" spans="1:20" ht="22.2" hidden="1" customHeight="1">
      <c r="A823" s="379"/>
      <c r="B823" s="410" t="s">
        <v>65</v>
      </c>
      <c r="C823" s="469" t="str">
        <f t="shared" si="141"/>
        <v xml:space="preserve"> </v>
      </c>
      <c r="D823" s="440">
        <v>1</v>
      </c>
      <c r="E823" s="422"/>
      <c r="F823" s="441" t="str">
        <f>VLOOKUP($B823,[1]DG!A:D,[1]DG!$C$2,)</f>
        <v>Boulon 16x300+ 2 long đền vuông D18-50x50x3/Zn</v>
      </c>
      <c r="G823" s="422" t="str">
        <f>VLOOKUP($B823,[1]DG!A:D,[1]DG!$D$2,)</f>
        <v>bộ</v>
      </c>
      <c r="H823" s="435">
        <f t="shared" si="147"/>
        <v>0</v>
      </c>
      <c r="I823" s="435">
        <f t="shared" si="147"/>
        <v>0</v>
      </c>
      <c r="J823" s="435">
        <f t="shared" si="147"/>
        <v>0</v>
      </c>
      <c r="K823" s="435">
        <f t="shared" si="147"/>
        <v>0</v>
      </c>
      <c r="L823" s="435">
        <f t="shared" si="149"/>
        <v>0</v>
      </c>
      <c r="M823" s="435">
        <f t="shared" si="149"/>
        <v>0</v>
      </c>
      <c r="N823" s="435">
        <f t="shared" si="149"/>
        <v>0</v>
      </c>
      <c r="O823" s="435"/>
      <c r="P823" s="435"/>
      <c r="Q823" s="442"/>
      <c r="R823" s="442"/>
      <c r="S823" s="442"/>
      <c r="T823" s="432">
        <f t="shared" si="140"/>
        <v>0</v>
      </c>
    </row>
    <row r="824" spans="1:20" ht="22.2" hidden="1" customHeight="1">
      <c r="A824" s="379"/>
      <c r="B824" s="410" t="s">
        <v>891</v>
      </c>
      <c r="C824" s="469" t="str">
        <f t="shared" si="141"/>
        <v xml:space="preserve"> </v>
      </c>
      <c r="D824" s="440">
        <v>2</v>
      </c>
      <c r="E824" s="422"/>
      <c r="F824" s="441" t="str">
        <f>VLOOKUP($B824,[1]DG!A:D,[1]DG!$C$2,)</f>
        <v>Boulon 16x300VRS+ 4 long đền vuông D18-50x50x3/Zn</v>
      </c>
      <c r="G824" s="422" t="str">
        <f>VLOOKUP($B824,[1]DG!A:D,[1]DG!$D$2,)</f>
        <v>bộ</v>
      </c>
      <c r="H824" s="435">
        <f t="shared" si="147"/>
        <v>0</v>
      </c>
      <c r="I824" s="435">
        <f t="shared" si="147"/>
        <v>0</v>
      </c>
      <c r="J824" s="435">
        <f t="shared" si="147"/>
        <v>0</v>
      </c>
      <c r="K824" s="435">
        <f t="shared" si="147"/>
        <v>0</v>
      </c>
      <c r="L824" s="435">
        <f t="shared" si="149"/>
        <v>0</v>
      </c>
      <c r="M824" s="435">
        <f t="shared" si="149"/>
        <v>0</v>
      </c>
      <c r="N824" s="435">
        <f t="shared" si="149"/>
        <v>0</v>
      </c>
      <c r="O824" s="435"/>
      <c r="P824" s="435"/>
      <c r="Q824" s="442"/>
      <c r="R824" s="442"/>
      <c r="S824" s="442"/>
      <c r="T824" s="432">
        <f t="shared" si="140"/>
        <v>0</v>
      </c>
    </row>
    <row r="825" spans="1:20" ht="22.2" hidden="1" customHeight="1">
      <c r="A825" s="379"/>
      <c r="B825" s="410" t="s">
        <v>572</v>
      </c>
      <c r="C825" s="469" t="str">
        <f t="shared" si="141"/>
        <v xml:space="preserve"> </v>
      </c>
      <c r="D825" s="440">
        <v>1</v>
      </c>
      <c r="E825" s="422" t="str">
        <f>VLOOKUP($B825,[1]DG!A:D,[1]DG!$B$2,)</f>
        <v>05.6202</v>
      </c>
      <c r="F825" s="434" t="str">
        <f>VLOOKUP($B825,[1]DG!A:D,[1]DG!$C$2,)</f>
        <v>Lắp xà néo ≤ 50kg</v>
      </c>
      <c r="G825" s="422" t="str">
        <f>VLOOKUP($B825,[1]DG!A:D,[1]DG!$D$2,)</f>
        <v>bộ</v>
      </c>
      <c r="H825" s="435"/>
      <c r="I825" s="435"/>
      <c r="J825" s="435"/>
      <c r="K825" s="435"/>
      <c r="L825" s="435"/>
      <c r="M825" s="435"/>
      <c r="N825" s="435"/>
      <c r="O825" s="435"/>
      <c r="P825" s="435"/>
      <c r="Q825" s="437"/>
      <c r="R825" s="437"/>
      <c r="S825" s="437"/>
      <c r="T825" s="432">
        <f t="shared" si="140"/>
        <v>0</v>
      </c>
    </row>
    <row r="826" spans="1:20" ht="22.2" hidden="1" customHeight="1">
      <c r="A826" s="379"/>
      <c r="B826" s="410" t="s">
        <v>881</v>
      </c>
      <c r="C826" s="469" t="str">
        <f t="shared" si="141"/>
        <v xml:space="preserve"> </v>
      </c>
      <c r="D826" s="433"/>
      <c r="E826" s="422" t="str">
        <f>VLOOKUP($B826,[1]DG!A:D,[1]DG!$B$2,)</f>
        <v>02.1115</v>
      </c>
      <c r="F826" s="434" t="str">
        <f>VLOOKUP($B826,[1]DG!A:D,[1]DG!$C$2,)</f>
        <v>Bốc dỡ xà, thép thanh</v>
      </c>
      <c r="G826" s="422" t="str">
        <f>VLOOKUP($B826,[1]DG!A:D,[1]DG!$D$2,)</f>
        <v>tấn</v>
      </c>
      <c r="H826" s="435"/>
      <c r="I826" s="435"/>
      <c r="J826" s="435"/>
      <c r="K826" s="435"/>
      <c r="L826" s="435"/>
      <c r="M826" s="435"/>
      <c r="N826" s="435"/>
      <c r="O826" s="435"/>
      <c r="P826" s="435"/>
      <c r="Q826" s="437"/>
      <c r="R826" s="437"/>
      <c r="S826" s="437"/>
      <c r="T826" s="432">
        <f t="shared" si="140"/>
        <v>0</v>
      </c>
    </row>
    <row r="827" spans="1:20" ht="22.2" hidden="1" customHeight="1">
      <c r="A827" s="379"/>
      <c r="B827" s="438" t="s">
        <v>882</v>
      </c>
      <c r="C827" s="469" t="str">
        <f t="shared" si="141"/>
        <v xml:space="preserve"> </v>
      </c>
      <c r="D827" s="433"/>
      <c r="E827" s="422" t="str">
        <f>VLOOKUP($B827,[1]DG!A:C,2,)</f>
        <v>02.1361</v>
      </c>
      <c r="F827" s="434" t="str">
        <f>VLOOKUP($B827,[1]DG!A:C,3,)</f>
        <v>V/c xà vào vị trí (cư ly &lt;=100m)</v>
      </c>
      <c r="G827" s="422" t="str">
        <f>VLOOKUP($B827,[1]DG!A:D,4,0)</f>
        <v>tấn</v>
      </c>
      <c r="H827" s="435"/>
      <c r="I827" s="435"/>
      <c r="J827" s="435"/>
      <c r="K827" s="435"/>
      <c r="L827" s="435"/>
      <c r="M827" s="435"/>
      <c r="N827" s="435"/>
      <c r="O827" s="435"/>
      <c r="P827" s="435"/>
      <c r="Q827" s="437"/>
      <c r="R827" s="437"/>
      <c r="S827" s="437"/>
      <c r="T827" s="432">
        <f t="shared" si="140"/>
        <v>0</v>
      </c>
    </row>
    <row r="828" spans="1:20" ht="22.2" hidden="1" customHeight="1">
      <c r="A828" s="379"/>
      <c r="B828" s="438" t="s">
        <v>620</v>
      </c>
      <c r="C828" s="469" t="str">
        <f t="shared" si="141"/>
        <v xml:space="preserve"> </v>
      </c>
      <c r="D828" s="439"/>
      <c r="E828" s="422" t="str">
        <f>VLOOKUP($B828,[1]DG!A:C,2,)</f>
        <v>02.1482</v>
      </c>
      <c r="F828" s="434" t="str">
        <f>VLOOKUP($B828,[1]DG!A:C,3,)</f>
        <v>V/c dụng cụ thi công vào vị trí (cự ly &lt;=100m)</v>
      </c>
      <c r="G828" s="422" t="str">
        <f>VLOOKUP($B828,[1]DG!A:D,4,0)</f>
        <v>tấn</v>
      </c>
      <c r="H828" s="435"/>
      <c r="I828" s="435"/>
      <c r="J828" s="435"/>
      <c r="K828" s="435"/>
      <c r="L828" s="435"/>
      <c r="M828" s="435"/>
      <c r="N828" s="435"/>
      <c r="O828" s="435"/>
      <c r="P828" s="435"/>
      <c r="Q828" s="437"/>
      <c r="R828" s="437"/>
      <c r="S828" s="437"/>
      <c r="T828" s="432">
        <f t="shared" si="140"/>
        <v>0</v>
      </c>
    </row>
    <row r="829" spans="1:20" ht="22.2" hidden="1" customHeight="1">
      <c r="A829" s="451" t="s">
        <v>897</v>
      </c>
      <c r="B829" s="424" t="s">
        <v>897</v>
      </c>
      <c r="C829" s="465" t="str">
        <f t="shared" si="141"/>
        <v xml:space="preserve"> </v>
      </c>
      <c r="D829" s="426"/>
      <c r="E829" s="427"/>
      <c r="F829" s="428" t="s">
        <v>898</v>
      </c>
      <c r="G829" s="349" t="s">
        <v>67</v>
      </c>
      <c r="H829" s="429">
        <f>SUM(I829:O829)</f>
        <v>0</v>
      </c>
      <c r="I829" s="430"/>
      <c r="J829" s="430"/>
      <c r="K829" s="430">
        <f>IFERROR(HLOOKUP(B829,[1]pp3p1m!$1:$3,3,0),0)</f>
        <v>0</v>
      </c>
      <c r="L829" s="430">
        <f>IFERROR(HLOOKUP(chitiet!B829,[1]pp1p!$1:$3,3,0),0)</f>
        <v>0</v>
      </c>
      <c r="M829" s="430"/>
      <c r="N829" s="430"/>
      <c r="O829" s="430"/>
      <c r="P829" s="429">
        <f>H829+Q829-R829</f>
        <v>0</v>
      </c>
      <c r="Q829" s="431"/>
      <c r="R829" s="431"/>
      <c r="S829" s="431"/>
      <c r="T829" s="432">
        <f>IFERROR(HLOOKUP(B829,[1]pp1p!$1:$3,3,0),0)+IFERROR(HLOOKUP(B829,[1]pp3p1m!$1:$3,3,0),0)</f>
        <v>0</v>
      </c>
    </row>
    <row r="830" spans="1:20" ht="22.2" hidden="1" customHeight="1">
      <c r="B830" s="410" t="s">
        <v>235</v>
      </c>
      <c r="C830" s="465" t="str">
        <f t="shared" si="141"/>
        <v xml:space="preserve"> </v>
      </c>
      <c r="D830" s="439">
        <v>1</v>
      </c>
      <c r="E830" s="422"/>
      <c r="F830" s="441" t="str">
        <f>VLOOKUP($B830,[1]DG!A:D,[1]DG!$C$2,)</f>
        <v>Sắt góc L75 x75 x8</v>
      </c>
      <c r="G830" s="422" t="str">
        <f>VLOOKUP($B830,[1]DG!A:D,[1]DG!$D$2,)</f>
        <v>kg</v>
      </c>
      <c r="H830" s="435">
        <f t="shared" ref="H830:N831" si="150">H$829*$D830</f>
        <v>0</v>
      </c>
      <c r="I830" s="435">
        <f t="shared" si="150"/>
        <v>0</v>
      </c>
      <c r="J830" s="435">
        <f t="shared" si="150"/>
        <v>0</v>
      </c>
      <c r="K830" s="435">
        <f t="shared" si="150"/>
        <v>0</v>
      </c>
      <c r="L830" s="435">
        <f t="shared" si="150"/>
        <v>0</v>
      </c>
      <c r="M830" s="435">
        <f t="shared" si="150"/>
        <v>0</v>
      </c>
      <c r="N830" s="435">
        <f t="shared" si="150"/>
        <v>0</v>
      </c>
      <c r="O830" s="435"/>
      <c r="P830" s="435">
        <f>$P$829*D830</f>
        <v>0</v>
      </c>
      <c r="Q830" s="437">
        <f>$Q$829*D830</f>
        <v>0</v>
      </c>
      <c r="R830" s="442"/>
      <c r="S830" s="442"/>
      <c r="T830" s="432">
        <f t="shared" si="140"/>
        <v>0</v>
      </c>
    </row>
    <row r="831" spans="1:20" ht="22.2" hidden="1" customHeight="1">
      <c r="B831" s="410" t="s">
        <v>236</v>
      </c>
      <c r="C831" s="465" t="str">
        <f t="shared" si="141"/>
        <v xml:space="preserve"> </v>
      </c>
      <c r="D831" s="439">
        <v>2</v>
      </c>
      <c r="E831" s="422"/>
      <c r="F831" s="441" t="str">
        <f>VLOOKUP($B831,[1]DG!A:D,[1]DG!$C$2,)&amp;": thanh chống 810"</f>
        <v>Sắt góc L50 x50 x5: thanh chống 810</v>
      </c>
      <c r="G831" s="422" t="str">
        <f>VLOOKUP($B831,[1]DG!A:D,[1]DG!$D$2,)</f>
        <v>kg</v>
      </c>
      <c r="H831" s="435">
        <f t="shared" si="150"/>
        <v>0</v>
      </c>
      <c r="I831" s="435">
        <f t="shared" si="150"/>
        <v>0</v>
      </c>
      <c r="J831" s="435">
        <f t="shared" si="150"/>
        <v>0</v>
      </c>
      <c r="K831" s="435">
        <f t="shared" si="150"/>
        <v>0</v>
      </c>
      <c r="L831" s="435">
        <f t="shared" si="150"/>
        <v>0</v>
      </c>
      <c r="M831" s="435">
        <f t="shared" si="150"/>
        <v>0</v>
      </c>
      <c r="N831" s="435">
        <f t="shared" si="150"/>
        <v>0</v>
      </c>
      <c r="O831" s="435"/>
      <c r="P831" s="435">
        <f>$P$829*D831</f>
        <v>0</v>
      </c>
      <c r="Q831" s="442">
        <f>$Q$829*D831</f>
        <v>0</v>
      </c>
      <c r="R831" s="442"/>
      <c r="S831" s="442"/>
      <c r="T831" s="432">
        <f t="shared" si="140"/>
        <v>0</v>
      </c>
    </row>
    <row r="832" spans="1:20" ht="22.2" hidden="1" customHeight="1">
      <c r="A832" s="379"/>
      <c r="B832" s="410" t="s">
        <v>899</v>
      </c>
      <c r="C832" s="469" t="str">
        <f t="shared" si="141"/>
        <v xml:space="preserve"> </v>
      </c>
      <c r="D832" s="439"/>
      <c r="E832" s="422"/>
      <c r="F832" s="441" t="str">
        <f>VLOOKUP($B832,[1]DG!A:D,[1]DG!$C$2,)&amp;": thanh chống 810"</f>
        <v>Cổ dê bắt xà + bulon: thanh chống 810</v>
      </c>
      <c r="G832" s="422" t="str">
        <f>VLOOKUP($B832,[1]DG!A:D,[1]DG!$D$2,)</f>
        <v>bộ</v>
      </c>
      <c r="H832" s="435"/>
      <c r="I832" s="435"/>
      <c r="J832" s="435"/>
      <c r="K832" s="435"/>
      <c r="L832" s="435"/>
      <c r="M832" s="435"/>
      <c r="N832" s="435"/>
      <c r="O832" s="435"/>
      <c r="P832" s="435"/>
      <c r="Q832" s="442"/>
      <c r="R832" s="442"/>
      <c r="S832" s="442"/>
      <c r="T832" s="432">
        <f t="shared" si="140"/>
        <v>0</v>
      </c>
    </row>
    <row r="833" spans="1:20" ht="22.2" hidden="1" customHeight="1">
      <c r="A833" s="379"/>
      <c r="B833" s="410" t="s">
        <v>900</v>
      </c>
      <c r="C833" s="469" t="str">
        <f t="shared" si="141"/>
        <v xml:space="preserve"> </v>
      </c>
      <c r="D833" s="439"/>
      <c r="E833" s="422"/>
      <c r="F833" s="441" t="str">
        <f>VLOOKUP($B833,[1]DG!A:D,[1]DG!$C$2,)&amp;": thanh chống 810"</f>
        <v>Cổ dê chống lắc 8x80x800 : thanh chống 810</v>
      </c>
      <c r="G833" s="422" t="str">
        <f>VLOOKUP($B833,[1]DG!A:D,[1]DG!$D$2,)</f>
        <v>bộ</v>
      </c>
      <c r="H833" s="435"/>
      <c r="I833" s="435"/>
      <c r="J833" s="435"/>
      <c r="K833" s="435"/>
      <c r="L833" s="435"/>
      <c r="M833" s="435"/>
      <c r="N833" s="435"/>
      <c r="O833" s="435"/>
      <c r="P833" s="435"/>
      <c r="Q833" s="442"/>
      <c r="R833" s="442"/>
      <c r="S833" s="442"/>
      <c r="T833" s="432">
        <f t="shared" si="140"/>
        <v>0</v>
      </c>
    </row>
    <row r="834" spans="1:20" ht="22.2" hidden="1" customHeight="1">
      <c r="B834" s="410" t="s">
        <v>237</v>
      </c>
      <c r="C834" s="465" t="str">
        <f t="shared" si="141"/>
        <v xml:space="preserve"> </v>
      </c>
      <c r="D834" s="440">
        <v>2</v>
      </c>
      <c r="E834" s="422"/>
      <c r="F834" s="441" t="str">
        <f>VLOOKUP($B834,[1]DG!A:D,[1]DG!$C$2,)</f>
        <v>Boulon 16x250+ 2 long đền vuông D18-50x50x3/Zn</v>
      </c>
      <c r="G834" s="422" t="str">
        <f>VLOOKUP($B834,[1]DG!A:D,[1]DG!$D$2,)</f>
        <v>bộ</v>
      </c>
      <c r="H834" s="435">
        <f t="shared" ref="H834:N835" si="151">H$829*$D834</f>
        <v>0</v>
      </c>
      <c r="I834" s="435">
        <f t="shared" si="151"/>
        <v>0</v>
      </c>
      <c r="J834" s="435">
        <f t="shared" si="151"/>
        <v>0</v>
      </c>
      <c r="K834" s="435">
        <f t="shared" si="151"/>
        <v>0</v>
      </c>
      <c r="L834" s="435">
        <f t="shared" si="151"/>
        <v>0</v>
      </c>
      <c r="M834" s="435">
        <f t="shared" si="151"/>
        <v>0</v>
      </c>
      <c r="N834" s="435">
        <f t="shared" si="151"/>
        <v>0</v>
      </c>
      <c r="O834" s="435"/>
      <c r="P834" s="435">
        <f>$P$829*D834</f>
        <v>0</v>
      </c>
      <c r="Q834" s="442">
        <f>$Q$829*D834</f>
        <v>0</v>
      </c>
      <c r="R834" s="442"/>
      <c r="S834" s="442"/>
      <c r="T834" s="432">
        <f t="shared" si="140"/>
        <v>0</v>
      </c>
    </row>
    <row r="835" spans="1:20" ht="22.2" hidden="1" customHeight="1">
      <c r="B835" s="410" t="s">
        <v>231</v>
      </c>
      <c r="C835" s="465" t="str">
        <f t="shared" si="141"/>
        <v xml:space="preserve"> </v>
      </c>
      <c r="D835" s="440">
        <v>2</v>
      </c>
      <c r="E835" s="422"/>
      <c r="F835" s="441" t="str">
        <f>VLOOKUP($B835,[1]DG!A:D,[1]DG!$C$2,)</f>
        <v>Boulon 16x50+ 2 long đền vuông D18-50x50x3/Zn</v>
      </c>
      <c r="G835" s="422" t="str">
        <f>VLOOKUP($B835,[1]DG!A:D,[1]DG!$D$2,)</f>
        <v>bộ</v>
      </c>
      <c r="H835" s="435">
        <f t="shared" si="151"/>
        <v>0</v>
      </c>
      <c r="I835" s="435">
        <f t="shared" si="151"/>
        <v>0</v>
      </c>
      <c r="J835" s="435">
        <f t="shared" si="151"/>
        <v>0</v>
      </c>
      <c r="K835" s="435">
        <f t="shared" si="151"/>
        <v>0</v>
      </c>
      <c r="L835" s="435">
        <f t="shared" si="151"/>
        <v>0</v>
      </c>
      <c r="M835" s="435">
        <f t="shared" si="151"/>
        <v>0</v>
      </c>
      <c r="N835" s="435">
        <f t="shared" si="151"/>
        <v>0</v>
      </c>
      <c r="O835" s="435"/>
      <c r="P835" s="435">
        <f>$P$829*D835</f>
        <v>0</v>
      </c>
      <c r="Q835" s="442">
        <f>$Q$829*D835</f>
        <v>0</v>
      </c>
      <c r="R835" s="442"/>
      <c r="S835" s="442"/>
      <c r="T835" s="432">
        <f t="shared" si="140"/>
        <v>0</v>
      </c>
    </row>
    <row r="836" spans="1:20" ht="22.2" hidden="1" customHeight="1">
      <c r="B836" s="410" t="s">
        <v>238</v>
      </c>
      <c r="C836" s="465" t="str">
        <f t="shared" si="141"/>
        <v xml:space="preserve"> </v>
      </c>
      <c r="D836" s="440">
        <v>1</v>
      </c>
      <c r="E836" s="473" t="str">
        <f>VLOOKUP($B836,[1]DG!A:D,[1]DG!$B$2,)</f>
        <v>05.6102</v>
      </c>
      <c r="F836" s="434" t="str">
        <f>VLOOKUP($B836,[1]DG!A:D,[1]DG!$C$2,)</f>
        <v>Lắp xà đỡ ≤ 50kg</v>
      </c>
      <c r="G836" s="422" t="str">
        <f>VLOOKUP($B836,[1]DG!A:D,[1]DG!$D$2,)</f>
        <v>bộ</v>
      </c>
      <c r="H836" s="435">
        <f>H$829*$D836</f>
        <v>0</v>
      </c>
      <c r="I836" s="435"/>
      <c r="J836" s="435"/>
      <c r="K836" s="435"/>
      <c r="L836" s="435"/>
      <c r="M836" s="435"/>
      <c r="N836" s="435"/>
      <c r="O836" s="435"/>
      <c r="P836" s="435">
        <f>$P$829*D836</f>
        <v>0</v>
      </c>
      <c r="Q836" s="442">
        <f>$Q$829*D836</f>
        <v>0</v>
      </c>
      <c r="R836" s="437"/>
      <c r="S836" s="437"/>
      <c r="T836" s="432">
        <f t="shared" si="140"/>
        <v>0</v>
      </c>
    </row>
    <row r="837" spans="1:20" ht="22.2" hidden="1" customHeight="1">
      <c r="A837" s="379"/>
      <c r="B837" s="410" t="s">
        <v>881</v>
      </c>
      <c r="C837" s="469" t="str">
        <f t="shared" si="141"/>
        <v xml:space="preserve"> </v>
      </c>
      <c r="D837" s="433">
        <f>D838</f>
        <v>0</v>
      </c>
      <c r="E837" s="422" t="str">
        <f>VLOOKUP($B837,[1]DG!A:D,[1]DG!$B$2,)</f>
        <v>02.1115</v>
      </c>
      <c r="F837" s="434" t="str">
        <f>VLOOKUP($B837,[1]DG!A:D,[1]DG!$C$2,)</f>
        <v>Bốc dỡ xà, thép thanh</v>
      </c>
      <c r="G837" s="422" t="str">
        <f>VLOOKUP($B837,[1]DG!A:D,[1]DG!$D$2,)</f>
        <v>tấn</v>
      </c>
      <c r="H837" s="435"/>
      <c r="I837" s="435"/>
      <c r="J837" s="435"/>
      <c r="K837" s="435"/>
      <c r="L837" s="435"/>
      <c r="M837" s="435"/>
      <c r="N837" s="435"/>
      <c r="O837" s="435"/>
      <c r="P837" s="435"/>
      <c r="Q837" s="437"/>
      <c r="R837" s="437"/>
      <c r="S837" s="437"/>
      <c r="T837" s="432">
        <f t="shared" si="140"/>
        <v>0</v>
      </c>
    </row>
    <row r="838" spans="1:20" ht="22.2" hidden="1" customHeight="1">
      <c r="A838" s="379"/>
      <c r="B838" s="438" t="s">
        <v>882</v>
      </c>
      <c r="C838" s="469" t="str">
        <f t="shared" si="141"/>
        <v xml:space="preserve"> </v>
      </c>
      <c r="D838" s="433">
        <f>ROUND(SUM(D830:D831)*1.05/1000,3)*0</f>
        <v>0</v>
      </c>
      <c r="E838" s="422" t="str">
        <f>VLOOKUP($B838,[1]DG!A:C,2,)</f>
        <v>02.1361</v>
      </c>
      <c r="F838" s="434" t="str">
        <f>VLOOKUP($B838,[1]DG!A:C,3,)</f>
        <v>V/c xà vào vị trí (cư ly &lt;=100m)</v>
      </c>
      <c r="G838" s="422" t="str">
        <f>VLOOKUP($B838,[1]DG!A:D,4,0)</f>
        <v>tấn</v>
      </c>
      <c r="H838" s="435"/>
      <c r="I838" s="435"/>
      <c r="J838" s="435"/>
      <c r="K838" s="435"/>
      <c r="L838" s="435"/>
      <c r="M838" s="435"/>
      <c r="N838" s="435"/>
      <c r="O838" s="435"/>
      <c r="P838" s="435"/>
      <c r="Q838" s="437"/>
      <c r="R838" s="437"/>
      <c r="S838" s="437"/>
      <c r="T838" s="432">
        <f t="shared" si="140"/>
        <v>0</v>
      </c>
    </row>
    <row r="839" spans="1:20" ht="22.2" hidden="1" customHeight="1">
      <c r="A839" s="379"/>
      <c r="B839" s="438" t="s">
        <v>620</v>
      </c>
      <c r="C839" s="469" t="str">
        <f t="shared" si="141"/>
        <v xml:space="preserve"> </v>
      </c>
      <c r="D839" s="439">
        <f>0.05*0</f>
        <v>0</v>
      </c>
      <c r="E839" s="422" t="str">
        <f>VLOOKUP($B839,[1]DG!A:C,2,)</f>
        <v>02.1482</v>
      </c>
      <c r="F839" s="434" t="str">
        <f>VLOOKUP($B839,[1]DG!A:C,3,)</f>
        <v>V/c dụng cụ thi công vào vị trí (cự ly &lt;=100m)</v>
      </c>
      <c r="G839" s="422" t="str">
        <f>VLOOKUP($B839,[1]DG!A:D,4,0)</f>
        <v>tấn</v>
      </c>
      <c r="H839" s="435"/>
      <c r="I839" s="435"/>
      <c r="J839" s="435"/>
      <c r="K839" s="435"/>
      <c r="L839" s="435"/>
      <c r="M839" s="435"/>
      <c r="N839" s="435"/>
      <c r="O839" s="435"/>
      <c r="P839" s="435"/>
      <c r="Q839" s="437"/>
      <c r="R839" s="437"/>
      <c r="S839" s="437"/>
      <c r="T839" s="432">
        <f t="shared" si="140"/>
        <v>0</v>
      </c>
    </row>
    <row r="840" spans="1:20" ht="22.2" hidden="1" customHeight="1">
      <c r="A840" s="423" t="s">
        <v>901</v>
      </c>
      <c r="B840" s="424" t="s">
        <v>901</v>
      </c>
      <c r="C840" s="469" t="str">
        <f t="shared" si="141"/>
        <v xml:space="preserve"> </v>
      </c>
      <c r="D840" s="426"/>
      <c r="E840" s="427"/>
      <c r="F840" s="428" t="s">
        <v>902</v>
      </c>
      <c r="G840" s="349" t="s">
        <v>67</v>
      </c>
      <c r="H840" s="429">
        <f>SUM(I840:O840)</f>
        <v>0</v>
      </c>
      <c r="I840" s="430"/>
      <c r="J840" s="430"/>
      <c r="K840" s="430">
        <f>IFERROR(HLOOKUP(B840,[1]pp3p1m!$1:$3,3,0),0)</f>
        <v>0</v>
      </c>
      <c r="L840" s="430">
        <f>IFERROR(HLOOKUP(chitiet!B840,[1]pp1p!$1:$3,3,0),0)</f>
        <v>0</v>
      </c>
      <c r="M840" s="430"/>
      <c r="N840" s="430"/>
      <c r="O840" s="430"/>
      <c r="P840" s="430">
        <f>H840+Q840-R840</f>
        <v>0</v>
      </c>
      <c r="Q840" s="431"/>
      <c r="R840" s="431"/>
      <c r="S840" s="431"/>
      <c r="T840" s="432">
        <f>IFERROR(HLOOKUP(B840,[1]pp1p!$1:$3,3,0),0)+IFERROR(HLOOKUP(B840,[1]pp3p1m!$1:$3,3,0),0)</f>
        <v>0</v>
      </c>
    </row>
    <row r="841" spans="1:20" ht="22.2" hidden="1" customHeight="1">
      <c r="A841" s="379"/>
      <c r="B841" s="410" t="s">
        <v>235</v>
      </c>
      <c r="C841" s="469" t="str">
        <f t="shared" si="141"/>
        <v xml:space="preserve"> </v>
      </c>
      <c r="D841" s="439">
        <f>9.02*(2.2+4*0.07)</f>
        <v>22.369600000000002</v>
      </c>
      <c r="E841" s="422"/>
      <c r="F841" s="441" t="str">
        <f>VLOOKUP($B841,[1]DG!A:D,[1]DG!$C$2,)</f>
        <v>Sắt góc L75 x75 x8</v>
      </c>
      <c r="G841" s="422" t="str">
        <f>VLOOKUP($B841,[1]DG!A:D,[1]DG!$D$2,)</f>
        <v>kg</v>
      </c>
      <c r="H841" s="435">
        <f t="shared" ref="H841:H848" si="152">$H$840*$D841</f>
        <v>0</v>
      </c>
      <c r="I841" s="435">
        <f t="shared" ref="I841:I848" si="153">$I$840*$D841</f>
        <v>0</v>
      </c>
      <c r="J841" s="435">
        <f t="shared" ref="J841:N844" si="154">J$829*$D841</f>
        <v>0</v>
      </c>
      <c r="K841" s="435">
        <f t="shared" si="154"/>
        <v>0</v>
      </c>
      <c r="L841" s="435">
        <f t="shared" si="154"/>
        <v>0</v>
      </c>
      <c r="M841" s="435">
        <f t="shared" si="154"/>
        <v>0</v>
      </c>
      <c r="N841" s="435">
        <f t="shared" si="154"/>
        <v>0</v>
      </c>
      <c r="O841" s="435"/>
      <c r="P841" s="435"/>
      <c r="Q841" s="442"/>
      <c r="R841" s="442"/>
      <c r="S841" s="442"/>
      <c r="T841" s="432">
        <f t="shared" si="140"/>
        <v>0</v>
      </c>
    </row>
    <row r="842" spans="1:20" ht="22.2" hidden="1" customHeight="1">
      <c r="A842" s="379"/>
      <c r="B842" s="410" t="s">
        <v>236</v>
      </c>
      <c r="C842" s="469" t="str">
        <f t="shared" si="141"/>
        <v xml:space="preserve"> </v>
      </c>
      <c r="D842" s="439">
        <f>3.77*0.92*2</f>
        <v>6.9368000000000007</v>
      </c>
      <c r="E842" s="422"/>
      <c r="F842" s="441" t="str">
        <f>VLOOKUP($B842,[1]DG!A:D,[1]DG!$C$2,)&amp;" thanh chống 920"</f>
        <v>Sắt góc L50 x50 x5 thanh chống 920</v>
      </c>
      <c r="G842" s="422" t="str">
        <f>VLOOKUP($B842,[1]DG!A:D,[1]DG!$D$2,)</f>
        <v>kg</v>
      </c>
      <c r="H842" s="435">
        <f t="shared" si="152"/>
        <v>0</v>
      </c>
      <c r="I842" s="435">
        <f t="shared" si="153"/>
        <v>0</v>
      </c>
      <c r="J842" s="435">
        <f t="shared" si="154"/>
        <v>0</v>
      </c>
      <c r="K842" s="435">
        <f t="shared" si="154"/>
        <v>0</v>
      </c>
      <c r="L842" s="435">
        <f t="shared" si="154"/>
        <v>0</v>
      </c>
      <c r="M842" s="435">
        <f t="shared" si="154"/>
        <v>0</v>
      </c>
      <c r="N842" s="435">
        <f t="shared" si="154"/>
        <v>0</v>
      </c>
      <c r="O842" s="435"/>
      <c r="P842" s="435"/>
      <c r="Q842" s="442"/>
      <c r="R842" s="442"/>
      <c r="S842" s="442"/>
      <c r="T842" s="432">
        <f t="shared" si="140"/>
        <v>0</v>
      </c>
    </row>
    <row r="843" spans="1:20" ht="22.2" hidden="1" customHeight="1">
      <c r="A843" s="379"/>
      <c r="B843" s="410" t="s">
        <v>237</v>
      </c>
      <c r="C843" s="469" t="str">
        <f t="shared" si="141"/>
        <v xml:space="preserve"> </v>
      </c>
      <c r="D843" s="440">
        <v>2</v>
      </c>
      <c r="E843" s="422"/>
      <c r="F843" s="441" t="str">
        <f>VLOOKUP($B843,[1]DG!A:D,[1]DG!$C$2,)</f>
        <v>Boulon 16x250+ 2 long đền vuông D18-50x50x3/Zn</v>
      </c>
      <c r="G843" s="422" t="str">
        <f>VLOOKUP($B843,[1]DG!A:D,[1]DG!$D$2,)</f>
        <v>bộ</v>
      </c>
      <c r="H843" s="435">
        <f t="shared" si="152"/>
        <v>0</v>
      </c>
      <c r="I843" s="435">
        <f t="shared" si="153"/>
        <v>0</v>
      </c>
      <c r="J843" s="435">
        <f t="shared" si="154"/>
        <v>0</v>
      </c>
      <c r="K843" s="435">
        <f t="shared" si="154"/>
        <v>0</v>
      </c>
      <c r="L843" s="435">
        <f t="shared" si="154"/>
        <v>0</v>
      </c>
      <c r="M843" s="435">
        <f t="shared" si="154"/>
        <v>0</v>
      </c>
      <c r="N843" s="435">
        <f t="shared" si="154"/>
        <v>0</v>
      </c>
      <c r="O843" s="435"/>
      <c r="P843" s="435"/>
      <c r="Q843" s="442"/>
      <c r="R843" s="442"/>
      <c r="S843" s="442"/>
      <c r="T843" s="432">
        <f t="shared" si="140"/>
        <v>0</v>
      </c>
    </row>
    <row r="844" spans="1:20" ht="22.2" hidden="1" customHeight="1">
      <c r="A844" s="379"/>
      <c r="B844" s="410" t="s">
        <v>231</v>
      </c>
      <c r="C844" s="469" t="str">
        <f t="shared" si="141"/>
        <v xml:space="preserve"> </v>
      </c>
      <c r="D844" s="440">
        <v>2</v>
      </c>
      <c r="E844" s="422"/>
      <c r="F844" s="441" t="str">
        <f>VLOOKUP($B844,[1]DG!A:D,[1]DG!$C$2,)</f>
        <v>Boulon 16x50+ 2 long đền vuông D18-50x50x3/Zn</v>
      </c>
      <c r="G844" s="422" t="str">
        <f>VLOOKUP($B844,[1]DG!A:D,[1]DG!$D$2,)</f>
        <v>bộ</v>
      </c>
      <c r="H844" s="435">
        <f t="shared" si="152"/>
        <v>0</v>
      </c>
      <c r="I844" s="435">
        <f t="shared" si="153"/>
        <v>0</v>
      </c>
      <c r="J844" s="435">
        <f t="shared" si="154"/>
        <v>0</v>
      </c>
      <c r="K844" s="435">
        <f t="shared" si="154"/>
        <v>0</v>
      </c>
      <c r="L844" s="435">
        <f t="shared" si="154"/>
        <v>0</v>
      </c>
      <c r="M844" s="435">
        <f t="shared" si="154"/>
        <v>0</v>
      </c>
      <c r="N844" s="435">
        <f t="shared" si="154"/>
        <v>0</v>
      </c>
      <c r="O844" s="435"/>
      <c r="P844" s="435"/>
      <c r="Q844" s="442"/>
      <c r="R844" s="442"/>
      <c r="S844" s="442"/>
      <c r="T844" s="432">
        <f t="shared" si="140"/>
        <v>0</v>
      </c>
    </row>
    <row r="845" spans="1:20" ht="22.2" hidden="1" customHeight="1">
      <c r="A845" s="379"/>
      <c r="B845" s="410" t="s">
        <v>238</v>
      </c>
      <c r="C845" s="469" t="str">
        <f t="shared" si="141"/>
        <v xml:space="preserve"> </v>
      </c>
      <c r="D845" s="440">
        <v>1</v>
      </c>
      <c r="E845" s="422" t="str">
        <f>VLOOKUP($B845,[1]DG!A:D,[1]DG!$B$2,)</f>
        <v>05.6102</v>
      </c>
      <c r="F845" s="434" t="str">
        <f>VLOOKUP($B845,[1]DG!A:D,[1]DG!$C$2,)</f>
        <v>Lắp xà đỡ ≤ 50kg</v>
      </c>
      <c r="G845" s="422" t="str">
        <f>VLOOKUP($B845,[1]DG!A:D,[1]DG!$D$2,)</f>
        <v>bộ</v>
      </c>
      <c r="H845" s="435">
        <f t="shared" si="152"/>
        <v>0</v>
      </c>
      <c r="I845" s="435">
        <f t="shared" si="153"/>
        <v>0</v>
      </c>
      <c r="J845" s="435"/>
      <c r="K845" s="435"/>
      <c r="L845" s="435"/>
      <c r="M845" s="435"/>
      <c r="N845" s="435"/>
      <c r="O845" s="435"/>
      <c r="P845" s="435"/>
      <c r="Q845" s="437"/>
      <c r="R845" s="437"/>
      <c r="S845" s="437"/>
      <c r="T845" s="432">
        <f t="shared" si="140"/>
        <v>0</v>
      </c>
    </row>
    <row r="846" spans="1:20" ht="22.2" hidden="1" customHeight="1">
      <c r="A846" s="379"/>
      <c r="B846" s="410" t="s">
        <v>881</v>
      </c>
      <c r="C846" s="469" t="str">
        <f t="shared" si="141"/>
        <v xml:space="preserve"> </v>
      </c>
      <c r="D846" s="433">
        <f>D847</f>
        <v>0</v>
      </c>
      <c r="E846" s="422" t="str">
        <f>VLOOKUP($B846,[1]DG!A:D,[1]DG!$B$2,)</f>
        <v>02.1115</v>
      </c>
      <c r="F846" s="434" t="str">
        <f>VLOOKUP($B846,[1]DG!A:D,[1]DG!$C$2,)</f>
        <v>Bốc dỡ xà, thép thanh</v>
      </c>
      <c r="G846" s="422" t="str">
        <f>VLOOKUP($B846,[1]DG!A:D,[1]DG!$D$2,)</f>
        <v>tấn</v>
      </c>
      <c r="H846" s="435">
        <f t="shared" si="152"/>
        <v>0</v>
      </c>
      <c r="I846" s="435">
        <f t="shared" si="153"/>
        <v>0</v>
      </c>
      <c r="J846" s="435"/>
      <c r="K846" s="435"/>
      <c r="L846" s="435"/>
      <c r="M846" s="435"/>
      <c r="N846" s="435"/>
      <c r="O846" s="435"/>
      <c r="P846" s="435"/>
      <c r="Q846" s="437"/>
      <c r="R846" s="437"/>
      <c r="S846" s="437"/>
      <c r="T846" s="432">
        <f t="shared" si="140"/>
        <v>0</v>
      </c>
    </row>
    <row r="847" spans="1:20" ht="22.2" hidden="1" customHeight="1">
      <c r="A847" s="379"/>
      <c r="B847" s="438" t="s">
        <v>882</v>
      </c>
      <c r="C847" s="469" t="str">
        <f t="shared" si="141"/>
        <v xml:space="preserve"> </v>
      </c>
      <c r="D847" s="433">
        <f>ROUND(SUM(D841:D842)*1.05/1000,3)*0</f>
        <v>0</v>
      </c>
      <c r="E847" s="422" t="str">
        <f>VLOOKUP($B847,[1]DG!A:C,2,)</f>
        <v>02.1361</v>
      </c>
      <c r="F847" s="434" t="str">
        <f>VLOOKUP($B847,[1]DG!A:C,3,)</f>
        <v>V/c xà vào vị trí (cư ly &lt;=100m)</v>
      </c>
      <c r="G847" s="422" t="str">
        <f>VLOOKUP($B847,[1]DG!A:D,4,0)</f>
        <v>tấn</v>
      </c>
      <c r="H847" s="435">
        <f t="shared" si="152"/>
        <v>0</v>
      </c>
      <c r="I847" s="435">
        <f t="shared" si="153"/>
        <v>0</v>
      </c>
      <c r="J847" s="435"/>
      <c r="K847" s="435"/>
      <c r="L847" s="435"/>
      <c r="M847" s="435"/>
      <c r="N847" s="435"/>
      <c r="O847" s="435"/>
      <c r="P847" s="435"/>
      <c r="Q847" s="437"/>
      <c r="R847" s="437"/>
      <c r="S847" s="437"/>
      <c r="T847" s="432">
        <f t="shared" si="140"/>
        <v>0</v>
      </c>
    </row>
    <row r="848" spans="1:20" ht="22.2" hidden="1" customHeight="1">
      <c r="A848" s="379"/>
      <c r="B848" s="438" t="s">
        <v>620</v>
      </c>
      <c r="C848" s="469" t="str">
        <f t="shared" si="141"/>
        <v xml:space="preserve"> </v>
      </c>
      <c r="D848" s="439">
        <f>0.05*0</f>
        <v>0</v>
      </c>
      <c r="E848" s="422" t="str">
        <f>VLOOKUP($B848,[1]DG!A:C,2,)</f>
        <v>02.1482</v>
      </c>
      <c r="F848" s="434" t="str">
        <f>VLOOKUP($B848,[1]DG!A:C,3,)</f>
        <v>V/c dụng cụ thi công vào vị trí (cự ly &lt;=100m)</v>
      </c>
      <c r="G848" s="422" t="str">
        <f>VLOOKUP($B848,[1]DG!A:D,4,0)</f>
        <v>tấn</v>
      </c>
      <c r="H848" s="435">
        <f t="shared" si="152"/>
        <v>0</v>
      </c>
      <c r="I848" s="435">
        <f t="shared" si="153"/>
        <v>0</v>
      </c>
      <c r="J848" s="435"/>
      <c r="K848" s="435"/>
      <c r="L848" s="435"/>
      <c r="M848" s="435"/>
      <c r="N848" s="435"/>
      <c r="O848" s="435"/>
      <c r="P848" s="435"/>
      <c r="Q848" s="437"/>
      <c r="R848" s="437"/>
      <c r="S848" s="437"/>
      <c r="T848" s="432">
        <f t="shared" si="140"/>
        <v>0</v>
      </c>
    </row>
    <row r="849" spans="1:20" ht="22.2" hidden="1" customHeight="1">
      <c r="A849" s="423" t="s">
        <v>903</v>
      </c>
      <c r="B849" s="424" t="s">
        <v>903</v>
      </c>
      <c r="C849" s="469" t="str">
        <f t="shared" si="141"/>
        <v xml:space="preserve"> </v>
      </c>
      <c r="D849" s="426"/>
      <c r="E849" s="427"/>
      <c r="F849" s="428" t="s">
        <v>904</v>
      </c>
      <c r="G849" s="349" t="s">
        <v>67</v>
      </c>
      <c r="H849" s="429">
        <f>SUM(I849:O849)</f>
        <v>0</v>
      </c>
      <c r="I849" s="430"/>
      <c r="J849" s="430"/>
      <c r="K849" s="430">
        <f>IFERROR(HLOOKUP(B849,[1]pp3p1m!$1:$3,3,0),0)</f>
        <v>0</v>
      </c>
      <c r="L849" s="430">
        <f>IFERROR(HLOOKUP(chitiet!B849,[1]pp1p!$1:$3,3,0),0)</f>
        <v>0</v>
      </c>
      <c r="M849" s="430"/>
      <c r="N849" s="430"/>
      <c r="O849" s="430"/>
      <c r="P849" s="430">
        <f>H849+Q849-R849</f>
        <v>0</v>
      </c>
      <c r="Q849" s="431"/>
      <c r="R849" s="431"/>
      <c r="S849" s="431"/>
      <c r="T849" s="432">
        <f>IFERROR(HLOOKUP(B849,[1]pp1p!$1:$3,3,0),0)+IFERROR(HLOOKUP(B849,[1]pp3p1m!$1:$3,3,0),0)</f>
        <v>0</v>
      </c>
    </row>
    <row r="850" spans="1:20" ht="22.2" hidden="1" customHeight="1">
      <c r="A850" s="379"/>
      <c r="B850" s="474" t="s">
        <v>905</v>
      </c>
      <c r="C850" s="469" t="str">
        <f t="shared" si="141"/>
        <v xml:space="preserve"> </v>
      </c>
      <c r="D850" s="439">
        <v>1</v>
      </c>
      <c r="E850" s="422"/>
      <c r="F850" s="434" t="str">
        <f>VLOOKUP($B850,[1]DG!A:D,[1]DG!$C$2,)</f>
        <v>Lắp xà trụ ghép ≤ 140kg</v>
      </c>
      <c r="G850" s="422" t="str">
        <f>VLOOKUP($B850,[1]DG!A:D,[1]DG!$D$2,)</f>
        <v>bộ</v>
      </c>
      <c r="H850" s="435">
        <f>$H$8391*$D850</f>
        <v>0</v>
      </c>
      <c r="I850" s="435">
        <f t="shared" ref="I850:N851" si="155">I$849*$D850</f>
        <v>0</v>
      </c>
      <c r="J850" s="435">
        <f t="shared" si="155"/>
        <v>0</v>
      </c>
      <c r="K850" s="435">
        <f t="shared" si="155"/>
        <v>0</v>
      </c>
      <c r="L850" s="435">
        <f t="shared" si="155"/>
        <v>0</v>
      </c>
      <c r="M850" s="435">
        <f t="shared" si="155"/>
        <v>0</v>
      </c>
      <c r="N850" s="435">
        <f t="shared" si="155"/>
        <v>0</v>
      </c>
      <c r="O850" s="435"/>
      <c r="P850" s="435"/>
      <c r="Q850" s="442"/>
      <c r="R850" s="442"/>
      <c r="S850" s="442"/>
      <c r="T850" s="432">
        <f t="shared" si="140"/>
        <v>0</v>
      </c>
    </row>
    <row r="851" spans="1:20" ht="22.2" hidden="1" customHeight="1">
      <c r="A851" s="379"/>
      <c r="B851" s="410" t="s">
        <v>881</v>
      </c>
      <c r="C851" s="469" t="str">
        <f t="shared" si="141"/>
        <v xml:space="preserve"> </v>
      </c>
      <c r="D851" s="439">
        <f>D852</f>
        <v>0.06</v>
      </c>
      <c r="E851" s="422"/>
      <c r="F851" s="434" t="str">
        <f>VLOOKUP($B851,[1]DG!A:D,[1]DG!$C$2,)</f>
        <v>Bốc dỡ xà, thép thanh</v>
      </c>
      <c r="G851" s="422" t="str">
        <f>VLOOKUP($B851,[1]DG!A:D,[1]DG!$D$2,)</f>
        <v>tấn</v>
      </c>
      <c r="H851" s="435">
        <f>$H$8391*$D851</f>
        <v>0</v>
      </c>
      <c r="I851" s="435">
        <f t="shared" si="155"/>
        <v>0</v>
      </c>
      <c r="J851" s="435">
        <f t="shared" si="155"/>
        <v>0</v>
      </c>
      <c r="K851" s="435">
        <f t="shared" si="155"/>
        <v>0</v>
      </c>
      <c r="L851" s="435">
        <f t="shared" si="155"/>
        <v>0</v>
      </c>
      <c r="M851" s="435">
        <f t="shared" si="155"/>
        <v>0</v>
      </c>
      <c r="N851" s="435">
        <f t="shared" si="155"/>
        <v>0</v>
      </c>
      <c r="O851" s="435"/>
      <c r="P851" s="435"/>
      <c r="Q851" s="442"/>
      <c r="R851" s="442"/>
      <c r="S851" s="442"/>
      <c r="T851" s="432">
        <f t="shared" si="140"/>
        <v>0</v>
      </c>
    </row>
    <row r="852" spans="1:20" ht="22.2" hidden="1" customHeight="1">
      <c r="A852" s="379"/>
      <c r="B852" s="438" t="s">
        <v>882</v>
      </c>
      <c r="C852" s="469" t="str">
        <f t="shared" si="141"/>
        <v xml:space="preserve"> </v>
      </c>
      <c r="D852" s="433">
        <v>0.06</v>
      </c>
      <c r="E852" s="422" t="str">
        <f>VLOOKUP($B852,[1]DG!A:C,2,)</f>
        <v>02.1361</v>
      </c>
      <c r="F852" s="434" t="str">
        <f>VLOOKUP($B852,[1]DG!A:C,3,)</f>
        <v>V/c xà vào vị trí (cư ly &lt;=100m)</v>
      </c>
      <c r="G852" s="422" t="str">
        <f>VLOOKUP($B852,[1]DG!A:D,4,0)</f>
        <v>tấn</v>
      </c>
      <c r="H852" s="435">
        <f>$H$8391*$D852</f>
        <v>0</v>
      </c>
      <c r="I852" s="435"/>
      <c r="J852" s="435"/>
      <c r="K852" s="435"/>
      <c r="L852" s="435"/>
      <c r="M852" s="435"/>
      <c r="N852" s="435"/>
      <c r="O852" s="435"/>
      <c r="P852" s="435"/>
      <c r="Q852" s="437"/>
      <c r="R852" s="437"/>
      <c r="S852" s="437"/>
      <c r="T852" s="432">
        <f t="shared" si="140"/>
        <v>0</v>
      </c>
    </row>
    <row r="853" spans="1:20" ht="22.2" hidden="1" customHeight="1">
      <c r="A853" s="379"/>
      <c r="B853" s="438" t="s">
        <v>620</v>
      </c>
      <c r="C853" s="469" t="str">
        <f t="shared" si="141"/>
        <v xml:space="preserve"> </v>
      </c>
      <c r="D853" s="439">
        <v>0.05</v>
      </c>
      <c r="E853" s="422" t="str">
        <f>VLOOKUP($B853,[1]DG!A:C,2,)</f>
        <v>02.1482</v>
      </c>
      <c r="F853" s="434" t="str">
        <f>VLOOKUP($B853,[1]DG!A:C,3,)</f>
        <v>V/c dụng cụ thi công vào vị trí (cự ly &lt;=100m)</v>
      </c>
      <c r="G853" s="422" t="str">
        <f>VLOOKUP($B853,[1]DG!A:D,4,0)</f>
        <v>tấn</v>
      </c>
      <c r="H853" s="435">
        <f>$H$8391*$D853</f>
        <v>0</v>
      </c>
      <c r="I853" s="435"/>
      <c r="J853" s="435"/>
      <c r="K853" s="435"/>
      <c r="L853" s="435"/>
      <c r="M853" s="435"/>
      <c r="N853" s="435"/>
      <c r="O853" s="435"/>
      <c r="P853" s="435"/>
      <c r="Q853" s="437"/>
      <c r="R853" s="437"/>
      <c r="S853" s="437"/>
      <c r="T853" s="432">
        <f t="shared" si="140"/>
        <v>0</v>
      </c>
    </row>
    <row r="854" spans="1:20" ht="22.2" customHeight="1">
      <c r="A854" s="423" t="s">
        <v>906</v>
      </c>
      <c r="B854" s="424" t="s">
        <v>906</v>
      </c>
      <c r="C854" s="469" t="str">
        <f t="shared" si="141"/>
        <v>x</v>
      </c>
      <c r="D854" s="426"/>
      <c r="E854" s="427"/>
      <c r="F854" s="475" t="s">
        <v>907</v>
      </c>
      <c r="G854" s="349" t="s">
        <v>67</v>
      </c>
      <c r="H854" s="429">
        <f>SUM(I854:O854)</f>
        <v>3</v>
      </c>
      <c r="I854" s="430"/>
      <c r="J854" s="430"/>
      <c r="K854" s="430">
        <f>IFERROR(HLOOKUP(B854,[1]pp3p1m!$1:$3,3,0),0)</f>
        <v>3</v>
      </c>
      <c r="L854" s="430">
        <f>IFERROR(HLOOKUP(chitiet!B854,[1]pp1p!$1:$3,3,0),0)</f>
        <v>0</v>
      </c>
      <c r="M854" s="430"/>
      <c r="N854" s="430"/>
      <c r="O854" s="430"/>
      <c r="P854" s="430">
        <f>H854+Q854-R854</f>
        <v>3</v>
      </c>
      <c r="Q854" s="431"/>
      <c r="R854" s="431"/>
      <c r="S854" s="431"/>
      <c r="T854" s="432">
        <f>IFERROR(HLOOKUP(B854,[1]pp1p!$1:$3,3,0),0)+IFERROR(HLOOKUP(B854,[1]pp3p1m!$1:$3,3,0),0)</f>
        <v>3</v>
      </c>
    </row>
    <row r="855" spans="1:20" ht="22.2" hidden="1" customHeight="1">
      <c r="A855" s="379"/>
      <c r="B855" s="406" t="s">
        <v>889</v>
      </c>
      <c r="C855" s="469" t="str">
        <f t="shared" si="141"/>
        <v>x</v>
      </c>
      <c r="D855" s="439">
        <v>2</v>
      </c>
      <c r="E855" s="422"/>
      <c r="F855" s="441" t="str">
        <f>VLOOKUP($B855,[1]DG!A:D,[1]DG!$C$2,)</f>
        <v>Sắt góc L75 x75 x8 x2200</v>
      </c>
      <c r="G855" s="422" t="str">
        <f>VLOOKUP($B855,[1]DG!A:D,[1]DG!$D$2,)</f>
        <v>cái</v>
      </c>
      <c r="H855" s="435">
        <f t="shared" ref="H855:H861" si="156">$H$854*$D855</f>
        <v>6</v>
      </c>
      <c r="I855" s="435">
        <f t="shared" ref="I855:J860" si="157">I$798*$D855</f>
        <v>0</v>
      </c>
      <c r="J855" s="435">
        <f t="shared" si="157"/>
        <v>0</v>
      </c>
      <c r="K855" s="435">
        <f t="shared" ref="K855:K860" si="158">K$854*$D855</f>
        <v>6</v>
      </c>
      <c r="L855" s="435">
        <f t="shared" ref="L855:N860" si="159">L$798*$D855</f>
        <v>0</v>
      </c>
      <c r="M855" s="435">
        <f t="shared" si="159"/>
        <v>0</v>
      </c>
      <c r="N855" s="435">
        <f t="shared" si="159"/>
        <v>0</v>
      </c>
      <c r="O855" s="435"/>
      <c r="P855" s="435">
        <f t="shared" ref="P855:P861" si="160">$P$854*D855</f>
        <v>6</v>
      </c>
      <c r="Q855" s="442">
        <f t="shared" ref="Q855:Q861" si="161">$Q$854*D855</f>
        <v>0</v>
      </c>
      <c r="R855" s="442"/>
      <c r="S855" s="442"/>
      <c r="T855" s="432">
        <f t="shared" si="140"/>
        <v>0</v>
      </c>
    </row>
    <row r="856" spans="1:20" ht="22.2" hidden="1" customHeight="1">
      <c r="A856" s="379"/>
      <c r="B856" s="406" t="s">
        <v>890</v>
      </c>
      <c r="C856" s="469" t="str">
        <f t="shared" si="141"/>
        <v>x</v>
      </c>
      <c r="D856" s="439">
        <v>4</v>
      </c>
      <c r="E856" s="422"/>
      <c r="F856" s="441" t="str">
        <f>VLOOKUP($B856,[1]DG!A:D,[1]DG!$C$2,)</f>
        <v>Sắt góc L50 x50 x5 - 810</v>
      </c>
      <c r="G856" s="422" t="str">
        <f>VLOOKUP($B856,[1]DG!A:D,[1]DG!$D$2,)</f>
        <v>cái</v>
      </c>
      <c r="H856" s="435">
        <f t="shared" si="156"/>
        <v>12</v>
      </c>
      <c r="I856" s="435">
        <f t="shared" si="157"/>
        <v>0</v>
      </c>
      <c r="J856" s="435">
        <f t="shared" si="157"/>
        <v>0</v>
      </c>
      <c r="K856" s="435">
        <f t="shared" si="158"/>
        <v>12</v>
      </c>
      <c r="L856" s="435">
        <f t="shared" si="159"/>
        <v>0</v>
      </c>
      <c r="M856" s="435">
        <f t="shared" si="159"/>
        <v>0</v>
      </c>
      <c r="N856" s="435">
        <f t="shared" si="159"/>
        <v>0</v>
      </c>
      <c r="O856" s="435"/>
      <c r="P856" s="435">
        <f t="shared" si="160"/>
        <v>12</v>
      </c>
      <c r="Q856" s="442">
        <f t="shared" si="161"/>
        <v>0</v>
      </c>
      <c r="R856" s="442"/>
      <c r="S856" s="442"/>
      <c r="T856" s="432">
        <f t="shared" si="140"/>
        <v>0</v>
      </c>
    </row>
    <row r="857" spans="1:20" ht="22.2" hidden="1" customHeight="1">
      <c r="A857" s="379"/>
      <c r="B857" s="406" t="s">
        <v>908</v>
      </c>
      <c r="C857" s="469" t="str">
        <f t="shared" si="141"/>
        <v>x</v>
      </c>
      <c r="D857" s="440">
        <v>1</v>
      </c>
      <c r="E857" s="422"/>
      <c r="F857" s="441" t="str">
        <f>VLOOKUP($B857,[1]DG!A:D,[1]DG!$C$2,)</f>
        <v>Boulon 16x500+ 2 long đền vuông D18-50x50x3/Zn</v>
      </c>
      <c r="G857" s="422" t="str">
        <f>VLOOKUP($B857,[1]DG!A:D,[1]DG!$D$2,)</f>
        <v>bộ</v>
      </c>
      <c r="H857" s="435">
        <f t="shared" si="156"/>
        <v>3</v>
      </c>
      <c r="I857" s="435">
        <f t="shared" si="157"/>
        <v>0</v>
      </c>
      <c r="J857" s="435">
        <f t="shared" si="157"/>
        <v>0</v>
      </c>
      <c r="K857" s="435">
        <f t="shared" si="158"/>
        <v>3</v>
      </c>
      <c r="L857" s="435">
        <f t="shared" si="159"/>
        <v>0</v>
      </c>
      <c r="M857" s="435">
        <f t="shared" si="159"/>
        <v>0</v>
      </c>
      <c r="N857" s="435">
        <f t="shared" si="159"/>
        <v>0</v>
      </c>
      <c r="O857" s="435"/>
      <c r="P857" s="435">
        <f t="shared" si="160"/>
        <v>3</v>
      </c>
      <c r="Q857" s="442">
        <f t="shared" si="161"/>
        <v>0</v>
      </c>
      <c r="R857" s="442"/>
      <c r="S857" s="442"/>
      <c r="T857" s="432">
        <f t="shared" si="140"/>
        <v>0</v>
      </c>
    </row>
    <row r="858" spans="1:20" ht="22.2" hidden="1" customHeight="1">
      <c r="A858" s="379"/>
      <c r="B858" s="406" t="s">
        <v>909</v>
      </c>
      <c r="C858" s="469" t="str">
        <f t="shared" si="141"/>
        <v>x</v>
      </c>
      <c r="D858" s="440">
        <v>1</v>
      </c>
      <c r="E858" s="422"/>
      <c r="F858" s="441" t="str">
        <f>VLOOKUP($B858,[1]DG!A:D,[1]DG!$C$2,)</f>
        <v>Boulon 16x600+ 2 long đền vuông D18-50x50x3/Zn</v>
      </c>
      <c r="G858" s="422" t="str">
        <f>VLOOKUP($B858,[1]DG!A:D,[1]DG!$D$2,)</f>
        <v>bộ</v>
      </c>
      <c r="H858" s="435">
        <f t="shared" si="156"/>
        <v>3</v>
      </c>
      <c r="I858" s="435">
        <f t="shared" si="157"/>
        <v>0</v>
      </c>
      <c r="J858" s="435">
        <f t="shared" si="157"/>
        <v>0</v>
      </c>
      <c r="K858" s="435">
        <f t="shared" si="158"/>
        <v>3</v>
      </c>
      <c r="L858" s="435">
        <f t="shared" si="159"/>
        <v>0</v>
      </c>
      <c r="M858" s="435">
        <f t="shared" si="159"/>
        <v>0</v>
      </c>
      <c r="N858" s="435">
        <f t="shared" si="159"/>
        <v>0</v>
      </c>
      <c r="O858" s="435"/>
      <c r="P858" s="435">
        <f t="shared" si="160"/>
        <v>3</v>
      </c>
      <c r="Q858" s="442">
        <f t="shared" si="161"/>
        <v>0</v>
      </c>
      <c r="R858" s="442"/>
      <c r="S858" s="442"/>
      <c r="T858" s="432">
        <f t="shared" si="140"/>
        <v>0</v>
      </c>
    </row>
    <row r="859" spans="1:20" ht="22.2" hidden="1" customHeight="1">
      <c r="A859" s="379"/>
      <c r="B859" s="406" t="s">
        <v>735</v>
      </c>
      <c r="C859" s="469" t="str">
        <f t="shared" si="141"/>
        <v>x</v>
      </c>
      <c r="D859" s="440">
        <v>2</v>
      </c>
      <c r="E859" s="422"/>
      <c r="F859" s="441" t="str">
        <f>VLOOKUP($B859,[1]DG!A:D,[1]DG!$C$2,)</f>
        <v>Boulon 16x550VRS+ 4 long đền vuông D18-50x50x3/Zn</v>
      </c>
      <c r="G859" s="422" t="str">
        <f>VLOOKUP($B859,[1]DG!A:D,[1]DG!$D$2,)</f>
        <v>bộ</v>
      </c>
      <c r="H859" s="435">
        <f t="shared" si="156"/>
        <v>6</v>
      </c>
      <c r="I859" s="435">
        <f t="shared" si="157"/>
        <v>0</v>
      </c>
      <c r="J859" s="435">
        <f t="shared" si="157"/>
        <v>0</v>
      </c>
      <c r="K859" s="435">
        <f t="shared" si="158"/>
        <v>6</v>
      </c>
      <c r="L859" s="435">
        <f t="shared" si="159"/>
        <v>0</v>
      </c>
      <c r="M859" s="435">
        <f t="shared" si="159"/>
        <v>0</v>
      </c>
      <c r="N859" s="435">
        <f t="shared" si="159"/>
        <v>0</v>
      </c>
      <c r="O859" s="435"/>
      <c r="P859" s="435">
        <f t="shared" si="160"/>
        <v>6</v>
      </c>
      <c r="Q859" s="442">
        <f t="shared" si="161"/>
        <v>0</v>
      </c>
      <c r="R859" s="442"/>
      <c r="S859" s="442"/>
      <c r="T859" s="432">
        <f t="shared" si="140"/>
        <v>0</v>
      </c>
    </row>
    <row r="860" spans="1:20" ht="22.2" hidden="1" customHeight="1">
      <c r="A860" s="379"/>
      <c r="B860" s="406" t="s">
        <v>910</v>
      </c>
      <c r="C860" s="469" t="str">
        <f t="shared" si="141"/>
        <v>x</v>
      </c>
      <c r="D860" s="440">
        <v>4</v>
      </c>
      <c r="E860" s="422"/>
      <c r="F860" s="441" t="str">
        <f>VLOOKUP($B860,[1]DG!A:D,[1]DG!$C$2,)</f>
        <v>Boulon 16x35+ 2 long đền vuông D18-50x50x3/Zn</v>
      </c>
      <c r="G860" s="422" t="str">
        <f>VLOOKUP($B860,[1]DG!A:D,[1]DG!$D$2,)</f>
        <v>bộ</v>
      </c>
      <c r="H860" s="435">
        <f t="shared" si="156"/>
        <v>12</v>
      </c>
      <c r="I860" s="435">
        <f t="shared" si="157"/>
        <v>0</v>
      </c>
      <c r="J860" s="435">
        <f t="shared" si="157"/>
        <v>0</v>
      </c>
      <c r="K860" s="435">
        <f t="shared" si="158"/>
        <v>12</v>
      </c>
      <c r="L860" s="435">
        <f t="shared" si="159"/>
        <v>0</v>
      </c>
      <c r="M860" s="435">
        <f t="shared" si="159"/>
        <v>0</v>
      </c>
      <c r="N860" s="435">
        <f t="shared" si="159"/>
        <v>0</v>
      </c>
      <c r="O860" s="435"/>
      <c r="P860" s="435">
        <f t="shared" si="160"/>
        <v>12</v>
      </c>
      <c r="Q860" s="442">
        <f t="shared" si="161"/>
        <v>0</v>
      </c>
      <c r="R860" s="442"/>
      <c r="S860" s="442"/>
      <c r="T860" s="432">
        <f t="shared" si="140"/>
        <v>0</v>
      </c>
    </row>
    <row r="861" spans="1:20" ht="22.2" hidden="1" customHeight="1">
      <c r="A861" s="379"/>
      <c r="B861" s="406" t="s">
        <v>379</v>
      </c>
      <c r="C861" s="469" t="str">
        <f t="shared" si="141"/>
        <v>x</v>
      </c>
      <c r="D861" s="440">
        <v>1</v>
      </c>
      <c r="E861" s="473" t="str">
        <f>VLOOKUP($B861,[1]DG!A:D,[1]DG!$B$2,)</f>
        <v>05.6203</v>
      </c>
      <c r="F861" s="434" t="str">
        <f>VLOOKUP($B861,[1]DG!A:D,[1]DG!$C$2,)</f>
        <v>Lắp xà néo ≤ 100kg</v>
      </c>
      <c r="G861" s="422" t="str">
        <f>VLOOKUP($B861,[1]DG!A:D,[1]DG!$D$2,)</f>
        <v>bộ</v>
      </c>
      <c r="H861" s="435">
        <f t="shared" si="156"/>
        <v>3</v>
      </c>
      <c r="I861" s="435"/>
      <c r="J861" s="435"/>
      <c r="K861" s="435"/>
      <c r="L861" s="435"/>
      <c r="M861" s="435"/>
      <c r="N861" s="435"/>
      <c r="O861" s="435"/>
      <c r="P861" s="435">
        <f t="shared" si="160"/>
        <v>3</v>
      </c>
      <c r="Q861" s="442">
        <f t="shared" si="161"/>
        <v>0</v>
      </c>
      <c r="R861" s="437"/>
      <c r="S861" s="437"/>
      <c r="T861" s="432">
        <f t="shared" ref="T861:T935" si="162">IFERROR(HLOOKUP(B861,BangKeTru,3,0),0)</f>
        <v>0</v>
      </c>
    </row>
    <row r="862" spans="1:20" ht="22.2" hidden="1" customHeight="1">
      <c r="A862" s="379"/>
      <c r="B862" s="410" t="s">
        <v>881</v>
      </c>
      <c r="C862" s="469" t="str">
        <f t="shared" ref="C862:C936" si="163">IF(OR(P862&lt;&gt;0,H862&lt;&gt;0),"x"," ")</f>
        <v xml:space="preserve"> </v>
      </c>
      <c r="D862" s="433">
        <f>D863</f>
        <v>0</v>
      </c>
      <c r="E862" s="422" t="str">
        <f>VLOOKUP($B862,[1]DG!A:D,[1]DG!$B$2,)</f>
        <v>02.1115</v>
      </c>
      <c r="F862" s="434" t="str">
        <f>VLOOKUP($B862,[1]DG!A:D,[1]DG!$C$2,)</f>
        <v>Bốc dỡ xà, thép thanh</v>
      </c>
      <c r="G862" s="422" t="str">
        <f>VLOOKUP($B862,[1]DG!A:D,[1]DG!$D$2,)</f>
        <v>tấn</v>
      </c>
      <c r="H862" s="435"/>
      <c r="I862" s="435"/>
      <c r="J862" s="435"/>
      <c r="K862" s="435"/>
      <c r="L862" s="435"/>
      <c r="M862" s="435"/>
      <c r="N862" s="435"/>
      <c r="O862" s="435"/>
      <c r="P862" s="435"/>
      <c r="Q862" s="437"/>
      <c r="R862" s="437"/>
      <c r="S862" s="437"/>
      <c r="T862" s="432">
        <f t="shared" si="162"/>
        <v>0</v>
      </c>
    </row>
    <row r="863" spans="1:20" ht="22.2" hidden="1" customHeight="1">
      <c r="A863" s="379"/>
      <c r="B863" s="438" t="s">
        <v>882</v>
      </c>
      <c r="C863" s="469" t="str">
        <f t="shared" si="163"/>
        <v xml:space="preserve"> </v>
      </c>
      <c r="D863" s="433">
        <f>ROUND(SUM(D855:D856)*1.05/1000,3)*0</f>
        <v>0</v>
      </c>
      <c r="E863" s="422" t="str">
        <f>VLOOKUP($B863,[1]DG!A:C,2,)</f>
        <v>02.1361</v>
      </c>
      <c r="F863" s="434" t="str">
        <f>VLOOKUP($B863,[1]DG!A:C,3,)</f>
        <v>V/c xà vào vị trí (cư ly &lt;=100m)</v>
      </c>
      <c r="G863" s="422" t="str">
        <f>VLOOKUP($B863,[1]DG!A:D,4,0)</f>
        <v>tấn</v>
      </c>
      <c r="H863" s="435"/>
      <c r="I863" s="435"/>
      <c r="J863" s="435"/>
      <c r="K863" s="435"/>
      <c r="L863" s="435"/>
      <c r="M863" s="435"/>
      <c r="N863" s="435"/>
      <c r="O863" s="435"/>
      <c r="P863" s="435"/>
      <c r="Q863" s="437"/>
      <c r="R863" s="437"/>
      <c r="S863" s="437"/>
      <c r="T863" s="432">
        <f t="shared" si="162"/>
        <v>0</v>
      </c>
    </row>
    <row r="864" spans="1:20" ht="22.2" hidden="1" customHeight="1">
      <c r="A864" s="379"/>
      <c r="B864" s="438" t="s">
        <v>620</v>
      </c>
      <c r="C864" s="469" t="str">
        <f t="shared" si="163"/>
        <v xml:space="preserve"> </v>
      </c>
      <c r="D864" s="439">
        <f>0.05*0</f>
        <v>0</v>
      </c>
      <c r="E864" s="422" t="str">
        <f>VLOOKUP($B864,[1]DG!A:C,2,)</f>
        <v>02.1482</v>
      </c>
      <c r="F864" s="434" t="str">
        <f>VLOOKUP($B864,[1]DG!A:C,3,)</f>
        <v>V/c dụng cụ thi công vào vị trí (cự ly &lt;=100m)</v>
      </c>
      <c r="G864" s="422" t="str">
        <f>VLOOKUP($B864,[1]DG!A:D,4,0)</f>
        <v>tấn</v>
      </c>
      <c r="H864" s="435"/>
      <c r="I864" s="435"/>
      <c r="J864" s="435"/>
      <c r="K864" s="435"/>
      <c r="L864" s="435"/>
      <c r="M864" s="435"/>
      <c r="N864" s="435"/>
      <c r="O864" s="435"/>
      <c r="P864" s="435"/>
      <c r="Q864" s="437"/>
      <c r="R864" s="437"/>
      <c r="S864" s="437"/>
      <c r="T864" s="432">
        <f t="shared" si="162"/>
        <v>0</v>
      </c>
    </row>
    <row r="865" spans="1:20" ht="22.2" hidden="1" customHeight="1">
      <c r="A865" s="379"/>
      <c r="B865" s="438"/>
      <c r="C865" s="469" t="str">
        <f t="shared" si="163"/>
        <v xml:space="preserve"> </v>
      </c>
      <c r="D865" s="439"/>
      <c r="E865" s="422"/>
      <c r="F865" s="441"/>
      <c r="G865" s="422"/>
      <c r="H865" s="435"/>
      <c r="I865" s="435"/>
      <c r="J865" s="435"/>
      <c r="K865" s="435"/>
      <c r="L865" s="435"/>
      <c r="M865" s="435"/>
      <c r="N865" s="435"/>
      <c r="O865" s="435"/>
      <c r="P865" s="435"/>
      <c r="Q865" s="437"/>
      <c r="R865" s="437"/>
      <c r="S865" s="437"/>
      <c r="T865" s="432">
        <f t="shared" si="162"/>
        <v>0</v>
      </c>
    </row>
    <row r="866" spans="1:20" ht="22.2" hidden="1" customHeight="1">
      <c r="A866" s="379"/>
      <c r="B866" s="438"/>
      <c r="C866" s="469" t="str">
        <f t="shared" si="163"/>
        <v xml:space="preserve"> </v>
      </c>
      <c r="D866" s="439"/>
      <c r="E866" s="422"/>
      <c r="F866" s="441"/>
      <c r="G866" s="422"/>
      <c r="H866" s="435"/>
      <c r="I866" s="435"/>
      <c r="J866" s="435"/>
      <c r="K866" s="435"/>
      <c r="L866" s="435"/>
      <c r="M866" s="435"/>
      <c r="N866" s="435"/>
      <c r="O866" s="435"/>
      <c r="P866" s="435"/>
      <c r="Q866" s="437"/>
      <c r="R866" s="437"/>
      <c r="S866" s="437"/>
      <c r="T866" s="432">
        <f t="shared" si="162"/>
        <v>0</v>
      </c>
    </row>
    <row r="867" spans="1:20" ht="22.2" hidden="1" customHeight="1">
      <c r="A867" s="423" t="s">
        <v>911</v>
      </c>
      <c r="B867" s="424" t="s">
        <v>912</v>
      </c>
      <c r="C867" s="469" t="str">
        <f t="shared" si="163"/>
        <v xml:space="preserve"> </v>
      </c>
      <c r="D867" s="426"/>
      <c r="E867" s="427"/>
      <c r="F867" s="428" t="s">
        <v>913</v>
      </c>
      <c r="G867" s="349" t="s">
        <v>67</v>
      </c>
      <c r="H867" s="429">
        <f>SUM(I867:O867)</f>
        <v>0</v>
      </c>
      <c r="I867" s="430"/>
      <c r="J867" s="430"/>
      <c r="K867" s="430">
        <f>IFERROR(HLOOKUP(B867,[1]pp3p1m!$1:$3,3,0),0)</f>
        <v>0</v>
      </c>
      <c r="L867" s="430">
        <f>IFERROR(HLOOKUP(chitiet!B867,[1]pp1p!$1:$3,3,0),0)</f>
        <v>0</v>
      </c>
      <c r="M867" s="430"/>
      <c r="N867" s="430"/>
      <c r="O867" s="430"/>
      <c r="P867" s="430">
        <f>H867+Q867-R867</f>
        <v>0</v>
      </c>
      <c r="Q867" s="431"/>
      <c r="R867" s="431"/>
      <c r="S867" s="431"/>
      <c r="T867" s="432">
        <f>IFERROR(HLOOKUP(B867,[1]pp1p!$1:$3,3,0),0)+IFERROR(HLOOKUP(B867,[1]pp3p1m!$1:$3,3,0),0)</f>
        <v>0</v>
      </c>
    </row>
    <row r="868" spans="1:20" ht="22.2" hidden="1" customHeight="1">
      <c r="A868" s="379"/>
      <c r="B868" s="410" t="s">
        <v>889</v>
      </c>
      <c r="C868" s="469" t="str">
        <f t="shared" si="163"/>
        <v xml:space="preserve"> </v>
      </c>
      <c r="D868" s="439">
        <v>1</v>
      </c>
      <c r="E868" s="422"/>
      <c r="F868" s="441" t="str">
        <f>VLOOKUP($B868,[1]DG!A:D,[1]DG!$C$2,)</f>
        <v>Sắt góc L75 x75 x8 x2200</v>
      </c>
      <c r="G868" s="422" t="str">
        <f>VLOOKUP($B868,[1]DG!A:D,[1]DG!$D$2,)</f>
        <v>cái</v>
      </c>
      <c r="H868" s="476">
        <f t="shared" ref="H868:R873" si="164">H$867*$D868</f>
        <v>0</v>
      </c>
      <c r="I868" s="435">
        <f t="shared" si="164"/>
        <v>0</v>
      </c>
      <c r="J868" s="435">
        <f t="shared" si="164"/>
        <v>0</v>
      </c>
      <c r="K868" s="435">
        <f t="shared" si="164"/>
        <v>0</v>
      </c>
      <c r="L868" s="435">
        <f t="shared" si="164"/>
        <v>0</v>
      </c>
      <c r="M868" s="435">
        <f t="shared" si="164"/>
        <v>0</v>
      </c>
      <c r="N868" s="435">
        <f t="shared" si="164"/>
        <v>0</v>
      </c>
      <c r="O868" s="435">
        <f t="shared" si="164"/>
        <v>0</v>
      </c>
      <c r="P868" s="476">
        <f t="shared" si="164"/>
        <v>0</v>
      </c>
      <c r="Q868" s="435">
        <f t="shared" si="164"/>
        <v>0</v>
      </c>
      <c r="R868" s="435">
        <f t="shared" si="164"/>
        <v>0</v>
      </c>
      <c r="S868" s="442"/>
      <c r="T868" s="432">
        <f t="shared" si="162"/>
        <v>0</v>
      </c>
    </row>
    <row r="869" spans="1:20" ht="22.2" hidden="1" customHeight="1">
      <c r="A869" s="379"/>
      <c r="B869" s="410" t="s">
        <v>914</v>
      </c>
      <c r="C869" s="469" t="str">
        <f t="shared" si="163"/>
        <v xml:space="preserve"> </v>
      </c>
      <c r="D869" s="439">
        <v>2</v>
      </c>
      <c r="E869" s="422"/>
      <c r="F869" s="441" t="str">
        <f>VLOOKUP($B869,[1]DG!A:D,[1]DG!$C$2,)</f>
        <v>Sắt góc L50 x50 x5 x920</v>
      </c>
      <c r="G869" s="422" t="str">
        <f>VLOOKUP($B869,[1]DG!A:D,[1]DG!$D$2,)</f>
        <v>cái</v>
      </c>
      <c r="H869" s="476">
        <f t="shared" si="164"/>
        <v>0</v>
      </c>
      <c r="I869" s="435">
        <f t="shared" ref="I869:J873" si="165">I$798*$D869</f>
        <v>0</v>
      </c>
      <c r="J869" s="435">
        <f t="shared" si="165"/>
        <v>0</v>
      </c>
      <c r="K869" s="435">
        <f t="shared" si="164"/>
        <v>0</v>
      </c>
      <c r="L869" s="435">
        <f t="shared" ref="L869:N873" si="166">L$798*$D869</f>
        <v>0</v>
      </c>
      <c r="M869" s="435">
        <f t="shared" si="166"/>
        <v>0</v>
      </c>
      <c r="N869" s="435">
        <f t="shared" si="166"/>
        <v>0</v>
      </c>
      <c r="O869" s="435"/>
      <c r="P869" s="476">
        <f t="shared" si="164"/>
        <v>0</v>
      </c>
      <c r="Q869" s="435">
        <f t="shared" si="164"/>
        <v>0</v>
      </c>
      <c r="R869" s="435">
        <f t="shared" si="164"/>
        <v>0</v>
      </c>
      <c r="S869" s="442"/>
      <c r="T869" s="432">
        <f t="shared" si="162"/>
        <v>0</v>
      </c>
    </row>
    <row r="870" spans="1:20" ht="22.2" hidden="1" customHeight="1">
      <c r="A870" s="379"/>
      <c r="B870" s="410" t="s">
        <v>237</v>
      </c>
      <c r="C870" s="469" t="str">
        <f t="shared" si="163"/>
        <v xml:space="preserve"> </v>
      </c>
      <c r="D870" s="440">
        <v>1</v>
      </c>
      <c r="E870" s="422"/>
      <c r="F870" s="441" t="str">
        <f>VLOOKUP($B870,[1]DG!A:D,[1]DG!$C$2,)</f>
        <v>Boulon 16x250+ 2 long đền vuông D18-50x50x3/Zn</v>
      </c>
      <c r="G870" s="422" t="str">
        <f>VLOOKUP($B870,[1]DG!A:D,[1]DG!$D$2,)</f>
        <v>bộ</v>
      </c>
      <c r="H870" s="435">
        <f t="shared" si="164"/>
        <v>0</v>
      </c>
      <c r="I870" s="435">
        <f t="shared" si="165"/>
        <v>0</v>
      </c>
      <c r="J870" s="435">
        <f t="shared" si="165"/>
        <v>0</v>
      </c>
      <c r="K870" s="435">
        <f t="shared" si="164"/>
        <v>0</v>
      </c>
      <c r="L870" s="435">
        <f t="shared" si="166"/>
        <v>0</v>
      </c>
      <c r="M870" s="435">
        <f t="shared" si="166"/>
        <v>0</v>
      </c>
      <c r="N870" s="435">
        <f t="shared" si="166"/>
        <v>0</v>
      </c>
      <c r="O870" s="435"/>
      <c r="P870" s="435">
        <f t="shared" si="164"/>
        <v>0</v>
      </c>
      <c r="Q870" s="435">
        <f t="shared" si="164"/>
        <v>0</v>
      </c>
      <c r="R870" s="435">
        <f t="shared" si="164"/>
        <v>0</v>
      </c>
      <c r="S870" s="442"/>
      <c r="T870" s="432">
        <f t="shared" si="162"/>
        <v>0</v>
      </c>
    </row>
    <row r="871" spans="1:20" ht="22.2" hidden="1" customHeight="1">
      <c r="A871" s="379"/>
      <c r="B871" s="410" t="s">
        <v>65</v>
      </c>
      <c r="C871" s="469" t="str">
        <f t="shared" si="163"/>
        <v xml:space="preserve"> </v>
      </c>
      <c r="D871" s="440">
        <v>1</v>
      </c>
      <c r="E871" s="422"/>
      <c r="F871" s="441" t="str">
        <f>VLOOKUP($B871,[1]DG!A:D,[1]DG!$C$2,)</f>
        <v>Boulon 16x300+ 2 long đền vuông D18-50x50x3/Zn</v>
      </c>
      <c r="G871" s="422" t="str">
        <f>VLOOKUP($B871,[1]DG!A:D,[1]DG!$D$2,)</f>
        <v>bộ</v>
      </c>
      <c r="H871" s="435">
        <f t="shared" si="164"/>
        <v>0</v>
      </c>
      <c r="I871" s="435">
        <f t="shared" si="165"/>
        <v>0</v>
      </c>
      <c r="J871" s="435">
        <f t="shared" si="165"/>
        <v>0</v>
      </c>
      <c r="K871" s="435">
        <f t="shared" si="164"/>
        <v>0</v>
      </c>
      <c r="L871" s="435">
        <f t="shared" si="166"/>
        <v>0</v>
      </c>
      <c r="M871" s="435">
        <f t="shared" si="166"/>
        <v>0</v>
      </c>
      <c r="N871" s="435">
        <f t="shared" si="166"/>
        <v>0</v>
      </c>
      <c r="O871" s="435"/>
      <c r="P871" s="435">
        <f t="shared" si="164"/>
        <v>0</v>
      </c>
      <c r="Q871" s="435">
        <f t="shared" si="164"/>
        <v>0</v>
      </c>
      <c r="R871" s="435">
        <f t="shared" si="164"/>
        <v>0</v>
      </c>
      <c r="S871" s="442"/>
      <c r="T871" s="432">
        <f t="shared" si="162"/>
        <v>0</v>
      </c>
    </row>
    <row r="872" spans="1:20" ht="22.2" hidden="1" customHeight="1">
      <c r="A872" s="379"/>
      <c r="B872" s="410" t="s">
        <v>891</v>
      </c>
      <c r="C872" s="469" t="str">
        <f t="shared" si="163"/>
        <v xml:space="preserve"> </v>
      </c>
      <c r="D872" s="440">
        <v>4</v>
      </c>
      <c r="E872" s="422"/>
      <c r="F872" s="441" t="str">
        <f>VLOOKUP($B872,[1]DG!A:D,[1]DG!$C$2,)</f>
        <v>Boulon 16x300VRS+ 4 long đền vuông D18-50x50x3/Zn</v>
      </c>
      <c r="G872" s="422" t="str">
        <f>VLOOKUP($B872,[1]DG!A:D,[1]DG!$D$2,)</f>
        <v>bộ</v>
      </c>
      <c r="H872" s="435">
        <f t="shared" si="164"/>
        <v>0</v>
      </c>
      <c r="I872" s="435">
        <f t="shared" si="165"/>
        <v>0</v>
      </c>
      <c r="J872" s="435">
        <f t="shared" si="165"/>
        <v>0</v>
      </c>
      <c r="K872" s="435">
        <f t="shared" si="164"/>
        <v>0</v>
      </c>
      <c r="L872" s="435">
        <f t="shared" si="166"/>
        <v>0</v>
      </c>
      <c r="M872" s="435">
        <f t="shared" si="166"/>
        <v>0</v>
      </c>
      <c r="N872" s="435">
        <f t="shared" si="166"/>
        <v>0</v>
      </c>
      <c r="O872" s="435"/>
      <c r="P872" s="435">
        <f t="shared" si="164"/>
        <v>0</v>
      </c>
      <c r="Q872" s="435">
        <f t="shared" si="164"/>
        <v>0</v>
      </c>
      <c r="R872" s="435">
        <f t="shared" si="164"/>
        <v>0</v>
      </c>
      <c r="S872" s="442"/>
      <c r="T872" s="432">
        <f t="shared" si="162"/>
        <v>0</v>
      </c>
    </row>
    <row r="873" spans="1:20" ht="22.2" hidden="1" customHeight="1">
      <c r="A873" s="379"/>
      <c r="B873" s="410" t="s">
        <v>231</v>
      </c>
      <c r="C873" s="469" t="str">
        <f t="shared" si="163"/>
        <v xml:space="preserve"> </v>
      </c>
      <c r="D873" s="440">
        <v>4</v>
      </c>
      <c r="E873" s="422"/>
      <c r="F873" s="441" t="str">
        <f>VLOOKUP($B873,[1]DG!A:D,[1]DG!$C$2,)</f>
        <v>Boulon 16x50+ 2 long đền vuông D18-50x50x3/Zn</v>
      </c>
      <c r="G873" s="422" t="str">
        <f>VLOOKUP($B873,[1]DG!A:D,[1]DG!$D$2,)</f>
        <v>bộ</v>
      </c>
      <c r="H873" s="435">
        <f t="shared" si="164"/>
        <v>0</v>
      </c>
      <c r="I873" s="435">
        <f t="shared" si="165"/>
        <v>0</v>
      </c>
      <c r="J873" s="435">
        <f t="shared" si="165"/>
        <v>0</v>
      </c>
      <c r="K873" s="435">
        <f t="shared" si="164"/>
        <v>0</v>
      </c>
      <c r="L873" s="435">
        <f t="shared" si="166"/>
        <v>0</v>
      </c>
      <c r="M873" s="435">
        <f t="shared" si="166"/>
        <v>0</v>
      </c>
      <c r="N873" s="435">
        <f t="shared" si="166"/>
        <v>0</v>
      </c>
      <c r="O873" s="435"/>
      <c r="P873" s="435">
        <f t="shared" si="164"/>
        <v>0</v>
      </c>
      <c r="Q873" s="435">
        <f t="shared" si="164"/>
        <v>0</v>
      </c>
      <c r="R873" s="435">
        <f t="shared" si="164"/>
        <v>0</v>
      </c>
      <c r="S873" s="442"/>
      <c r="T873" s="432">
        <f t="shared" si="162"/>
        <v>0</v>
      </c>
    </row>
    <row r="874" spans="1:20" ht="22.2" hidden="1" customHeight="1">
      <c r="A874" s="379"/>
      <c r="B874" s="410" t="s">
        <v>915</v>
      </c>
      <c r="C874" s="469" t="str">
        <f t="shared" si="163"/>
        <v xml:space="preserve"> </v>
      </c>
      <c r="D874" s="440">
        <v>1</v>
      </c>
      <c r="E874" s="422" t="str">
        <f>VLOOKUP($B874,[1]DG!A:D,[1]DG!$B$2,)</f>
        <v>05.6203</v>
      </c>
      <c r="F874" s="434" t="str">
        <f>VLOOKUP($B874,[1]DG!A:D,[1]DG!$C$2,)</f>
        <v>Lắp xà néo ≤ 100kg</v>
      </c>
      <c r="G874" s="422" t="str">
        <f>VLOOKUP($B874,[1]DG!A:D,[1]DG!$D$2,)</f>
        <v>bộ</v>
      </c>
      <c r="H874" s="435"/>
      <c r="I874" s="435"/>
      <c r="J874" s="435"/>
      <c r="K874" s="435"/>
      <c r="L874" s="435"/>
      <c r="M874" s="435"/>
      <c r="N874" s="435"/>
      <c r="O874" s="435"/>
      <c r="P874" s="435"/>
      <c r="Q874" s="437"/>
      <c r="R874" s="437"/>
      <c r="S874" s="437"/>
      <c r="T874" s="432">
        <f t="shared" si="162"/>
        <v>0</v>
      </c>
    </row>
    <row r="875" spans="1:20" ht="22.2" hidden="1" customHeight="1">
      <c r="A875" s="379"/>
      <c r="B875" s="410" t="s">
        <v>881</v>
      </c>
      <c r="C875" s="469" t="str">
        <f t="shared" si="163"/>
        <v xml:space="preserve"> </v>
      </c>
      <c r="D875" s="433">
        <f>D876</f>
        <v>0</v>
      </c>
      <c r="E875" s="422" t="str">
        <f>VLOOKUP($B875,[1]DG!A:D,[1]DG!$B$2,)</f>
        <v>02.1115</v>
      </c>
      <c r="F875" s="434" t="str">
        <f>VLOOKUP($B875,[1]DG!A:D,[1]DG!$C$2,)</f>
        <v>Bốc dỡ xà, thép thanh</v>
      </c>
      <c r="G875" s="422" t="str">
        <f>VLOOKUP($B875,[1]DG!A:D,[1]DG!$D$2,)</f>
        <v>tấn</v>
      </c>
      <c r="H875" s="435"/>
      <c r="I875" s="435"/>
      <c r="J875" s="435"/>
      <c r="K875" s="435"/>
      <c r="L875" s="435"/>
      <c r="M875" s="435"/>
      <c r="N875" s="435"/>
      <c r="O875" s="435"/>
      <c r="P875" s="435"/>
      <c r="Q875" s="437"/>
      <c r="R875" s="437"/>
      <c r="S875" s="437"/>
      <c r="T875" s="432">
        <f t="shared" si="162"/>
        <v>0</v>
      </c>
    </row>
    <row r="876" spans="1:20" ht="22.2" hidden="1" customHeight="1">
      <c r="A876" s="379"/>
      <c r="B876" s="438" t="s">
        <v>882</v>
      </c>
      <c r="C876" s="469" t="str">
        <f t="shared" si="163"/>
        <v xml:space="preserve"> </v>
      </c>
      <c r="D876" s="433">
        <f>ROUND(SUM(D868:D869)*1.05/1000,3)*0</f>
        <v>0</v>
      </c>
      <c r="E876" s="422" t="str">
        <f>VLOOKUP($B876,[1]DG!A:C,2,)</f>
        <v>02.1361</v>
      </c>
      <c r="F876" s="434" t="str">
        <f>VLOOKUP($B876,[1]DG!A:C,3,)</f>
        <v>V/c xà vào vị trí (cư ly &lt;=100m)</v>
      </c>
      <c r="G876" s="422" t="str">
        <f>VLOOKUP($B876,[1]DG!A:D,4,0)</f>
        <v>tấn</v>
      </c>
      <c r="H876" s="435"/>
      <c r="I876" s="435"/>
      <c r="J876" s="435"/>
      <c r="K876" s="435"/>
      <c r="L876" s="435"/>
      <c r="M876" s="435"/>
      <c r="N876" s="435"/>
      <c r="O876" s="435"/>
      <c r="P876" s="435"/>
      <c r="Q876" s="437"/>
      <c r="R876" s="437"/>
      <c r="S876" s="437"/>
      <c r="T876" s="432">
        <f t="shared" si="162"/>
        <v>0</v>
      </c>
    </row>
    <row r="877" spans="1:20" ht="22.2" hidden="1" customHeight="1">
      <c r="A877" s="379"/>
      <c r="B877" s="438" t="s">
        <v>620</v>
      </c>
      <c r="C877" s="469" t="str">
        <f t="shared" si="163"/>
        <v xml:space="preserve"> </v>
      </c>
      <c r="D877" s="439">
        <f>0.05*0</f>
        <v>0</v>
      </c>
      <c r="E877" s="422" t="str">
        <f>VLOOKUP($B877,[1]DG!A:C,2,)</f>
        <v>02.1482</v>
      </c>
      <c r="F877" s="434" t="str">
        <f>VLOOKUP($B877,[1]DG!A:C,3,)</f>
        <v>V/c dụng cụ thi công vào vị trí (cự ly &lt;=100m)</v>
      </c>
      <c r="G877" s="422" t="str">
        <f>VLOOKUP($B877,[1]DG!A:D,4,0)</f>
        <v>tấn</v>
      </c>
      <c r="H877" s="435"/>
      <c r="I877" s="435"/>
      <c r="J877" s="435"/>
      <c r="K877" s="435"/>
      <c r="L877" s="435"/>
      <c r="M877" s="435"/>
      <c r="N877" s="435"/>
      <c r="O877" s="435"/>
      <c r="P877" s="435"/>
      <c r="Q877" s="437"/>
      <c r="R877" s="437"/>
      <c r="S877" s="437"/>
      <c r="T877" s="432">
        <f t="shared" si="162"/>
        <v>0</v>
      </c>
    </row>
    <row r="878" spans="1:20" ht="22.2" hidden="1" customHeight="1">
      <c r="A878" s="423" t="s">
        <v>911</v>
      </c>
      <c r="B878" s="424" t="s">
        <v>916</v>
      </c>
      <c r="C878" s="469" t="str">
        <f t="shared" si="163"/>
        <v xml:space="preserve"> </v>
      </c>
      <c r="D878" s="426"/>
      <c r="E878" s="427"/>
      <c r="F878" s="428" t="s">
        <v>917</v>
      </c>
      <c r="G878" s="349" t="s">
        <v>67</v>
      </c>
      <c r="H878" s="429">
        <f>SUM(I878:O878)</f>
        <v>0</v>
      </c>
      <c r="I878" s="430"/>
      <c r="J878" s="430"/>
      <c r="K878" s="430">
        <f>IFERROR(HLOOKUP(B878,[1]pp3p1m!$1:$3,3,0),0)</f>
        <v>0</v>
      </c>
      <c r="L878" s="430">
        <f>IFERROR(HLOOKUP(chitiet!B878,[1]pp1p!$1:$3,3,0),0)</f>
        <v>0</v>
      </c>
      <c r="M878" s="430"/>
      <c r="N878" s="430"/>
      <c r="O878" s="430"/>
      <c r="P878" s="430">
        <f>H878+Q878-R878</f>
        <v>0</v>
      </c>
      <c r="Q878" s="431"/>
      <c r="R878" s="431"/>
      <c r="S878" s="431"/>
      <c r="T878" s="432">
        <f>IFERROR(HLOOKUP(B878,[1]pp1p!$1:$3,3,0),0)+IFERROR(HLOOKUP(B878,[1]pp3p1m!$1:$3,3,0),0)</f>
        <v>0</v>
      </c>
    </row>
    <row r="879" spans="1:20" ht="22.2" hidden="1" customHeight="1">
      <c r="A879" s="379"/>
      <c r="B879" s="410" t="s">
        <v>889</v>
      </c>
      <c r="C879" s="469" t="str">
        <f t="shared" si="163"/>
        <v xml:space="preserve"> </v>
      </c>
      <c r="D879" s="439">
        <v>2</v>
      </c>
      <c r="E879" s="422"/>
      <c r="F879" s="441" t="str">
        <f>VLOOKUP($B879,[1]DG!A:D,[1]DG!$C$2,)</f>
        <v>Sắt góc L75 x75 x8 x2200</v>
      </c>
      <c r="G879" s="422" t="str">
        <f>VLOOKUP($B879,[1]DG!A:D,[1]DG!$D$2,)</f>
        <v>cái</v>
      </c>
      <c r="H879" s="476">
        <f t="shared" ref="H879:H884" si="167">H$867*$D879</f>
        <v>0</v>
      </c>
      <c r="I879" s="435">
        <f t="shared" ref="I879:J884" si="168">I$798*$D879</f>
        <v>0</v>
      </c>
      <c r="J879" s="435">
        <f t="shared" si="168"/>
        <v>0</v>
      </c>
      <c r="K879" s="435">
        <f t="shared" ref="K879:K884" si="169">K$867*$D879</f>
        <v>0</v>
      </c>
      <c r="L879" s="435">
        <f t="shared" ref="L879:N884" si="170">L$798*$D879</f>
        <v>0</v>
      </c>
      <c r="M879" s="435">
        <f t="shared" si="170"/>
        <v>0</v>
      </c>
      <c r="N879" s="435">
        <f t="shared" si="170"/>
        <v>0</v>
      </c>
      <c r="O879" s="435"/>
      <c r="P879" s="476">
        <f t="shared" ref="P879:R884" si="171">P$867*$D879</f>
        <v>0</v>
      </c>
      <c r="Q879" s="476">
        <f t="shared" si="171"/>
        <v>0</v>
      </c>
      <c r="R879" s="476">
        <f t="shared" si="171"/>
        <v>0</v>
      </c>
      <c r="S879" s="442"/>
      <c r="T879" s="432">
        <f t="shared" ref="T879:T888" si="172">IFERROR(HLOOKUP(B879,BangKeTru,3,0),0)</f>
        <v>0</v>
      </c>
    </row>
    <row r="880" spans="1:20" ht="22.2" hidden="1" customHeight="1">
      <c r="A880" s="379"/>
      <c r="B880" s="410" t="s">
        <v>914</v>
      </c>
      <c r="C880" s="469" t="str">
        <f t="shared" si="163"/>
        <v xml:space="preserve"> </v>
      </c>
      <c r="D880" s="439">
        <v>4</v>
      </c>
      <c r="E880" s="422"/>
      <c r="F880" s="441" t="str">
        <f>VLOOKUP($B880,[1]DG!A:D,[1]DG!$C$2,)</f>
        <v>Sắt góc L50 x50 x5 x920</v>
      </c>
      <c r="G880" s="422" t="str">
        <f>VLOOKUP($B880,[1]DG!A:D,[1]DG!$D$2,)</f>
        <v>cái</v>
      </c>
      <c r="H880" s="476">
        <f t="shared" si="167"/>
        <v>0</v>
      </c>
      <c r="I880" s="435">
        <f t="shared" si="168"/>
        <v>0</v>
      </c>
      <c r="J880" s="435">
        <f t="shared" si="168"/>
        <v>0</v>
      </c>
      <c r="K880" s="435">
        <f t="shared" si="169"/>
        <v>0</v>
      </c>
      <c r="L880" s="435">
        <f t="shared" si="170"/>
        <v>0</v>
      </c>
      <c r="M880" s="435">
        <f t="shared" si="170"/>
        <v>0</v>
      </c>
      <c r="N880" s="435">
        <f t="shared" si="170"/>
        <v>0</v>
      </c>
      <c r="O880" s="435"/>
      <c r="P880" s="476">
        <f t="shared" si="171"/>
        <v>0</v>
      </c>
      <c r="Q880" s="476">
        <f t="shared" si="171"/>
        <v>0</v>
      </c>
      <c r="R880" s="476">
        <f t="shared" si="171"/>
        <v>0</v>
      </c>
      <c r="S880" s="442"/>
      <c r="T880" s="432">
        <f t="shared" si="172"/>
        <v>0</v>
      </c>
    </row>
    <row r="881" spans="1:20" ht="22.2" hidden="1" customHeight="1">
      <c r="A881" s="379"/>
      <c r="B881" s="410" t="s">
        <v>237</v>
      </c>
      <c r="C881" s="469" t="str">
        <f t="shared" si="163"/>
        <v xml:space="preserve"> </v>
      </c>
      <c r="D881" s="440">
        <v>2</v>
      </c>
      <c r="E881" s="422"/>
      <c r="F881" s="441" t="str">
        <f>VLOOKUP($B881,[1]DG!A:D,[1]DG!$C$2,)</f>
        <v>Boulon 16x250+ 2 long đền vuông D18-50x50x3/Zn</v>
      </c>
      <c r="G881" s="422" t="str">
        <f>VLOOKUP($B881,[1]DG!A:D,[1]DG!$D$2,)</f>
        <v>bộ</v>
      </c>
      <c r="H881" s="435">
        <f t="shared" si="167"/>
        <v>0</v>
      </c>
      <c r="I881" s="435">
        <f t="shared" si="168"/>
        <v>0</v>
      </c>
      <c r="J881" s="435">
        <f t="shared" si="168"/>
        <v>0</v>
      </c>
      <c r="K881" s="435">
        <f t="shared" si="169"/>
        <v>0</v>
      </c>
      <c r="L881" s="435">
        <f t="shared" si="170"/>
        <v>0</v>
      </c>
      <c r="M881" s="435">
        <f t="shared" si="170"/>
        <v>0</v>
      </c>
      <c r="N881" s="435">
        <f t="shared" si="170"/>
        <v>0</v>
      </c>
      <c r="O881" s="435"/>
      <c r="P881" s="435">
        <f t="shared" si="171"/>
        <v>0</v>
      </c>
      <c r="Q881" s="435">
        <f t="shared" si="171"/>
        <v>0</v>
      </c>
      <c r="R881" s="435">
        <f t="shared" si="171"/>
        <v>0</v>
      </c>
      <c r="S881" s="442"/>
      <c r="T881" s="432">
        <f t="shared" si="172"/>
        <v>0</v>
      </c>
    </row>
    <row r="882" spans="1:20" ht="22.2" hidden="1" customHeight="1">
      <c r="A882" s="379"/>
      <c r="B882" s="410" t="s">
        <v>65</v>
      </c>
      <c r="C882" s="469" t="str">
        <f t="shared" si="163"/>
        <v xml:space="preserve"> </v>
      </c>
      <c r="D882" s="440">
        <v>2</v>
      </c>
      <c r="E882" s="422"/>
      <c r="F882" s="441" t="str">
        <f>VLOOKUP($B882,[1]DG!A:D,[1]DG!$C$2,)</f>
        <v>Boulon 16x300+ 2 long đền vuông D18-50x50x3/Zn</v>
      </c>
      <c r="G882" s="422" t="str">
        <f>VLOOKUP($B882,[1]DG!A:D,[1]DG!$D$2,)</f>
        <v>bộ</v>
      </c>
      <c r="H882" s="435">
        <f t="shared" si="167"/>
        <v>0</v>
      </c>
      <c r="I882" s="435">
        <f t="shared" si="168"/>
        <v>0</v>
      </c>
      <c r="J882" s="435">
        <f t="shared" si="168"/>
        <v>0</v>
      </c>
      <c r="K882" s="435">
        <f t="shared" si="169"/>
        <v>0</v>
      </c>
      <c r="L882" s="435">
        <f t="shared" si="170"/>
        <v>0</v>
      </c>
      <c r="M882" s="435">
        <f t="shared" si="170"/>
        <v>0</v>
      </c>
      <c r="N882" s="435">
        <f t="shared" si="170"/>
        <v>0</v>
      </c>
      <c r="O882" s="435"/>
      <c r="P882" s="435">
        <f t="shared" si="171"/>
        <v>0</v>
      </c>
      <c r="Q882" s="435">
        <f t="shared" si="171"/>
        <v>0</v>
      </c>
      <c r="R882" s="435">
        <f t="shared" si="171"/>
        <v>0</v>
      </c>
      <c r="S882" s="442"/>
      <c r="T882" s="432">
        <f t="shared" si="172"/>
        <v>0</v>
      </c>
    </row>
    <row r="883" spans="1:20" ht="22.2" hidden="1" customHeight="1">
      <c r="A883" s="379"/>
      <c r="B883" s="410" t="s">
        <v>891</v>
      </c>
      <c r="C883" s="469" t="str">
        <f t="shared" si="163"/>
        <v xml:space="preserve"> </v>
      </c>
      <c r="D883" s="440">
        <v>4</v>
      </c>
      <c r="E883" s="422"/>
      <c r="F883" s="441" t="str">
        <f>VLOOKUP($B883,[1]DG!A:D,[1]DG!$C$2,)</f>
        <v>Boulon 16x300VRS+ 4 long đền vuông D18-50x50x3/Zn</v>
      </c>
      <c r="G883" s="422" t="str">
        <f>VLOOKUP($B883,[1]DG!A:D,[1]DG!$D$2,)</f>
        <v>bộ</v>
      </c>
      <c r="H883" s="435">
        <f t="shared" si="167"/>
        <v>0</v>
      </c>
      <c r="I883" s="435">
        <f t="shared" si="168"/>
        <v>0</v>
      </c>
      <c r="J883" s="435">
        <f t="shared" si="168"/>
        <v>0</v>
      </c>
      <c r="K883" s="435">
        <f t="shared" si="169"/>
        <v>0</v>
      </c>
      <c r="L883" s="435">
        <f t="shared" si="170"/>
        <v>0</v>
      </c>
      <c r="M883" s="435">
        <f t="shared" si="170"/>
        <v>0</v>
      </c>
      <c r="N883" s="435">
        <f t="shared" si="170"/>
        <v>0</v>
      </c>
      <c r="O883" s="435"/>
      <c r="P883" s="435">
        <f t="shared" si="171"/>
        <v>0</v>
      </c>
      <c r="Q883" s="435">
        <f t="shared" si="171"/>
        <v>0</v>
      </c>
      <c r="R883" s="435">
        <f t="shared" si="171"/>
        <v>0</v>
      </c>
      <c r="S883" s="442"/>
      <c r="T883" s="432">
        <f t="shared" si="172"/>
        <v>0</v>
      </c>
    </row>
    <row r="884" spans="1:20" ht="22.2" hidden="1" customHeight="1">
      <c r="A884" s="379"/>
      <c r="B884" s="410" t="s">
        <v>231</v>
      </c>
      <c r="C884" s="469" t="str">
        <f t="shared" si="163"/>
        <v xml:space="preserve"> </v>
      </c>
      <c r="D884" s="440">
        <v>4</v>
      </c>
      <c r="E884" s="422"/>
      <c r="F884" s="441" t="str">
        <f>VLOOKUP($B884,[1]DG!A:D,[1]DG!$C$2,)</f>
        <v>Boulon 16x50+ 2 long đền vuông D18-50x50x3/Zn</v>
      </c>
      <c r="G884" s="422" t="str">
        <f>VLOOKUP($B884,[1]DG!A:D,[1]DG!$D$2,)</f>
        <v>bộ</v>
      </c>
      <c r="H884" s="435">
        <f t="shared" si="167"/>
        <v>0</v>
      </c>
      <c r="I884" s="435">
        <f t="shared" si="168"/>
        <v>0</v>
      </c>
      <c r="J884" s="435">
        <f t="shared" si="168"/>
        <v>0</v>
      </c>
      <c r="K884" s="435">
        <f t="shared" si="169"/>
        <v>0</v>
      </c>
      <c r="L884" s="435">
        <f t="shared" si="170"/>
        <v>0</v>
      </c>
      <c r="M884" s="435">
        <f t="shared" si="170"/>
        <v>0</v>
      </c>
      <c r="N884" s="435">
        <f t="shared" si="170"/>
        <v>0</v>
      </c>
      <c r="O884" s="435"/>
      <c r="P884" s="435">
        <f t="shared" si="171"/>
        <v>0</v>
      </c>
      <c r="Q884" s="435">
        <f t="shared" si="171"/>
        <v>0</v>
      </c>
      <c r="R884" s="435">
        <f t="shared" si="171"/>
        <v>0</v>
      </c>
      <c r="S884" s="442"/>
      <c r="T884" s="432">
        <f t="shared" si="172"/>
        <v>0</v>
      </c>
    </row>
    <row r="885" spans="1:20" ht="22.2" hidden="1" customHeight="1">
      <c r="A885" s="379"/>
      <c r="B885" s="410" t="s">
        <v>915</v>
      </c>
      <c r="C885" s="469" t="str">
        <f t="shared" si="163"/>
        <v xml:space="preserve"> </v>
      </c>
      <c r="D885" s="440">
        <v>1</v>
      </c>
      <c r="E885" s="422" t="str">
        <f>VLOOKUP($B885,[1]DG!A:D,[1]DG!$B$2,)</f>
        <v>05.6203</v>
      </c>
      <c r="F885" s="434" t="str">
        <f>VLOOKUP($B885,[1]DG!A:D,[1]DG!$C$2,)</f>
        <v>Lắp xà néo ≤ 100kg</v>
      </c>
      <c r="G885" s="422" t="str">
        <f>VLOOKUP($B885,[1]DG!A:D,[1]DG!$D$2,)</f>
        <v>bộ</v>
      </c>
      <c r="H885" s="435"/>
      <c r="I885" s="435"/>
      <c r="J885" s="435"/>
      <c r="K885" s="435"/>
      <c r="L885" s="435"/>
      <c r="M885" s="435"/>
      <c r="N885" s="435"/>
      <c r="O885" s="435"/>
      <c r="P885" s="435"/>
      <c r="Q885" s="437"/>
      <c r="R885" s="437"/>
      <c r="S885" s="437"/>
      <c r="T885" s="432">
        <f t="shared" si="172"/>
        <v>0</v>
      </c>
    </row>
    <row r="886" spans="1:20" ht="22.2" hidden="1" customHeight="1">
      <c r="A886" s="379"/>
      <c r="B886" s="410" t="s">
        <v>881</v>
      </c>
      <c r="C886" s="469" t="str">
        <f t="shared" si="163"/>
        <v xml:space="preserve"> </v>
      </c>
      <c r="D886" s="433">
        <f>D887</f>
        <v>0</v>
      </c>
      <c r="E886" s="422" t="str">
        <f>VLOOKUP($B886,[1]DG!A:D,[1]DG!$B$2,)</f>
        <v>02.1115</v>
      </c>
      <c r="F886" s="434" t="str">
        <f>VLOOKUP($B886,[1]DG!A:D,[1]DG!$C$2,)</f>
        <v>Bốc dỡ xà, thép thanh</v>
      </c>
      <c r="G886" s="422" t="str">
        <f>VLOOKUP($B886,[1]DG!A:D,[1]DG!$D$2,)</f>
        <v>tấn</v>
      </c>
      <c r="H886" s="435"/>
      <c r="I886" s="435"/>
      <c r="J886" s="435"/>
      <c r="K886" s="435"/>
      <c r="L886" s="435"/>
      <c r="M886" s="435"/>
      <c r="N886" s="435"/>
      <c r="O886" s="435"/>
      <c r="P886" s="435"/>
      <c r="Q886" s="437"/>
      <c r="R886" s="437"/>
      <c r="S886" s="437"/>
      <c r="T886" s="432">
        <f t="shared" si="172"/>
        <v>0</v>
      </c>
    </row>
    <row r="887" spans="1:20" ht="22.2" hidden="1" customHeight="1">
      <c r="A887" s="379"/>
      <c r="B887" s="438" t="s">
        <v>882</v>
      </c>
      <c r="C887" s="469" t="str">
        <f t="shared" si="163"/>
        <v xml:space="preserve"> </v>
      </c>
      <c r="D887" s="433">
        <f>ROUND(SUM(D879:D880)*1.05/1000,3)*0</f>
        <v>0</v>
      </c>
      <c r="E887" s="422" t="str">
        <f>VLOOKUP($B887,[1]DG!A:C,2,)</f>
        <v>02.1361</v>
      </c>
      <c r="F887" s="434" t="str">
        <f>VLOOKUP($B887,[1]DG!A:C,3,)</f>
        <v>V/c xà vào vị trí (cư ly &lt;=100m)</v>
      </c>
      <c r="G887" s="422" t="str">
        <f>VLOOKUP($B887,[1]DG!A:D,4,0)</f>
        <v>tấn</v>
      </c>
      <c r="H887" s="435"/>
      <c r="I887" s="435"/>
      <c r="J887" s="435"/>
      <c r="K887" s="435"/>
      <c r="L887" s="435"/>
      <c r="M887" s="435"/>
      <c r="N887" s="435"/>
      <c r="O887" s="435"/>
      <c r="P887" s="435"/>
      <c r="Q887" s="437"/>
      <c r="R887" s="437"/>
      <c r="S887" s="437"/>
      <c r="T887" s="432">
        <f t="shared" si="172"/>
        <v>0</v>
      </c>
    </row>
    <row r="888" spans="1:20" ht="22.2" hidden="1" customHeight="1">
      <c r="A888" s="379"/>
      <c r="B888" s="438" t="s">
        <v>620</v>
      </c>
      <c r="C888" s="469" t="str">
        <f t="shared" si="163"/>
        <v xml:space="preserve"> </v>
      </c>
      <c r="D888" s="439">
        <f>0.05*0</f>
        <v>0</v>
      </c>
      <c r="E888" s="422" t="str">
        <f>VLOOKUP($B888,[1]DG!A:C,2,)</f>
        <v>02.1482</v>
      </c>
      <c r="F888" s="434" t="str">
        <f>VLOOKUP($B888,[1]DG!A:C,3,)</f>
        <v>V/c dụng cụ thi công vào vị trí (cự ly &lt;=100m)</v>
      </c>
      <c r="G888" s="422" t="str">
        <f>VLOOKUP($B888,[1]DG!A:D,4,0)</f>
        <v>tấn</v>
      </c>
      <c r="H888" s="435"/>
      <c r="I888" s="435"/>
      <c r="J888" s="435"/>
      <c r="K888" s="435"/>
      <c r="L888" s="435"/>
      <c r="M888" s="435"/>
      <c r="N888" s="435"/>
      <c r="O888" s="435"/>
      <c r="P888" s="435"/>
      <c r="Q888" s="437"/>
      <c r="R888" s="437"/>
      <c r="S888" s="437"/>
      <c r="T888" s="432">
        <f t="shared" si="172"/>
        <v>0</v>
      </c>
    </row>
    <row r="889" spans="1:20" ht="22.2" hidden="1" customHeight="1">
      <c r="A889" s="423" t="s">
        <v>918</v>
      </c>
      <c r="B889" s="424" t="s">
        <v>918</v>
      </c>
      <c r="C889" s="469" t="str">
        <f t="shared" si="163"/>
        <v xml:space="preserve"> </v>
      </c>
      <c r="D889" s="426"/>
      <c r="E889" s="427"/>
      <c r="F889" s="428" t="s">
        <v>919</v>
      </c>
      <c r="G889" s="349" t="s">
        <v>67</v>
      </c>
      <c r="H889" s="429">
        <f>SUM(I889:O889)</f>
        <v>0</v>
      </c>
      <c r="I889" s="430"/>
      <c r="J889" s="430"/>
      <c r="K889" s="430">
        <f>IFERROR(HLOOKUP(B889,[1]pp3p1m!$1:$3,3,0),0)</f>
        <v>0</v>
      </c>
      <c r="L889" s="430">
        <f>IFERROR(HLOOKUP(chitiet!B889,[1]pp1p!$1:$3,3,0),0)</f>
        <v>0</v>
      </c>
      <c r="M889" s="430"/>
      <c r="N889" s="430"/>
      <c r="O889" s="430"/>
      <c r="P889" s="430">
        <f>H889+Q889-R889</f>
        <v>0</v>
      </c>
      <c r="Q889" s="431"/>
      <c r="R889" s="431"/>
      <c r="S889" s="431"/>
      <c r="T889" s="432">
        <f>IFERROR(HLOOKUP(B889,[1]pp1p!$1:$3,3,0),0)+IFERROR(HLOOKUP(B889,[1]pp3p1m!$1:$3,3,0),0)</f>
        <v>0</v>
      </c>
    </row>
    <row r="890" spans="1:20" ht="22.2" hidden="1" customHeight="1">
      <c r="A890" s="379"/>
      <c r="B890" s="410" t="s">
        <v>235</v>
      </c>
      <c r="C890" s="469" t="str">
        <f t="shared" si="163"/>
        <v xml:space="preserve"> </v>
      </c>
      <c r="D890" s="439">
        <f>9.02*(2.4+4*0.07)</f>
        <v>24.173599999999997</v>
      </c>
      <c r="E890" s="422"/>
      <c r="F890" s="441" t="str">
        <f>VLOOKUP($B890,[1]DG!A:D,[1]DG!$C$2,)</f>
        <v>Sắt góc L75 x75 x8</v>
      </c>
      <c r="G890" s="422" t="str">
        <f>VLOOKUP($B890,[1]DG!A:D,[1]DG!$D$2,)</f>
        <v>kg</v>
      </c>
      <c r="H890" s="435">
        <f t="shared" ref="H890:N893" si="173">H$889*$D890</f>
        <v>0</v>
      </c>
      <c r="I890" s="435">
        <f t="shared" si="173"/>
        <v>0</v>
      </c>
      <c r="J890" s="435">
        <f t="shared" si="173"/>
        <v>0</v>
      </c>
      <c r="K890" s="435">
        <f t="shared" si="173"/>
        <v>0</v>
      </c>
      <c r="L890" s="435">
        <f t="shared" si="173"/>
        <v>0</v>
      </c>
      <c r="M890" s="435">
        <f t="shared" si="173"/>
        <v>0</v>
      </c>
      <c r="N890" s="435">
        <f t="shared" si="173"/>
        <v>0</v>
      </c>
      <c r="O890" s="435"/>
      <c r="P890" s="435"/>
      <c r="Q890" s="442"/>
      <c r="R890" s="442"/>
      <c r="S890" s="442"/>
      <c r="T890" s="432">
        <f t="shared" si="162"/>
        <v>0</v>
      </c>
    </row>
    <row r="891" spans="1:20" ht="22.2" hidden="1" customHeight="1">
      <c r="A891" s="379"/>
      <c r="B891" s="410" t="s">
        <v>236</v>
      </c>
      <c r="C891" s="469" t="str">
        <f t="shared" si="163"/>
        <v xml:space="preserve"> </v>
      </c>
      <c r="D891" s="439">
        <f>3.77*0.92*2</f>
        <v>6.9368000000000007</v>
      </c>
      <c r="E891" s="422"/>
      <c r="F891" s="441" t="str">
        <f>VLOOKUP($B891,[1]DG!A:D,[1]DG!$C$2,)&amp;" (chống 920)"</f>
        <v>Sắt góc L50 x50 x5 (chống 920)</v>
      </c>
      <c r="G891" s="422" t="str">
        <f>VLOOKUP($B891,[1]DG!A:D,[1]DG!$D$2,)</f>
        <v>kg</v>
      </c>
      <c r="H891" s="435">
        <f t="shared" si="173"/>
        <v>0</v>
      </c>
      <c r="I891" s="435">
        <f t="shared" si="173"/>
        <v>0</v>
      </c>
      <c r="J891" s="435">
        <f t="shared" si="173"/>
        <v>0</v>
      </c>
      <c r="K891" s="435">
        <f t="shared" si="173"/>
        <v>0</v>
      </c>
      <c r="L891" s="435">
        <f t="shared" si="173"/>
        <v>0</v>
      </c>
      <c r="M891" s="435">
        <f t="shared" si="173"/>
        <v>0</v>
      </c>
      <c r="N891" s="435">
        <f t="shared" si="173"/>
        <v>0</v>
      </c>
      <c r="O891" s="435"/>
      <c r="P891" s="435"/>
      <c r="Q891" s="442"/>
      <c r="R891" s="442"/>
      <c r="S891" s="442"/>
      <c r="T891" s="432">
        <f t="shared" si="162"/>
        <v>0</v>
      </c>
    </row>
    <row r="892" spans="1:20" ht="22.2" hidden="1" customHeight="1">
      <c r="A892" s="379"/>
      <c r="B892" s="410" t="s">
        <v>65</v>
      </c>
      <c r="C892" s="469" t="str">
        <f t="shared" si="163"/>
        <v xml:space="preserve"> </v>
      </c>
      <c r="D892" s="440">
        <v>2</v>
      </c>
      <c r="E892" s="422"/>
      <c r="F892" s="441" t="str">
        <f>VLOOKUP($B892,[1]DG!A:D,[1]DG!$C$2,)</f>
        <v>Boulon 16x300+ 2 long đền vuông D18-50x50x3/Zn</v>
      </c>
      <c r="G892" s="422" t="str">
        <f>VLOOKUP($B892,[1]DG!A:D,[1]DG!$D$2,)</f>
        <v>bộ</v>
      </c>
      <c r="H892" s="435">
        <f t="shared" si="173"/>
        <v>0</v>
      </c>
      <c r="I892" s="435">
        <f t="shared" si="173"/>
        <v>0</v>
      </c>
      <c r="J892" s="435">
        <f t="shared" si="173"/>
        <v>0</v>
      </c>
      <c r="K892" s="435">
        <f t="shared" si="173"/>
        <v>0</v>
      </c>
      <c r="L892" s="435">
        <f t="shared" si="173"/>
        <v>0</v>
      </c>
      <c r="M892" s="435">
        <f t="shared" si="173"/>
        <v>0</v>
      </c>
      <c r="N892" s="435">
        <f t="shared" si="173"/>
        <v>0</v>
      </c>
      <c r="O892" s="435"/>
      <c r="P892" s="435"/>
      <c r="Q892" s="442"/>
      <c r="R892" s="442"/>
      <c r="S892" s="442"/>
      <c r="T892" s="432">
        <f t="shared" si="162"/>
        <v>0</v>
      </c>
    </row>
    <row r="893" spans="1:20" ht="22.2" hidden="1" customHeight="1">
      <c r="A893" s="379"/>
      <c r="B893" s="410" t="s">
        <v>231</v>
      </c>
      <c r="C893" s="469" t="str">
        <f t="shared" si="163"/>
        <v xml:space="preserve"> </v>
      </c>
      <c r="D893" s="440">
        <v>2</v>
      </c>
      <c r="E893" s="422"/>
      <c r="F893" s="441" t="str">
        <f>VLOOKUP($B893,[1]DG!A:D,[1]DG!$C$2,)</f>
        <v>Boulon 16x50+ 2 long đền vuông D18-50x50x3/Zn</v>
      </c>
      <c r="G893" s="422" t="str">
        <f>VLOOKUP($B893,[1]DG!A:D,[1]DG!$D$2,)</f>
        <v>bộ</v>
      </c>
      <c r="H893" s="435">
        <f t="shared" si="173"/>
        <v>0</v>
      </c>
      <c r="I893" s="435">
        <f t="shared" si="173"/>
        <v>0</v>
      </c>
      <c r="J893" s="435">
        <f t="shared" si="173"/>
        <v>0</v>
      </c>
      <c r="K893" s="435">
        <f t="shared" si="173"/>
        <v>0</v>
      </c>
      <c r="L893" s="435">
        <f t="shared" si="173"/>
        <v>0</v>
      </c>
      <c r="M893" s="435">
        <f t="shared" si="173"/>
        <v>0</v>
      </c>
      <c r="N893" s="435">
        <f t="shared" si="173"/>
        <v>0</v>
      </c>
      <c r="O893" s="435"/>
      <c r="P893" s="435"/>
      <c r="Q893" s="442"/>
      <c r="R893" s="442"/>
      <c r="S893" s="442"/>
      <c r="T893" s="432">
        <f t="shared" si="162"/>
        <v>0</v>
      </c>
    </row>
    <row r="894" spans="1:20" ht="22.2" hidden="1" customHeight="1">
      <c r="A894" s="379"/>
      <c r="B894" s="410" t="s">
        <v>238</v>
      </c>
      <c r="C894" s="469" t="str">
        <f t="shared" si="163"/>
        <v xml:space="preserve"> </v>
      </c>
      <c r="D894" s="440">
        <v>1</v>
      </c>
      <c r="E894" s="422" t="str">
        <f>VLOOKUP($B894,[1]DG!A:D,[1]DG!$B$2,)</f>
        <v>05.6102</v>
      </c>
      <c r="F894" s="434" t="str">
        <f>VLOOKUP($B894,[1]DG!A:D,[1]DG!$C$2,)</f>
        <v>Lắp xà đỡ ≤ 50kg</v>
      </c>
      <c r="G894" s="422" t="str">
        <f>VLOOKUP($B894,[1]DG!A:D,[1]DG!$D$2,)</f>
        <v>bộ</v>
      </c>
      <c r="H894" s="435"/>
      <c r="I894" s="435"/>
      <c r="J894" s="435"/>
      <c r="K894" s="435"/>
      <c r="L894" s="435"/>
      <c r="M894" s="435"/>
      <c r="N894" s="435"/>
      <c r="O894" s="435"/>
      <c r="P894" s="435"/>
      <c r="Q894" s="437"/>
      <c r="R894" s="437"/>
      <c r="S894" s="437"/>
      <c r="T894" s="432">
        <f t="shared" si="162"/>
        <v>0</v>
      </c>
    </row>
    <row r="895" spans="1:20" ht="22.2" hidden="1" customHeight="1">
      <c r="A895" s="379"/>
      <c r="B895" s="410" t="s">
        <v>881</v>
      </c>
      <c r="C895" s="469" t="str">
        <f t="shared" si="163"/>
        <v xml:space="preserve"> </v>
      </c>
      <c r="D895" s="433"/>
      <c r="E895" s="422" t="str">
        <f>VLOOKUP($B895,[1]DG!A:D,[1]DG!$B$2,)</f>
        <v>02.1115</v>
      </c>
      <c r="F895" s="434" t="str">
        <f>VLOOKUP($B895,[1]DG!A:D,[1]DG!$C$2,)</f>
        <v>Bốc dỡ xà, thép thanh</v>
      </c>
      <c r="G895" s="422" t="str">
        <f>VLOOKUP($B895,[1]DG!A:D,[1]DG!$D$2,)</f>
        <v>tấn</v>
      </c>
      <c r="H895" s="435"/>
      <c r="I895" s="435"/>
      <c r="J895" s="435"/>
      <c r="K895" s="435"/>
      <c r="L895" s="435"/>
      <c r="M895" s="435"/>
      <c r="N895" s="435"/>
      <c r="O895" s="435"/>
      <c r="P895" s="435"/>
      <c r="Q895" s="437"/>
      <c r="R895" s="437"/>
      <c r="S895" s="437"/>
      <c r="T895" s="432">
        <f t="shared" si="162"/>
        <v>0</v>
      </c>
    </row>
    <row r="896" spans="1:20" ht="22.2" hidden="1" customHeight="1">
      <c r="A896" s="379"/>
      <c r="B896" s="438" t="s">
        <v>882</v>
      </c>
      <c r="C896" s="469" t="str">
        <f t="shared" si="163"/>
        <v xml:space="preserve"> </v>
      </c>
      <c r="D896" s="433"/>
      <c r="E896" s="422" t="str">
        <f>VLOOKUP($B896,[1]DG!A:C,2,)</f>
        <v>02.1361</v>
      </c>
      <c r="F896" s="434" t="str">
        <f>VLOOKUP($B896,[1]DG!A:C,3,)</f>
        <v>V/c xà vào vị trí (cư ly &lt;=100m)</v>
      </c>
      <c r="G896" s="422" t="str">
        <f>VLOOKUP($B896,[1]DG!A:D,4,0)</f>
        <v>tấn</v>
      </c>
      <c r="H896" s="435"/>
      <c r="I896" s="435"/>
      <c r="J896" s="435"/>
      <c r="K896" s="435"/>
      <c r="L896" s="435"/>
      <c r="M896" s="435"/>
      <c r="N896" s="435"/>
      <c r="O896" s="435"/>
      <c r="P896" s="435"/>
      <c r="Q896" s="437"/>
      <c r="R896" s="437"/>
      <c r="S896" s="437"/>
      <c r="T896" s="432">
        <f t="shared" si="162"/>
        <v>0</v>
      </c>
    </row>
    <row r="897" spans="1:20" ht="22.2" hidden="1" customHeight="1">
      <c r="A897" s="379"/>
      <c r="B897" s="438" t="s">
        <v>620</v>
      </c>
      <c r="C897" s="469" t="str">
        <f t="shared" si="163"/>
        <v xml:space="preserve"> </v>
      </c>
      <c r="D897" s="439"/>
      <c r="E897" s="422" t="str">
        <f>VLOOKUP($B897,[1]DG!A:C,2,)</f>
        <v>02.1482</v>
      </c>
      <c r="F897" s="434" t="str">
        <f>VLOOKUP($B897,[1]DG!A:C,3,)</f>
        <v>V/c dụng cụ thi công vào vị trí (cự ly &lt;=100m)</v>
      </c>
      <c r="G897" s="422" t="str">
        <f>VLOOKUP($B897,[1]DG!A:D,4,0)</f>
        <v>tấn</v>
      </c>
      <c r="H897" s="435"/>
      <c r="I897" s="435"/>
      <c r="J897" s="435"/>
      <c r="K897" s="435"/>
      <c r="L897" s="435"/>
      <c r="M897" s="435"/>
      <c r="N897" s="435"/>
      <c r="O897" s="435"/>
      <c r="P897" s="435"/>
      <c r="Q897" s="437"/>
      <c r="R897" s="437"/>
      <c r="S897" s="437"/>
      <c r="T897" s="432">
        <f t="shared" si="162"/>
        <v>0</v>
      </c>
    </row>
    <row r="898" spans="1:20" ht="22.2" hidden="1" customHeight="1">
      <c r="A898" s="423" t="s">
        <v>920</v>
      </c>
      <c r="B898" s="424" t="s">
        <v>920</v>
      </c>
      <c r="C898" s="469" t="str">
        <f t="shared" si="163"/>
        <v xml:space="preserve"> </v>
      </c>
      <c r="D898" s="426"/>
      <c r="E898" s="427"/>
      <c r="F898" s="428" t="s">
        <v>921</v>
      </c>
      <c r="G898" s="349" t="s">
        <v>67</v>
      </c>
      <c r="H898" s="429">
        <f>SUM(I898:O898)</f>
        <v>0</v>
      </c>
      <c r="I898" s="430"/>
      <c r="J898" s="430"/>
      <c r="K898" s="430">
        <f>IFERROR(HLOOKUP(B898,[1]pp3p1m!$1:$3,3,0),0)</f>
        <v>0</v>
      </c>
      <c r="L898" s="430">
        <f>IFERROR(HLOOKUP(chitiet!B898,[1]pp1p!$1:$3,3,0),0)</f>
        <v>0</v>
      </c>
      <c r="M898" s="430"/>
      <c r="N898" s="430"/>
      <c r="O898" s="430"/>
      <c r="P898" s="430">
        <f>H898+Q898-R898</f>
        <v>0</v>
      </c>
      <c r="Q898" s="431"/>
      <c r="R898" s="431"/>
      <c r="S898" s="431"/>
      <c r="T898" s="432">
        <f>IFERROR(HLOOKUP(B898,[1]pp1p!$1:$3,3,0),0)+IFERROR(HLOOKUP(B898,[1]pp3p1m!$1:$3,3,0),0)</f>
        <v>0</v>
      </c>
    </row>
    <row r="899" spans="1:20" ht="22.2" hidden="1" customHeight="1">
      <c r="A899" s="379"/>
      <c r="B899" s="410" t="s">
        <v>235</v>
      </c>
      <c r="C899" s="469" t="str">
        <f t="shared" si="163"/>
        <v xml:space="preserve"> </v>
      </c>
      <c r="D899" s="439">
        <f>9.02*(2.4+4*0.07)*2</f>
        <v>48.347199999999994</v>
      </c>
      <c r="E899" s="422"/>
      <c r="F899" s="441" t="str">
        <f>VLOOKUP($B899,[1]DG!A:D,[1]DG!$C$2,)</f>
        <v>Sắt góc L75 x75 x8</v>
      </c>
      <c r="G899" s="422" t="str">
        <f>VLOOKUP($B899,[1]DG!A:D,[1]DG!$D$2,)</f>
        <v>kg</v>
      </c>
      <c r="H899" s="435">
        <f t="shared" ref="H899:N903" si="174">H$898*$D899</f>
        <v>0</v>
      </c>
      <c r="I899" s="435">
        <f t="shared" si="174"/>
        <v>0</v>
      </c>
      <c r="J899" s="435">
        <f t="shared" si="174"/>
        <v>0</v>
      </c>
      <c r="K899" s="435">
        <f t="shared" si="174"/>
        <v>0</v>
      </c>
      <c r="L899" s="435">
        <f t="shared" si="174"/>
        <v>0</v>
      </c>
      <c r="M899" s="435">
        <f t="shared" si="174"/>
        <v>0</v>
      </c>
      <c r="N899" s="435">
        <f t="shared" si="174"/>
        <v>0</v>
      </c>
      <c r="O899" s="435"/>
      <c r="P899" s="435"/>
      <c r="Q899" s="442"/>
      <c r="R899" s="442"/>
      <c r="S899" s="442"/>
      <c r="T899" s="432">
        <f t="shared" si="162"/>
        <v>0</v>
      </c>
    </row>
    <row r="900" spans="1:20" ht="22.2" hidden="1" customHeight="1">
      <c r="A900" s="379"/>
      <c r="B900" s="410" t="s">
        <v>236</v>
      </c>
      <c r="C900" s="469" t="str">
        <f t="shared" si="163"/>
        <v xml:space="preserve"> </v>
      </c>
      <c r="D900" s="439">
        <f>3.77*0.92*4</f>
        <v>13.873600000000001</v>
      </c>
      <c r="E900" s="422"/>
      <c r="F900" s="441" t="str">
        <f>VLOOKUP($B900,[1]DG!A:D,[1]DG!$C$2,)&amp;" (chống 920)"</f>
        <v>Sắt góc L50 x50 x5 (chống 920)</v>
      </c>
      <c r="G900" s="422" t="str">
        <f>VLOOKUP($B900,[1]DG!A:D,[1]DG!$D$2,)</f>
        <v>kg</v>
      </c>
      <c r="H900" s="435">
        <f t="shared" si="174"/>
        <v>0</v>
      </c>
      <c r="I900" s="435">
        <f t="shared" si="174"/>
        <v>0</v>
      </c>
      <c r="J900" s="435">
        <f t="shared" si="174"/>
        <v>0</v>
      </c>
      <c r="K900" s="435">
        <f t="shared" si="174"/>
        <v>0</v>
      </c>
      <c r="L900" s="435">
        <f t="shared" si="174"/>
        <v>0</v>
      </c>
      <c r="M900" s="435">
        <f t="shared" si="174"/>
        <v>0</v>
      </c>
      <c r="N900" s="435">
        <f t="shared" si="174"/>
        <v>0</v>
      </c>
      <c r="O900" s="435"/>
      <c r="P900" s="435"/>
      <c r="Q900" s="442"/>
      <c r="R900" s="442"/>
      <c r="S900" s="442"/>
      <c r="T900" s="432">
        <f t="shared" si="162"/>
        <v>0</v>
      </c>
    </row>
    <row r="901" spans="1:20" ht="22.2" hidden="1" customHeight="1">
      <c r="A901" s="379"/>
      <c r="B901" s="410" t="s">
        <v>237</v>
      </c>
      <c r="C901" s="469" t="str">
        <f t="shared" si="163"/>
        <v xml:space="preserve"> </v>
      </c>
      <c r="D901" s="440">
        <v>1</v>
      </c>
      <c r="E901" s="422"/>
      <c r="F901" s="441" t="str">
        <f>VLOOKUP($B901,[1]DG!A:D,[1]DG!$C$2,)</f>
        <v>Boulon 16x250+ 2 long đền vuông D18-50x50x3/Zn</v>
      </c>
      <c r="G901" s="422" t="str">
        <f>VLOOKUP($B901,[1]DG!A:D,[1]DG!$D$2,)</f>
        <v>bộ</v>
      </c>
      <c r="H901" s="435">
        <f t="shared" si="174"/>
        <v>0</v>
      </c>
      <c r="I901" s="435">
        <f t="shared" si="174"/>
        <v>0</v>
      </c>
      <c r="J901" s="435">
        <f t="shared" si="174"/>
        <v>0</v>
      </c>
      <c r="K901" s="435">
        <f t="shared" si="174"/>
        <v>0</v>
      </c>
      <c r="L901" s="435">
        <f t="shared" si="174"/>
        <v>0</v>
      </c>
      <c r="M901" s="435">
        <f t="shared" si="174"/>
        <v>0</v>
      </c>
      <c r="N901" s="435">
        <f t="shared" si="174"/>
        <v>0</v>
      </c>
      <c r="O901" s="435"/>
      <c r="P901" s="435"/>
      <c r="Q901" s="442"/>
      <c r="R901" s="442"/>
      <c r="S901" s="442"/>
      <c r="T901" s="432">
        <f t="shared" si="162"/>
        <v>0</v>
      </c>
    </row>
    <row r="902" spans="1:20" ht="22.2" hidden="1" customHeight="1">
      <c r="A902" s="379"/>
      <c r="B902" s="410" t="s">
        <v>65</v>
      </c>
      <c r="C902" s="469" t="str">
        <f t="shared" si="163"/>
        <v xml:space="preserve"> </v>
      </c>
      <c r="D902" s="440">
        <v>1</v>
      </c>
      <c r="E902" s="422"/>
      <c r="F902" s="441" t="str">
        <f>VLOOKUP($B902,[1]DG!A:D,[1]DG!$C$2,)</f>
        <v>Boulon 16x300+ 2 long đền vuông D18-50x50x3/Zn</v>
      </c>
      <c r="G902" s="422" t="str">
        <f>VLOOKUP($B902,[1]DG!A:D,[1]DG!$D$2,)</f>
        <v>bộ</v>
      </c>
      <c r="H902" s="435">
        <f t="shared" si="174"/>
        <v>0</v>
      </c>
      <c r="I902" s="435">
        <f t="shared" si="174"/>
        <v>0</v>
      </c>
      <c r="J902" s="435">
        <f t="shared" si="174"/>
        <v>0</v>
      </c>
      <c r="K902" s="435">
        <f t="shared" si="174"/>
        <v>0</v>
      </c>
      <c r="L902" s="435">
        <f t="shared" si="174"/>
        <v>0</v>
      </c>
      <c r="M902" s="435">
        <f t="shared" si="174"/>
        <v>0</v>
      </c>
      <c r="N902" s="435">
        <f t="shared" si="174"/>
        <v>0</v>
      </c>
      <c r="O902" s="435"/>
      <c r="P902" s="435"/>
      <c r="Q902" s="442"/>
      <c r="R902" s="442"/>
      <c r="S902" s="442"/>
      <c r="T902" s="432">
        <f t="shared" si="162"/>
        <v>0</v>
      </c>
    </row>
    <row r="903" spans="1:20" ht="22.2" hidden="1" customHeight="1">
      <c r="A903" s="379"/>
      <c r="B903" s="410" t="s">
        <v>891</v>
      </c>
      <c r="C903" s="469" t="str">
        <f t="shared" si="163"/>
        <v xml:space="preserve"> </v>
      </c>
      <c r="D903" s="440">
        <v>4</v>
      </c>
      <c r="E903" s="422"/>
      <c r="F903" s="441" t="str">
        <f>VLOOKUP($B903,[1]DG!A:D,[1]DG!$C$2,)</f>
        <v>Boulon 16x300VRS+ 4 long đền vuông D18-50x50x3/Zn</v>
      </c>
      <c r="G903" s="422" t="str">
        <f>VLOOKUP($B903,[1]DG!A:D,[1]DG!$D$2,)</f>
        <v>bộ</v>
      </c>
      <c r="H903" s="435">
        <f t="shared" si="174"/>
        <v>0</v>
      </c>
      <c r="I903" s="435">
        <f t="shared" si="174"/>
        <v>0</v>
      </c>
      <c r="J903" s="435">
        <f t="shared" si="174"/>
        <v>0</v>
      </c>
      <c r="K903" s="435">
        <f t="shared" si="174"/>
        <v>0</v>
      </c>
      <c r="L903" s="435">
        <f t="shared" si="174"/>
        <v>0</v>
      </c>
      <c r="M903" s="435">
        <f t="shared" si="174"/>
        <v>0</v>
      </c>
      <c r="N903" s="435">
        <f t="shared" si="174"/>
        <v>0</v>
      </c>
      <c r="O903" s="435"/>
      <c r="P903" s="435"/>
      <c r="Q903" s="442"/>
      <c r="R903" s="442"/>
      <c r="S903" s="442"/>
      <c r="T903" s="432">
        <f t="shared" si="162"/>
        <v>0</v>
      </c>
    </row>
    <row r="904" spans="1:20" ht="22.2" hidden="1" customHeight="1">
      <c r="A904" s="379"/>
      <c r="B904" s="410" t="s">
        <v>379</v>
      </c>
      <c r="C904" s="469" t="str">
        <f t="shared" si="163"/>
        <v xml:space="preserve"> </v>
      </c>
      <c r="D904" s="440">
        <v>1</v>
      </c>
      <c r="E904" s="473" t="str">
        <f>VLOOKUP($B904,[1]DG!A:D,[1]DG!$B$2,)</f>
        <v>05.6203</v>
      </c>
      <c r="F904" s="434" t="str">
        <f>VLOOKUP($B904,[1]DG!A:D,[1]DG!$C$2,)</f>
        <v>Lắp xà néo ≤ 100kg</v>
      </c>
      <c r="G904" s="422" t="str">
        <f>VLOOKUP($B904,[1]DG!A:D,[1]DG!$D$2,)</f>
        <v>bộ</v>
      </c>
      <c r="H904" s="435"/>
      <c r="I904" s="435"/>
      <c r="J904" s="435"/>
      <c r="K904" s="435"/>
      <c r="L904" s="435"/>
      <c r="M904" s="435"/>
      <c r="N904" s="435"/>
      <c r="O904" s="435"/>
      <c r="P904" s="435"/>
      <c r="Q904" s="437"/>
      <c r="R904" s="437"/>
      <c r="S904" s="437"/>
      <c r="T904" s="432">
        <f t="shared" si="162"/>
        <v>0</v>
      </c>
    </row>
    <row r="905" spans="1:20" ht="22.2" hidden="1" customHeight="1">
      <c r="A905" s="379"/>
      <c r="B905" s="410" t="s">
        <v>881</v>
      </c>
      <c r="C905" s="469" t="str">
        <f t="shared" si="163"/>
        <v xml:space="preserve"> </v>
      </c>
      <c r="D905" s="433">
        <f>D906</f>
        <v>0</v>
      </c>
      <c r="E905" s="422" t="str">
        <f>VLOOKUP($B905,[1]DG!A:D,[1]DG!$B$2,)</f>
        <v>02.1115</v>
      </c>
      <c r="F905" s="434" t="str">
        <f>VLOOKUP($B905,[1]DG!A:D,[1]DG!$C$2,)</f>
        <v>Bốc dỡ xà, thép thanh</v>
      </c>
      <c r="G905" s="422" t="str">
        <f>VLOOKUP($B905,[1]DG!A:D,[1]DG!$D$2,)</f>
        <v>tấn</v>
      </c>
      <c r="H905" s="435"/>
      <c r="I905" s="435"/>
      <c r="J905" s="435"/>
      <c r="K905" s="435"/>
      <c r="L905" s="435"/>
      <c r="M905" s="435"/>
      <c r="N905" s="435"/>
      <c r="O905" s="435"/>
      <c r="P905" s="435"/>
      <c r="Q905" s="437"/>
      <c r="R905" s="437"/>
      <c r="S905" s="437"/>
      <c r="T905" s="432">
        <f t="shared" si="162"/>
        <v>0</v>
      </c>
    </row>
    <row r="906" spans="1:20" ht="22.2" hidden="1" customHeight="1">
      <c r="A906" s="379"/>
      <c r="B906" s="438" t="s">
        <v>882</v>
      </c>
      <c r="C906" s="469" t="str">
        <f t="shared" si="163"/>
        <v xml:space="preserve"> </v>
      </c>
      <c r="D906" s="433">
        <f>ROUND(SUM(D899:D900)*1.05/1000,3)*0</f>
        <v>0</v>
      </c>
      <c r="E906" s="422" t="str">
        <f>VLOOKUP($B906,[1]DG!A:C,2,)</f>
        <v>02.1361</v>
      </c>
      <c r="F906" s="434" t="str">
        <f>VLOOKUP($B906,[1]DG!A:C,3,)</f>
        <v>V/c xà vào vị trí (cư ly &lt;=100m)</v>
      </c>
      <c r="G906" s="422" t="str">
        <f>VLOOKUP($B906,[1]DG!A:D,4,0)</f>
        <v>tấn</v>
      </c>
      <c r="H906" s="435"/>
      <c r="I906" s="435"/>
      <c r="J906" s="435"/>
      <c r="K906" s="435"/>
      <c r="L906" s="435"/>
      <c r="M906" s="435"/>
      <c r="N906" s="435"/>
      <c r="O906" s="435"/>
      <c r="P906" s="435"/>
      <c r="Q906" s="437"/>
      <c r="R906" s="437"/>
      <c r="S906" s="437"/>
      <c r="T906" s="432">
        <f t="shared" si="162"/>
        <v>0</v>
      </c>
    </row>
    <row r="907" spans="1:20" ht="22.2" hidden="1" customHeight="1">
      <c r="A907" s="379"/>
      <c r="B907" s="438" t="s">
        <v>620</v>
      </c>
      <c r="C907" s="469" t="str">
        <f t="shared" si="163"/>
        <v xml:space="preserve"> </v>
      </c>
      <c r="D907" s="439">
        <f>0.05*0</f>
        <v>0</v>
      </c>
      <c r="E907" s="422" t="str">
        <f>VLOOKUP($B907,[1]DG!A:C,2,)</f>
        <v>02.1482</v>
      </c>
      <c r="F907" s="434" t="str">
        <f>VLOOKUP($B907,[1]DG!A:C,3,)</f>
        <v>V/c dụng cụ thi công vào vị trí (cự ly &lt;=100m)</v>
      </c>
      <c r="G907" s="422" t="str">
        <f>VLOOKUP($B907,[1]DG!A:D,4,0)</f>
        <v>tấn</v>
      </c>
      <c r="H907" s="435"/>
      <c r="I907" s="435"/>
      <c r="J907" s="435"/>
      <c r="K907" s="435"/>
      <c r="L907" s="435"/>
      <c r="M907" s="435"/>
      <c r="N907" s="435"/>
      <c r="O907" s="435"/>
      <c r="P907" s="435"/>
      <c r="Q907" s="437"/>
      <c r="R907" s="437"/>
      <c r="S907" s="437"/>
      <c r="T907" s="432">
        <f t="shared" si="162"/>
        <v>0</v>
      </c>
    </row>
    <row r="908" spans="1:20" ht="22.2" hidden="1" customHeight="1">
      <c r="A908" s="423" t="s">
        <v>922</v>
      </c>
      <c r="B908" s="424" t="s">
        <v>922</v>
      </c>
      <c r="C908" s="469" t="str">
        <f t="shared" si="163"/>
        <v xml:space="preserve"> </v>
      </c>
      <c r="D908" s="426"/>
      <c r="E908" s="427"/>
      <c r="F908" s="428" t="s">
        <v>923</v>
      </c>
      <c r="G908" s="349" t="s">
        <v>67</v>
      </c>
      <c r="H908" s="429">
        <f>SUM(I908:O908)</f>
        <v>0</v>
      </c>
      <c r="I908" s="430"/>
      <c r="J908" s="430"/>
      <c r="K908" s="430">
        <f>IFERROR(HLOOKUP(B908,[1]pp3p1m!$1:$3,3,0),0)</f>
        <v>0</v>
      </c>
      <c r="L908" s="430">
        <f>IFERROR(HLOOKUP(chitiet!B908,[1]pp1p!$1:$3,3,0),0)</f>
        <v>0</v>
      </c>
      <c r="M908" s="430"/>
      <c r="N908" s="430"/>
      <c r="O908" s="430"/>
      <c r="P908" s="430">
        <f>H908+Q908-R908</f>
        <v>0</v>
      </c>
      <c r="Q908" s="431"/>
      <c r="R908" s="431"/>
      <c r="S908" s="431"/>
      <c r="T908" s="432">
        <f>IFERROR(HLOOKUP(B908,[1]pp1p!$1:$3,3,0),0)+IFERROR(HLOOKUP(B908,[1]pp3p1m!$1:$3,3,0),0)</f>
        <v>0</v>
      </c>
    </row>
    <row r="909" spans="1:20" ht="22.2" hidden="1" customHeight="1">
      <c r="A909" s="379"/>
      <c r="B909" s="410" t="s">
        <v>915</v>
      </c>
      <c r="C909" s="469" t="str">
        <f t="shared" si="163"/>
        <v xml:space="preserve"> </v>
      </c>
      <c r="D909" s="440">
        <v>1</v>
      </c>
      <c r="E909" s="422" t="str">
        <f>VLOOKUP($B909,[1]DG!A:D,[1]DG!$B$2,)</f>
        <v>05.6203</v>
      </c>
      <c r="F909" s="434" t="str">
        <f>VLOOKUP($B909,[1]DG!A:D,[1]DG!$C$2,)</f>
        <v>Lắp xà néo ≤ 100kg</v>
      </c>
      <c r="G909" s="422" t="str">
        <f>VLOOKUP($B909,[1]DG!A:D,[1]DG!$D$2,)</f>
        <v>bộ</v>
      </c>
      <c r="H909" s="435"/>
      <c r="I909" s="435"/>
      <c r="J909" s="435"/>
      <c r="K909" s="435"/>
      <c r="L909" s="435"/>
      <c r="M909" s="435"/>
      <c r="N909" s="435"/>
      <c r="O909" s="435"/>
      <c r="P909" s="435"/>
      <c r="Q909" s="437"/>
      <c r="R909" s="437"/>
      <c r="S909" s="437"/>
      <c r="T909" s="432">
        <f t="shared" si="162"/>
        <v>0</v>
      </c>
    </row>
    <row r="910" spans="1:20" ht="22.2" hidden="1" customHeight="1">
      <c r="A910" s="379"/>
      <c r="B910" s="410" t="s">
        <v>881</v>
      </c>
      <c r="C910" s="469" t="str">
        <f t="shared" si="163"/>
        <v xml:space="preserve"> </v>
      </c>
      <c r="D910" s="433">
        <v>5.0999999999999997E-2</v>
      </c>
      <c r="E910" s="422" t="str">
        <f>VLOOKUP($B910,[1]DG!A:D,[1]DG!$B$2,)</f>
        <v>02.1115</v>
      </c>
      <c r="F910" s="434" t="str">
        <f>VLOOKUP($B910,[1]DG!A:D,[1]DG!$C$2,)</f>
        <v>Bốc dỡ xà, thép thanh</v>
      </c>
      <c r="G910" s="422" t="str">
        <f>VLOOKUP($B910,[1]DG!A:D,[1]DG!$D$2,)</f>
        <v>tấn</v>
      </c>
      <c r="H910" s="435"/>
      <c r="I910" s="435"/>
      <c r="J910" s="435"/>
      <c r="K910" s="435"/>
      <c r="L910" s="435"/>
      <c r="M910" s="435"/>
      <c r="N910" s="435"/>
      <c r="O910" s="435"/>
      <c r="P910" s="435"/>
      <c r="Q910" s="437"/>
      <c r="R910" s="437"/>
      <c r="S910" s="437"/>
      <c r="T910" s="432">
        <f t="shared" si="162"/>
        <v>0</v>
      </c>
    </row>
    <row r="911" spans="1:20" ht="22.2" hidden="1" customHeight="1">
      <c r="A911" s="379"/>
      <c r="B911" s="438" t="s">
        <v>882</v>
      </c>
      <c r="C911" s="469" t="str">
        <f t="shared" si="163"/>
        <v xml:space="preserve"> </v>
      </c>
      <c r="D911" s="433">
        <v>5.0999999999999997E-2</v>
      </c>
      <c r="E911" s="422" t="str">
        <f>VLOOKUP($B911,[1]DG!A:C,2,)</f>
        <v>02.1361</v>
      </c>
      <c r="F911" s="434" t="str">
        <f>VLOOKUP($B911,[1]DG!A:C,3,)</f>
        <v>V/c xà vào vị trí (cư ly &lt;=100m)</v>
      </c>
      <c r="G911" s="422" t="str">
        <f>VLOOKUP($B911,[1]DG!A:D,4,0)</f>
        <v>tấn</v>
      </c>
      <c r="H911" s="435"/>
      <c r="I911" s="435"/>
      <c r="J911" s="435"/>
      <c r="K911" s="435"/>
      <c r="L911" s="435"/>
      <c r="M911" s="435"/>
      <c r="N911" s="435"/>
      <c r="O911" s="435"/>
      <c r="P911" s="435"/>
      <c r="Q911" s="437"/>
      <c r="R911" s="437"/>
      <c r="S911" s="437"/>
      <c r="T911" s="432">
        <f t="shared" si="162"/>
        <v>0</v>
      </c>
    </row>
    <row r="912" spans="1:20" ht="22.2" hidden="1" customHeight="1">
      <c r="A912" s="379"/>
      <c r="B912" s="438" t="s">
        <v>620</v>
      </c>
      <c r="C912" s="469" t="str">
        <f t="shared" si="163"/>
        <v xml:space="preserve"> </v>
      </c>
      <c r="D912" s="439"/>
      <c r="E912" s="422" t="str">
        <f>VLOOKUP($B912,[1]DG!A:C,2,)</f>
        <v>02.1482</v>
      </c>
      <c r="F912" s="434" t="str">
        <f>VLOOKUP($B912,[1]DG!A:C,3,)</f>
        <v>V/c dụng cụ thi công vào vị trí (cự ly &lt;=100m)</v>
      </c>
      <c r="G912" s="422" t="str">
        <f>VLOOKUP($B912,[1]DG!A:D,4,0)</f>
        <v>tấn</v>
      </c>
      <c r="H912" s="435"/>
      <c r="I912" s="435"/>
      <c r="J912" s="435"/>
      <c r="K912" s="435"/>
      <c r="L912" s="435"/>
      <c r="M912" s="435"/>
      <c r="N912" s="435"/>
      <c r="O912" s="435"/>
      <c r="P912" s="435"/>
      <c r="Q912" s="437"/>
      <c r="R912" s="437"/>
      <c r="S912" s="437"/>
      <c r="T912" s="432">
        <f t="shared" si="162"/>
        <v>0</v>
      </c>
    </row>
    <row r="913" spans="1:20" ht="22.2" hidden="1" customHeight="1">
      <c r="A913" s="423" t="s">
        <v>924</v>
      </c>
      <c r="B913" s="424" t="s">
        <v>924</v>
      </c>
      <c r="C913" s="469" t="str">
        <f t="shared" si="163"/>
        <v xml:space="preserve"> </v>
      </c>
      <c r="D913" s="426"/>
      <c r="E913" s="427"/>
      <c r="F913" s="428" t="s">
        <v>925</v>
      </c>
      <c r="G913" s="349" t="s">
        <v>67</v>
      </c>
      <c r="H913" s="429">
        <f>SUM(I913:O913)</f>
        <v>0</v>
      </c>
      <c r="I913" s="430"/>
      <c r="J913" s="430"/>
      <c r="K913" s="430">
        <f>IFERROR(HLOOKUP(B913,[1]pp3p1m!$1:$3,3,0),0)</f>
        <v>0</v>
      </c>
      <c r="L913" s="430">
        <f>IFERROR(HLOOKUP(chitiet!B913,[1]pp1p!$1:$3,3,0),0)</f>
        <v>0</v>
      </c>
      <c r="M913" s="430"/>
      <c r="N913" s="430"/>
      <c r="O913" s="430"/>
      <c r="P913" s="430">
        <f>H913+Q913-R913</f>
        <v>0</v>
      </c>
      <c r="Q913" s="431"/>
      <c r="R913" s="431"/>
      <c r="S913" s="431"/>
      <c r="T913" s="432">
        <f>IFERROR(HLOOKUP(B913,[1]pp1p!$1:$3,3,0),0)+IFERROR(HLOOKUP(B913,[1]pp3p1m!$1:$3,3,0),0)</f>
        <v>0</v>
      </c>
    </row>
    <row r="914" spans="1:20" ht="22.2" hidden="1" customHeight="1">
      <c r="A914" s="379"/>
      <c r="B914" s="410" t="s">
        <v>235</v>
      </c>
      <c r="C914" s="469" t="str">
        <f t="shared" si="163"/>
        <v xml:space="preserve"> </v>
      </c>
      <c r="D914" s="439">
        <f>9.42*(0.8+0.07)</f>
        <v>8.1954000000000011</v>
      </c>
      <c r="E914" s="422"/>
      <c r="F914" s="441" t="str">
        <f>VLOOKUP($B914,[1]DG!A:D,[1]DG!$C$2,)</f>
        <v>Sắt góc L75 x75 x8</v>
      </c>
      <c r="G914" s="422" t="str">
        <f>VLOOKUP($B914,[1]DG!A:D,[1]DG!$D$2,)</f>
        <v>kg</v>
      </c>
      <c r="H914" s="435">
        <f t="shared" ref="H914:N917" si="175">H$913*$D914</f>
        <v>0</v>
      </c>
      <c r="I914" s="435">
        <f t="shared" si="175"/>
        <v>0</v>
      </c>
      <c r="J914" s="435">
        <f t="shared" si="175"/>
        <v>0</v>
      </c>
      <c r="K914" s="435">
        <f t="shared" si="175"/>
        <v>0</v>
      </c>
      <c r="L914" s="435">
        <f t="shared" si="175"/>
        <v>0</v>
      </c>
      <c r="M914" s="435">
        <f t="shared" si="175"/>
        <v>0</v>
      </c>
      <c r="N914" s="435">
        <f t="shared" si="175"/>
        <v>0</v>
      </c>
      <c r="O914" s="435"/>
      <c r="P914" s="435"/>
      <c r="Q914" s="442"/>
      <c r="R914" s="442"/>
      <c r="S914" s="442"/>
      <c r="T914" s="432">
        <f t="shared" si="162"/>
        <v>0</v>
      </c>
    </row>
    <row r="915" spans="1:20" ht="22.2" hidden="1" customHeight="1">
      <c r="A915" s="379"/>
      <c r="B915" s="410" t="s">
        <v>236</v>
      </c>
      <c r="C915" s="469" t="str">
        <f t="shared" si="163"/>
        <v xml:space="preserve"> </v>
      </c>
      <c r="D915" s="439">
        <f>3.77*0.81</f>
        <v>3.0537000000000001</v>
      </c>
      <c r="E915" s="422"/>
      <c r="F915" s="441" t="str">
        <f>VLOOKUP($B915,[1]DG!A:D,[1]DG!$C$2,)</f>
        <v>Sắt góc L50 x50 x5</v>
      </c>
      <c r="G915" s="422" t="str">
        <f>VLOOKUP($B915,[1]DG!A:D,[1]DG!$D$2,)</f>
        <v>kg</v>
      </c>
      <c r="H915" s="435">
        <f t="shared" si="175"/>
        <v>0</v>
      </c>
      <c r="I915" s="435">
        <f t="shared" si="175"/>
        <v>0</v>
      </c>
      <c r="J915" s="435">
        <f t="shared" si="175"/>
        <v>0</v>
      </c>
      <c r="K915" s="435">
        <f t="shared" si="175"/>
        <v>0</v>
      </c>
      <c r="L915" s="435">
        <f t="shared" si="175"/>
        <v>0</v>
      </c>
      <c r="M915" s="435">
        <f t="shared" si="175"/>
        <v>0</v>
      </c>
      <c r="N915" s="435">
        <f t="shared" si="175"/>
        <v>0</v>
      </c>
      <c r="O915" s="435"/>
      <c r="P915" s="435"/>
      <c r="Q915" s="442"/>
      <c r="R915" s="442"/>
      <c r="S915" s="442"/>
      <c r="T915" s="432">
        <f t="shared" si="162"/>
        <v>0</v>
      </c>
    </row>
    <row r="916" spans="1:20" ht="22.2" hidden="1" customHeight="1">
      <c r="A916" s="379"/>
      <c r="B916" s="410" t="s">
        <v>237</v>
      </c>
      <c r="C916" s="469" t="str">
        <f t="shared" si="163"/>
        <v xml:space="preserve"> </v>
      </c>
      <c r="D916" s="440">
        <v>2</v>
      </c>
      <c r="E916" s="422"/>
      <c r="F916" s="441" t="str">
        <f>VLOOKUP($B916,[1]DG!A:D,[1]DG!$C$2,)</f>
        <v>Boulon 16x250+ 2 long đền vuông D18-50x50x3/Zn</v>
      </c>
      <c r="G916" s="422" t="str">
        <f>VLOOKUP($B916,[1]DG!A:D,[1]DG!$D$2,)</f>
        <v>bộ</v>
      </c>
      <c r="H916" s="435">
        <f t="shared" si="175"/>
        <v>0</v>
      </c>
      <c r="I916" s="435">
        <f t="shared" si="175"/>
        <v>0</v>
      </c>
      <c r="J916" s="435">
        <f t="shared" si="175"/>
        <v>0</v>
      </c>
      <c r="K916" s="435">
        <f t="shared" si="175"/>
        <v>0</v>
      </c>
      <c r="L916" s="435">
        <f t="shared" si="175"/>
        <v>0</v>
      </c>
      <c r="M916" s="435">
        <f t="shared" si="175"/>
        <v>0</v>
      </c>
      <c r="N916" s="435">
        <f t="shared" si="175"/>
        <v>0</v>
      </c>
      <c r="O916" s="435"/>
      <c r="P916" s="435"/>
      <c r="Q916" s="442"/>
      <c r="R916" s="442"/>
      <c r="S916" s="442"/>
      <c r="T916" s="432">
        <f t="shared" si="162"/>
        <v>0</v>
      </c>
    </row>
    <row r="917" spans="1:20" ht="22.2" hidden="1" customHeight="1">
      <c r="A917" s="379"/>
      <c r="B917" s="410" t="s">
        <v>231</v>
      </c>
      <c r="C917" s="469" t="str">
        <f t="shared" si="163"/>
        <v xml:space="preserve"> </v>
      </c>
      <c r="D917" s="440">
        <v>1</v>
      </c>
      <c r="E917" s="422"/>
      <c r="F917" s="441" t="str">
        <f>VLOOKUP($B917,[1]DG!A:D,[1]DG!$C$2,)</f>
        <v>Boulon 16x50+ 2 long đền vuông D18-50x50x3/Zn</v>
      </c>
      <c r="G917" s="422" t="str">
        <f>VLOOKUP($B917,[1]DG!A:D,[1]DG!$D$2,)</f>
        <v>bộ</v>
      </c>
      <c r="H917" s="435">
        <f t="shared" si="175"/>
        <v>0</v>
      </c>
      <c r="I917" s="435">
        <f t="shared" si="175"/>
        <v>0</v>
      </c>
      <c r="J917" s="435">
        <f t="shared" si="175"/>
        <v>0</v>
      </c>
      <c r="K917" s="435">
        <f t="shared" si="175"/>
        <v>0</v>
      </c>
      <c r="L917" s="435">
        <f t="shared" si="175"/>
        <v>0</v>
      </c>
      <c r="M917" s="435">
        <f t="shared" si="175"/>
        <v>0</v>
      </c>
      <c r="N917" s="435">
        <f t="shared" si="175"/>
        <v>0</v>
      </c>
      <c r="O917" s="435"/>
      <c r="P917" s="435"/>
      <c r="Q917" s="442"/>
      <c r="R917" s="442"/>
      <c r="S917" s="442"/>
      <c r="T917" s="432">
        <f t="shared" si="162"/>
        <v>0</v>
      </c>
    </row>
    <row r="918" spans="1:20" ht="22.2" hidden="1" customHeight="1">
      <c r="A918" s="379"/>
      <c r="B918" s="477" t="s">
        <v>126</v>
      </c>
      <c r="C918" s="469" t="str">
        <f t="shared" si="163"/>
        <v xml:space="preserve"> </v>
      </c>
      <c r="D918" s="440">
        <v>1</v>
      </c>
      <c r="E918" s="422" t="str">
        <f>VLOOKUP($B918,[1]DG!A:D,[1]DG!$B$2,)</f>
        <v>05.6401</v>
      </c>
      <c r="F918" s="434" t="str">
        <f>VLOOKUP($B918,[1]DG!A:D,[1]DG!$C$2,)</f>
        <v>Lắp xà đỡ ≤ 25kg</v>
      </c>
      <c r="G918" s="422" t="str">
        <f>VLOOKUP($B918,[1]DG!A:D,[1]DG!$D$2,)</f>
        <v>bộ</v>
      </c>
      <c r="H918" s="435"/>
      <c r="I918" s="435"/>
      <c r="J918" s="435"/>
      <c r="K918" s="435"/>
      <c r="L918" s="435"/>
      <c r="M918" s="435"/>
      <c r="N918" s="435"/>
      <c r="O918" s="435"/>
      <c r="P918" s="435"/>
      <c r="Q918" s="437"/>
      <c r="R918" s="437"/>
      <c r="S918" s="437"/>
      <c r="T918" s="432">
        <f t="shared" si="162"/>
        <v>0</v>
      </c>
    </row>
    <row r="919" spans="1:20" ht="22.2" hidden="1" customHeight="1">
      <c r="A919" s="379"/>
      <c r="B919" s="410" t="s">
        <v>881</v>
      </c>
      <c r="C919" s="469" t="str">
        <f t="shared" si="163"/>
        <v xml:space="preserve"> </v>
      </c>
      <c r="D919" s="433"/>
      <c r="E919" s="422" t="str">
        <f>VLOOKUP($B919,[1]DG!A:D,[1]DG!$B$2,)</f>
        <v>02.1115</v>
      </c>
      <c r="F919" s="434" t="str">
        <f>VLOOKUP($B919,[1]DG!A:D,[1]DG!$C$2,)</f>
        <v>Bốc dỡ xà, thép thanh</v>
      </c>
      <c r="G919" s="422" t="str">
        <f>VLOOKUP($B919,[1]DG!A:D,[1]DG!$D$2,)</f>
        <v>tấn</v>
      </c>
      <c r="H919" s="435"/>
      <c r="I919" s="435"/>
      <c r="J919" s="435"/>
      <c r="K919" s="435"/>
      <c r="L919" s="435"/>
      <c r="M919" s="435"/>
      <c r="N919" s="435"/>
      <c r="O919" s="435"/>
      <c r="P919" s="435"/>
      <c r="Q919" s="437"/>
      <c r="R919" s="437"/>
      <c r="S919" s="437"/>
      <c r="T919" s="432">
        <f t="shared" si="162"/>
        <v>0</v>
      </c>
    </row>
    <row r="920" spans="1:20" ht="22.2" hidden="1" customHeight="1">
      <c r="A920" s="379"/>
      <c r="B920" s="438" t="s">
        <v>882</v>
      </c>
      <c r="C920" s="469" t="str">
        <f t="shared" si="163"/>
        <v xml:space="preserve"> </v>
      </c>
      <c r="D920" s="433"/>
      <c r="E920" s="422" t="str">
        <f>VLOOKUP($B920,[1]DG!A:C,2,)</f>
        <v>02.1361</v>
      </c>
      <c r="F920" s="434" t="str">
        <f>VLOOKUP($B920,[1]DG!A:C,3,)</f>
        <v>V/c xà vào vị trí (cư ly &lt;=100m)</v>
      </c>
      <c r="G920" s="422" t="str">
        <f>VLOOKUP($B920,[1]DG!A:D,4,0)</f>
        <v>tấn</v>
      </c>
      <c r="H920" s="435"/>
      <c r="I920" s="435"/>
      <c r="J920" s="435"/>
      <c r="K920" s="435"/>
      <c r="L920" s="435"/>
      <c r="M920" s="435"/>
      <c r="N920" s="435"/>
      <c r="O920" s="435"/>
      <c r="P920" s="435"/>
      <c r="Q920" s="437"/>
      <c r="R920" s="437"/>
      <c r="S920" s="437"/>
      <c r="T920" s="432">
        <f t="shared" si="162"/>
        <v>0</v>
      </c>
    </row>
    <row r="921" spans="1:20" ht="22.2" hidden="1" customHeight="1">
      <c r="A921" s="379"/>
      <c r="B921" s="438" t="s">
        <v>620</v>
      </c>
      <c r="C921" s="469" t="str">
        <f t="shared" si="163"/>
        <v xml:space="preserve"> </v>
      </c>
      <c r="D921" s="439"/>
      <c r="E921" s="422" t="str">
        <f>VLOOKUP($B921,[1]DG!A:C,2,)</f>
        <v>02.1482</v>
      </c>
      <c r="F921" s="434" t="str">
        <f>VLOOKUP($B921,[1]DG!A:C,3,)</f>
        <v>V/c dụng cụ thi công vào vị trí (cự ly &lt;=100m)</v>
      </c>
      <c r="G921" s="422" t="str">
        <f>VLOOKUP($B921,[1]DG!A:D,4,0)</f>
        <v>tấn</v>
      </c>
      <c r="H921" s="435"/>
      <c r="I921" s="435"/>
      <c r="J921" s="435"/>
      <c r="K921" s="435"/>
      <c r="L921" s="435"/>
      <c r="M921" s="435"/>
      <c r="N921" s="435"/>
      <c r="O921" s="435"/>
      <c r="P921" s="435"/>
      <c r="Q921" s="437"/>
      <c r="R921" s="437"/>
      <c r="S921" s="437"/>
      <c r="T921" s="432">
        <f t="shared" si="162"/>
        <v>0</v>
      </c>
    </row>
    <row r="922" spans="1:20" ht="22.2" hidden="1" customHeight="1">
      <c r="A922" s="423" t="s">
        <v>926</v>
      </c>
      <c r="B922" s="424" t="s">
        <v>926</v>
      </c>
      <c r="C922" s="469" t="str">
        <f t="shared" si="163"/>
        <v xml:space="preserve"> </v>
      </c>
      <c r="D922" s="426"/>
      <c r="E922" s="427"/>
      <c r="F922" s="428" t="s">
        <v>927</v>
      </c>
      <c r="G922" s="349" t="s">
        <v>67</v>
      </c>
      <c r="H922" s="429">
        <f>SUM(I922:O922)</f>
        <v>0</v>
      </c>
      <c r="I922" s="430"/>
      <c r="J922" s="430"/>
      <c r="K922" s="430">
        <f>IFERROR(HLOOKUP(B922,[1]pp3p1m!$1:$3,3,0),0)</f>
        <v>0</v>
      </c>
      <c r="L922" s="430">
        <f>IFERROR(HLOOKUP(chitiet!B922,[1]pp1p!$1:$3,3,0),0)</f>
        <v>0</v>
      </c>
      <c r="M922" s="430"/>
      <c r="N922" s="430"/>
      <c r="O922" s="430"/>
      <c r="P922" s="430">
        <f>H922+Q922-R922</f>
        <v>0</v>
      </c>
      <c r="Q922" s="431"/>
      <c r="R922" s="431"/>
      <c r="S922" s="431"/>
      <c r="T922" s="432">
        <f>IFERROR(HLOOKUP(B922,[1]pp1p!$1:$3,3,0),0)+IFERROR(HLOOKUP(B922,[1]pp3p1m!$1:$3,3,0),0)</f>
        <v>0</v>
      </c>
    </row>
    <row r="923" spans="1:20" ht="22.2" hidden="1" customHeight="1">
      <c r="A923" s="379"/>
      <c r="B923" s="410" t="s">
        <v>235</v>
      </c>
      <c r="C923" s="469" t="str">
        <f t="shared" si="163"/>
        <v xml:space="preserve"> </v>
      </c>
      <c r="D923" s="439">
        <f>9.02*(0.8+0.07)*2</f>
        <v>15.694800000000001</v>
      </c>
      <c r="E923" s="422"/>
      <c r="F923" s="441" t="str">
        <f>VLOOKUP($B923,[1]DG!A:D,[1]DG!$C$2,)</f>
        <v>Sắt góc L75 x75 x8</v>
      </c>
      <c r="G923" s="422" t="str">
        <f>VLOOKUP($B923,[1]DG!A:D,[1]DG!$D$2,)</f>
        <v>kg</v>
      </c>
      <c r="H923" s="435">
        <f t="shared" ref="H923:N927" si="176">H$922*$D923</f>
        <v>0</v>
      </c>
      <c r="I923" s="435">
        <f t="shared" si="176"/>
        <v>0</v>
      </c>
      <c r="J923" s="435">
        <f t="shared" si="176"/>
        <v>0</v>
      </c>
      <c r="K923" s="435">
        <f t="shared" si="176"/>
        <v>0</v>
      </c>
      <c r="L923" s="435">
        <f t="shared" si="176"/>
        <v>0</v>
      </c>
      <c r="M923" s="435">
        <f t="shared" si="176"/>
        <v>0</v>
      </c>
      <c r="N923" s="435">
        <f t="shared" si="176"/>
        <v>0</v>
      </c>
      <c r="O923" s="435"/>
      <c r="P923" s="435"/>
      <c r="Q923" s="442"/>
      <c r="R923" s="442"/>
      <c r="S923" s="442"/>
      <c r="T923" s="432">
        <f t="shared" si="162"/>
        <v>0</v>
      </c>
    </row>
    <row r="924" spans="1:20" ht="22.2" hidden="1" customHeight="1">
      <c r="A924" s="379"/>
      <c r="B924" s="410" t="s">
        <v>236</v>
      </c>
      <c r="C924" s="469" t="str">
        <f t="shared" si="163"/>
        <v xml:space="preserve"> </v>
      </c>
      <c r="D924" s="439">
        <f>3.77*0.81*2</f>
        <v>6.1074000000000002</v>
      </c>
      <c r="E924" s="422"/>
      <c r="F924" s="441" t="str">
        <f>VLOOKUP($B924,[1]DG!A:D,[1]DG!$C$2,)</f>
        <v>Sắt góc L50 x50 x5</v>
      </c>
      <c r="G924" s="422" t="str">
        <f>VLOOKUP($B924,[1]DG!A:D,[1]DG!$D$2,)</f>
        <v>kg</v>
      </c>
      <c r="H924" s="435">
        <f t="shared" si="176"/>
        <v>0</v>
      </c>
      <c r="I924" s="435">
        <f t="shared" si="176"/>
        <v>0</v>
      </c>
      <c r="J924" s="435">
        <f t="shared" si="176"/>
        <v>0</v>
      </c>
      <c r="K924" s="435">
        <f t="shared" si="176"/>
        <v>0</v>
      </c>
      <c r="L924" s="435">
        <f t="shared" si="176"/>
        <v>0</v>
      </c>
      <c r="M924" s="435">
        <f t="shared" si="176"/>
        <v>0</v>
      </c>
      <c r="N924" s="435">
        <f t="shared" si="176"/>
        <v>0</v>
      </c>
      <c r="O924" s="435"/>
      <c r="P924" s="435"/>
      <c r="Q924" s="442"/>
      <c r="R924" s="442"/>
      <c r="S924" s="442"/>
      <c r="T924" s="432">
        <f t="shared" si="162"/>
        <v>0</v>
      </c>
    </row>
    <row r="925" spans="1:20" ht="22.2" hidden="1" customHeight="1">
      <c r="A925" s="379"/>
      <c r="B925" s="410" t="s">
        <v>265</v>
      </c>
      <c r="C925" s="469" t="str">
        <f t="shared" si="163"/>
        <v xml:space="preserve"> </v>
      </c>
      <c r="D925" s="440">
        <v>2</v>
      </c>
      <c r="E925" s="422"/>
      <c r="F925" s="441" t="str">
        <f>VLOOKUP($B925,[1]DG!A:D,[1]DG!$C$2,)</f>
        <v>Boulon 16x400+ 2 long đền vuông D18-50x50x3/Zn</v>
      </c>
      <c r="G925" s="422" t="str">
        <f>VLOOKUP($B925,[1]DG!A:D,[1]DG!$D$2,)</f>
        <v>bộ</v>
      </c>
      <c r="H925" s="435">
        <f t="shared" si="176"/>
        <v>0</v>
      </c>
      <c r="I925" s="435">
        <f t="shared" si="176"/>
        <v>0</v>
      </c>
      <c r="J925" s="435">
        <f t="shared" si="176"/>
        <v>0</v>
      </c>
      <c r="K925" s="435">
        <f t="shared" si="176"/>
        <v>0</v>
      </c>
      <c r="L925" s="435">
        <f t="shared" si="176"/>
        <v>0</v>
      </c>
      <c r="M925" s="435">
        <f t="shared" si="176"/>
        <v>0</v>
      </c>
      <c r="N925" s="435">
        <f t="shared" si="176"/>
        <v>0</v>
      </c>
      <c r="O925" s="435"/>
      <c r="P925" s="435"/>
      <c r="Q925" s="442"/>
      <c r="R925" s="442"/>
      <c r="S925" s="442"/>
      <c r="T925" s="432">
        <f t="shared" si="162"/>
        <v>0</v>
      </c>
    </row>
    <row r="926" spans="1:20" ht="22.2" hidden="1" customHeight="1">
      <c r="A926" s="379"/>
      <c r="B926" s="410" t="s">
        <v>928</v>
      </c>
      <c r="C926" s="469" t="str">
        <f t="shared" si="163"/>
        <v xml:space="preserve"> </v>
      </c>
      <c r="D926" s="440">
        <v>1</v>
      </c>
      <c r="E926" s="422"/>
      <c r="F926" s="441" t="str">
        <f>VLOOKUP($B926,[1]DG!A:D,[1]DG!$C$2,)</f>
        <v>Boulon 16x400VRS+ 4 long đền vuông D18-50x50x3/Zn</v>
      </c>
      <c r="G926" s="422" t="str">
        <f>VLOOKUP($B926,[1]DG!A:D,[1]DG!$D$2,)</f>
        <v>bộ</v>
      </c>
      <c r="H926" s="435">
        <f t="shared" si="176"/>
        <v>0</v>
      </c>
      <c r="I926" s="435">
        <f t="shared" si="176"/>
        <v>0</v>
      </c>
      <c r="J926" s="435">
        <f t="shared" si="176"/>
        <v>0</v>
      </c>
      <c r="K926" s="435">
        <f t="shared" si="176"/>
        <v>0</v>
      </c>
      <c r="L926" s="435">
        <f t="shared" si="176"/>
        <v>0</v>
      </c>
      <c r="M926" s="435">
        <f t="shared" si="176"/>
        <v>0</v>
      </c>
      <c r="N926" s="435">
        <f t="shared" si="176"/>
        <v>0</v>
      </c>
      <c r="O926" s="435"/>
      <c r="P926" s="435"/>
      <c r="Q926" s="442"/>
      <c r="R926" s="442"/>
      <c r="S926" s="442"/>
      <c r="T926" s="432">
        <f t="shared" si="162"/>
        <v>0</v>
      </c>
    </row>
    <row r="927" spans="1:20" ht="22.2" hidden="1" customHeight="1">
      <c r="A927" s="379"/>
      <c r="B927" s="410" t="s">
        <v>231</v>
      </c>
      <c r="C927" s="469" t="str">
        <f t="shared" si="163"/>
        <v xml:space="preserve"> </v>
      </c>
      <c r="D927" s="440">
        <v>2</v>
      </c>
      <c r="E927" s="422"/>
      <c r="F927" s="441" t="str">
        <f>VLOOKUP($B927,[1]DG!A:D,[1]DG!$C$2,)</f>
        <v>Boulon 16x50+ 2 long đền vuông D18-50x50x3/Zn</v>
      </c>
      <c r="G927" s="422" t="str">
        <f>VLOOKUP($B927,[1]DG!A:D,[1]DG!$D$2,)</f>
        <v>bộ</v>
      </c>
      <c r="H927" s="435">
        <f t="shared" si="176"/>
        <v>0</v>
      </c>
      <c r="I927" s="435">
        <f t="shared" si="176"/>
        <v>0</v>
      </c>
      <c r="J927" s="435">
        <f t="shared" si="176"/>
        <v>0</v>
      </c>
      <c r="K927" s="435">
        <f t="shared" si="176"/>
        <v>0</v>
      </c>
      <c r="L927" s="435">
        <f t="shared" si="176"/>
        <v>0</v>
      </c>
      <c r="M927" s="435">
        <f t="shared" si="176"/>
        <v>0</v>
      </c>
      <c r="N927" s="435">
        <f t="shared" si="176"/>
        <v>0</v>
      </c>
      <c r="O927" s="435"/>
      <c r="P927" s="435"/>
      <c r="Q927" s="442"/>
      <c r="R927" s="442"/>
      <c r="S927" s="442"/>
      <c r="T927" s="432">
        <f t="shared" si="162"/>
        <v>0</v>
      </c>
    </row>
    <row r="928" spans="1:20" ht="22.2" hidden="1" customHeight="1">
      <c r="A928" s="379"/>
      <c r="B928" s="477" t="s">
        <v>929</v>
      </c>
      <c r="C928" s="469" t="str">
        <f t="shared" si="163"/>
        <v xml:space="preserve"> </v>
      </c>
      <c r="D928" s="440">
        <v>1</v>
      </c>
      <c r="E928" s="422" t="str">
        <f>VLOOKUP($B928,[1]DG!A:D,[1]DG!$B$2,)</f>
        <v>05.6201</v>
      </c>
      <c r="F928" s="434" t="str">
        <f>VLOOKUP($B928,[1]DG!A:D,[1]DG!$C$2,)</f>
        <v>Lắp xà néo ≤ 25kg</v>
      </c>
      <c r="G928" s="422" t="str">
        <f>VLOOKUP($B928,[1]DG!A:D,[1]DG!$D$2,)</f>
        <v>bộ</v>
      </c>
      <c r="H928" s="435"/>
      <c r="I928" s="435"/>
      <c r="J928" s="435"/>
      <c r="K928" s="435"/>
      <c r="L928" s="435"/>
      <c r="M928" s="435"/>
      <c r="N928" s="435"/>
      <c r="O928" s="435"/>
      <c r="P928" s="435"/>
      <c r="Q928" s="437"/>
      <c r="R928" s="437"/>
      <c r="S928" s="437"/>
      <c r="T928" s="432">
        <f t="shared" si="162"/>
        <v>0</v>
      </c>
    </row>
    <row r="929" spans="1:20" ht="22.2" hidden="1" customHeight="1">
      <c r="A929" s="379"/>
      <c r="B929" s="410" t="s">
        <v>881</v>
      </c>
      <c r="C929" s="469" t="str">
        <f t="shared" si="163"/>
        <v xml:space="preserve"> </v>
      </c>
      <c r="D929" s="433"/>
      <c r="E929" s="422" t="str">
        <f>VLOOKUP($B929,[1]DG!A:D,[1]DG!$B$2,)</f>
        <v>02.1115</v>
      </c>
      <c r="F929" s="434" t="str">
        <f>VLOOKUP($B929,[1]DG!A:D,[1]DG!$C$2,)</f>
        <v>Bốc dỡ xà, thép thanh</v>
      </c>
      <c r="G929" s="422" t="str">
        <f>VLOOKUP($B929,[1]DG!A:D,[1]DG!$D$2,)</f>
        <v>tấn</v>
      </c>
      <c r="H929" s="435"/>
      <c r="I929" s="435"/>
      <c r="J929" s="435"/>
      <c r="K929" s="435"/>
      <c r="L929" s="435"/>
      <c r="M929" s="435"/>
      <c r="N929" s="435"/>
      <c r="O929" s="435"/>
      <c r="P929" s="435"/>
      <c r="Q929" s="437"/>
      <c r="R929" s="437"/>
      <c r="S929" s="437"/>
      <c r="T929" s="432">
        <f t="shared" si="162"/>
        <v>0</v>
      </c>
    </row>
    <row r="930" spans="1:20" ht="22.2" hidden="1" customHeight="1">
      <c r="A930" s="379"/>
      <c r="B930" s="438" t="s">
        <v>882</v>
      </c>
      <c r="C930" s="469" t="str">
        <f t="shared" si="163"/>
        <v xml:space="preserve"> </v>
      </c>
      <c r="D930" s="433"/>
      <c r="E930" s="422" t="str">
        <f>VLOOKUP($B930,[1]DG!A:C,2,)</f>
        <v>02.1361</v>
      </c>
      <c r="F930" s="434" t="str">
        <f>VLOOKUP($B930,[1]DG!A:C,3,)</f>
        <v>V/c xà vào vị trí (cư ly &lt;=100m)</v>
      </c>
      <c r="G930" s="422" t="str">
        <f>VLOOKUP($B930,[1]DG!A:D,4,0)</f>
        <v>tấn</v>
      </c>
      <c r="H930" s="435"/>
      <c r="I930" s="435"/>
      <c r="J930" s="435"/>
      <c r="K930" s="435"/>
      <c r="L930" s="435"/>
      <c r="M930" s="435"/>
      <c r="N930" s="435"/>
      <c r="O930" s="435"/>
      <c r="P930" s="435"/>
      <c r="Q930" s="437"/>
      <c r="R930" s="437"/>
      <c r="S930" s="437"/>
      <c r="T930" s="432">
        <f t="shared" si="162"/>
        <v>0</v>
      </c>
    </row>
    <row r="931" spans="1:20" ht="22.2" hidden="1" customHeight="1">
      <c r="A931" s="379"/>
      <c r="B931" s="438" t="s">
        <v>620</v>
      </c>
      <c r="C931" s="469" t="str">
        <f t="shared" si="163"/>
        <v xml:space="preserve"> </v>
      </c>
      <c r="D931" s="439"/>
      <c r="E931" s="422" t="str">
        <f>VLOOKUP($B931,[1]DG!A:C,2,)</f>
        <v>02.1482</v>
      </c>
      <c r="F931" s="434" t="str">
        <f>VLOOKUP($B931,[1]DG!A:C,3,)</f>
        <v>V/c dụng cụ thi công vào vị trí (cự ly &lt;=100m)</v>
      </c>
      <c r="G931" s="422" t="str">
        <f>VLOOKUP($B931,[1]DG!A:D,4,0)</f>
        <v>tấn</v>
      </c>
      <c r="H931" s="435"/>
      <c r="I931" s="435"/>
      <c r="J931" s="435"/>
      <c r="K931" s="435"/>
      <c r="L931" s="435"/>
      <c r="M931" s="435"/>
      <c r="N931" s="435"/>
      <c r="O931" s="435"/>
      <c r="P931" s="435"/>
      <c r="Q931" s="437"/>
      <c r="R931" s="437"/>
      <c r="S931" s="437"/>
      <c r="T931" s="432">
        <f t="shared" si="162"/>
        <v>0</v>
      </c>
    </row>
    <row r="932" spans="1:20" ht="22.2" customHeight="1">
      <c r="A932" s="423" t="s">
        <v>930</v>
      </c>
      <c r="B932" s="424" t="s">
        <v>930</v>
      </c>
      <c r="C932" s="469" t="str">
        <f t="shared" si="163"/>
        <v>x</v>
      </c>
      <c r="D932" s="464"/>
      <c r="E932" s="427"/>
      <c r="F932" s="428" t="s">
        <v>931</v>
      </c>
      <c r="G932" s="349" t="s">
        <v>67</v>
      </c>
      <c r="H932" s="429">
        <f>SUM(I932:O932)</f>
        <v>15</v>
      </c>
      <c r="I932" s="430"/>
      <c r="J932" s="430"/>
      <c r="K932" s="430">
        <f>IFERROR(HLOOKUP(B932,[1]pp3p1m!$1:$3,3,0),0)</f>
        <v>15</v>
      </c>
      <c r="L932" s="430">
        <f>IFERROR(HLOOKUP(chitiet!B932,[1]pp1p!$1:$3,3,0),0)</f>
        <v>0</v>
      </c>
      <c r="M932" s="430"/>
      <c r="N932" s="430"/>
      <c r="O932" s="430"/>
      <c r="P932" s="429">
        <f>H932+Q932-R932</f>
        <v>15</v>
      </c>
      <c r="Q932" s="431"/>
      <c r="R932" s="431"/>
      <c r="S932" s="431"/>
      <c r="T932" s="432">
        <f>IFERROR(HLOOKUP(B932,[1]pp1p!$1:$3,3,0),0)+IFERROR(HLOOKUP(B932,[1]pp3p1m!$1:$3,3,0),0)</f>
        <v>15</v>
      </c>
    </row>
    <row r="933" spans="1:20" ht="22.2" hidden="1" customHeight="1">
      <c r="A933" s="379"/>
      <c r="B933" s="410" t="s">
        <v>932</v>
      </c>
      <c r="C933" s="469" t="str">
        <f t="shared" si="163"/>
        <v>x</v>
      </c>
      <c r="D933" s="439">
        <v>1</v>
      </c>
      <c r="E933" s="422"/>
      <c r="F933" s="441" t="str">
        <f>VLOOKUP($B933,[1]DG!A:D,[1]DG!$C$2,)</f>
        <v>Sắt góc L75 x75 x8-2100</v>
      </c>
      <c r="G933" s="422" t="str">
        <f>VLOOKUP($B933,[1]DG!A:D,[1]DG!$D$2,)</f>
        <v>cái</v>
      </c>
      <c r="H933" s="435">
        <f t="shared" ref="H933:R937" si="177">H$932*$D933</f>
        <v>15</v>
      </c>
      <c r="I933" s="435">
        <f t="shared" si="177"/>
        <v>0</v>
      </c>
      <c r="J933" s="435">
        <f t="shared" si="177"/>
        <v>0</v>
      </c>
      <c r="K933" s="435">
        <f t="shared" si="177"/>
        <v>15</v>
      </c>
      <c r="L933" s="435">
        <f t="shared" si="177"/>
        <v>0</v>
      </c>
      <c r="M933" s="435">
        <f t="shared" si="177"/>
        <v>0</v>
      </c>
      <c r="N933" s="435">
        <f t="shared" si="177"/>
        <v>0</v>
      </c>
      <c r="O933" s="435">
        <f t="shared" si="177"/>
        <v>0</v>
      </c>
      <c r="P933" s="435">
        <f t="shared" si="177"/>
        <v>15</v>
      </c>
      <c r="Q933" s="435">
        <f t="shared" si="177"/>
        <v>0</v>
      </c>
      <c r="R933" s="435">
        <f t="shared" si="177"/>
        <v>0</v>
      </c>
      <c r="S933" s="442"/>
      <c r="T933" s="432">
        <f t="shared" si="162"/>
        <v>0</v>
      </c>
    </row>
    <row r="934" spans="1:20" ht="22.2" hidden="1" customHeight="1">
      <c r="A934" s="379"/>
      <c r="B934" s="410" t="s">
        <v>933</v>
      </c>
      <c r="C934" s="469" t="str">
        <f t="shared" si="163"/>
        <v>x</v>
      </c>
      <c r="D934" s="439">
        <v>1</v>
      </c>
      <c r="E934" s="422"/>
      <c r="F934" s="441" t="str">
        <f>VLOOKUP($B934,[1]DG!A:D,[1]DG!$C$2,)</f>
        <v>Sắt góc L50 x50 x5 x1190</v>
      </c>
      <c r="G934" s="422" t="str">
        <f>VLOOKUP($B934,[1]DG!A:D,[1]DG!$D$2,)</f>
        <v>cái</v>
      </c>
      <c r="H934" s="435">
        <f t="shared" si="177"/>
        <v>15</v>
      </c>
      <c r="I934" s="435">
        <f t="shared" si="177"/>
        <v>0</v>
      </c>
      <c r="J934" s="435">
        <f t="shared" si="177"/>
        <v>0</v>
      </c>
      <c r="K934" s="435">
        <f t="shared" si="177"/>
        <v>15</v>
      </c>
      <c r="L934" s="435">
        <f t="shared" si="177"/>
        <v>0</v>
      </c>
      <c r="M934" s="435">
        <f t="shared" si="177"/>
        <v>0</v>
      </c>
      <c r="N934" s="435">
        <f t="shared" si="177"/>
        <v>0</v>
      </c>
      <c r="O934" s="435"/>
      <c r="P934" s="435">
        <f t="shared" si="177"/>
        <v>15</v>
      </c>
      <c r="Q934" s="435">
        <f t="shared" si="177"/>
        <v>0</v>
      </c>
      <c r="R934" s="435">
        <f t="shared" si="177"/>
        <v>0</v>
      </c>
      <c r="S934" s="442"/>
      <c r="T934" s="432">
        <f t="shared" si="162"/>
        <v>0</v>
      </c>
    </row>
    <row r="935" spans="1:20" ht="22.2" hidden="1" customHeight="1">
      <c r="A935" s="379"/>
      <c r="B935" s="410" t="s">
        <v>934</v>
      </c>
      <c r="C935" s="469" t="str">
        <f t="shared" si="163"/>
        <v xml:space="preserve"> </v>
      </c>
      <c r="D935" s="439"/>
      <c r="E935" s="422"/>
      <c r="F935" s="441" t="str">
        <f>VLOOKUP($B935,[1]DG!A:D,[1]DG!$C$2,)</f>
        <v>Sắt dẹt 50x5</v>
      </c>
      <c r="G935" s="422" t="str">
        <f>VLOOKUP($B935,[1]DG!A:D,[1]DG!$D$2,)</f>
        <v>kg</v>
      </c>
      <c r="H935" s="435">
        <f t="shared" si="177"/>
        <v>0</v>
      </c>
      <c r="I935" s="435">
        <f t="shared" si="177"/>
        <v>0</v>
      </c>
      <c r="J935" s="435">
        <f t="shared" si="177"/>
        <v>0</v>
      </c>
      <c r="K935" s="435">
        <f t="shared" si="177"/>
        <v>0</v>
      </c>
      <c r="L935" s="435">
        <f t="shared" si="177"/>
        <v>0</v>
      </c>
      <c r="M935" s="435">
        <f t="shared" si="177"/>
        <v>0</v>
      </c>
      <c r="N935" s="435">
        <f t="shared" si="177"/>
        <v>0</v>
      </c>
      <c r="O935" s="435"/>
      <c r="P935" s="435"/>
      <c r="Q935" s="442"/>
      <c r="R935" s="442"/>
      <c r="S935" s="442"/>
      <c r="T935" s="432">
        <f t="shared" si="162"/>
        <v>0</v>
      </c>
    </row>
    <row r="936" spans="1:20" ht="22.2" hidden="1" customHeight="1">
      <c r="A936" s="379"/>
      <c r="B936" s="410" t="s">
        <v>65</v>
      </c>
      <c r="C936" s="469" t="str">
        <f t="shared" si="163"/>
        <v>x</v>
      </c>
      <c r="D936" s="440">
        <v>2</v>
      </c>
      <c r="E936" s="422"/>
      <c r="F936" s="441" t="str">
        <f>VLOOKUP($B936,[1]DG!A:D,[1]DG!$C$2,)</f>
        <v>Boulon 16x300+ 2 long đền vuông D18-50x50x3/Zn</v>
      </c>
      <c r="G936" s="422" t="str">
        <f>VLOOKUP($B936,[1]DG!A:D,[1]DG!$D$2,)</f>
        <v>bộ</v>
      </c>
      <c r="H936" s="435">
        <f t="shared" si="177"/>
        <v>30</v>
      </c>
      <c r="I936" s="435">
        <f t="shared" si="177"/>
        <v>0</v>
      </c>
      <c r="J936" s="435">
        <f t="shared" si="177"/>
        <v>0</v>
      </c>
      <c r="K936" s="435">
        <f t="shared" si="177"/>
        <v>30</v>
      </c>
      <c r="L936" s="435">
        <f t="shared" si="177"/>
        <v>0</v>
      </c>
      <c r="M936" s="435">
        <f t="shared" si="177"/>
        <v>0</v>
      </c>
      <c r="N936" s="435">
        <f t="shared" si="177"/>
        <v>0</v>
      </c>
      <c r="O936" s="435"/>
      <c r="P936" s="435">
        <f t="shared" si="177"/>
        <v>30</v>
      </c>
      <c r="Q936" s="435">
        <f t="shared" si="177"/>
        <v>0</v>
      </c>
      <c r="R936" s="435">
        <f t="shared" si="177"/>
        <v>0</v>
      </c>
      <c r="S936" s="442"/>
      <c r="T936" s="432">
        <f t="shared" ref="T936:T999" si="178">IFERROR(HLOOKUP(B936,BangKeTru,3,0),0)</f>
        <v>0</v>
      </c>
    </row>
    <row r="937" spans="1:20" ht="22.2" hidden="1" customHeight="1">
      <c r="A937" s="379"/>
      <c r="B937" s="410" t="s">
        <v>910</v>
      </c>
      <c r="C937" s="469" t="str">
        <f t="shared" ref="C937:C1000" si="179">IF(OR(P937&lt;&gt;0,H937&lt;&gt;0),"x"," ")</f>
        <v>x</v>
      </c>
      <c r="D937" s="440">
        <v>1</v>
      </c>
      <c r="E937" s="422"/>
      <c r="F937" s="441" t="str">
        <f>VLOOKUP($B937,[1]DG!A:D,[1]DG!$C$2,)</f>
        <v>Boulon 16x35+ 2 long đền vuông D18-50x50x3/Zn</v>
      </c>
      <c r="G937" s="422" t="str">
        <f>VLOOKUP($B937,[1]DG!A:D,[1]DG!$D$2,)</f>
        <v>bộ</v>
      </c>
      <c r="H937" s="435">
        <f t="shared" si="177"/>
        <v>15</v>
      </c>
      <c r="I937" s="435">
        <f t="shared" si="177"/>
        <v>0</v>
      </c>
      <c r="J937" s="435">
        <f t="shared" si="177"/>
        <v>0</v>
      </c>
      <c r="K937" s="435">
        <f t="shared" si="177"/>
        <v>15</v>
      </c>
      <c r="L937" s="435">
        <f t="shared" si="177"/>
        <v>0</v>
      </c>
      <c r="M937" s="435">
        <f t="shared" si="177"/>
        <v>0</v>
      </c>
      <c r="N937" s="435">
        <f t="shared" si="177"/>
        <v>0</v>
      </c>
      <c r="O937" s="435"/>
      <c r="P937" s="435">
        <f t="shared" si="177"/>
        <v>15</v>
      </c>
      <c r="Q937" s="435">
        <f t="shared" si="177"/>
        <v>0</v>
      </c>
      <c r="R937" s="435">
        <f t="shared" si="177"/>
        <v>0</v>
      </c>
      <c r="S937" s="442"/>
      <c r="T937" s="432">
        <f t="shared" si="178"/>
        <v>0</v>
      </c>
    </row>
    <row r="938" spans="1:20" ht="22.2" hidden="1" customHeight="1">
      <c r="A938" s="379"/>
      <c r="B938" s="410" t="s">
        <v>935</v>
      </c>
      <c r="C938" s="469" t="str">
        <f t="shared" si="179"/>
        <v xml:space="preserve"> </v>
      </c>
      <c r="D938" s="440">
        <v>1</v>
      </c>
      <c r="E938" s="422" t="str">
        <f>VLOOKUP($B938,[1]DG!A:D,[1]DG!$B$2,)</f>
        <v>05.6102</v>
      </c>
      <c r="F938" s="434" t="str">
        <f>VLOOKUP($B938,[1]DG!A:D,[1]DG!$C$2,)</f>
        <v>Lắp xà đỡ ≤ 50kg</v>
      </c>
      <c r="G938" s="422" t="str">
        <f>VLOOKUP($B938,[1]DG!A:D,[1]DG!$D$2,)</f>
        <v>bộ</v>
      </c>
      <c r="H938" s="435"/>
      <c r="I938" s="435"/>
      <c r="J938" s="435"/>
      <c r="K938" s="435"/>
      <c r="L938" s="435"/>
      <c r="M938" s="435"/>
      <c r="N938" s="435"/>
      <c r="O938" s="435"/>
      <c r="P938" s="435"/>
      <c r="Q938" s="437"/>
      <c r="R938" s="437"/>
      <c r="S938" s="437"/>
      <c r="T938" s="432">
        <f t="shared" si="178"/>
        <v>0</v>
      </c>
    </row>
    <row r="939" spans="1:20" ht="22.2" hidden="1" customHeight="1">
      <c r="A939" s="379"/>
      <c r="B939" s="410" t="s">
        <v>881</v>
      </c>
      <c r="C939" s="469" t="str">
        <f t="shared" si="179"/>
        <v xml:space="preserve"> </v>
      </c>
      <c r="D939" s="433"/>
      <c r="E939" s="422" t="str">
        <f>VLOOKUP($B939,[1]DG!A:D,[1]DG!$B$2,)</f>
        <v>02.1115</v>
      </c>
      <c r="F939" s="434" t="str">
        <f>VLOOKUP($B939,[1]DG!A:D,[1]DG!$C$2,)</f>
        <v>Bốc dỡ xà, thép thanh</v>
      </c>
      <c r="G939" s="422" t="str">
        <f>VLOOKUP($B939,[1]DG!A:D,[1]DG!$D$2,)</f>
        <v>tấn</v>
      </c>
      <c r="H939" s="435"/>
      <c r="I939" s="435"/>
      <c r="J939" s="435"/>
      <c r="K939" s="435"/>
      <c r="L939" s="435"/>
      <c r="M939" s="435"/>
      <c r="N939" s="435"/>
      <c r="O939" s="435"/>
      <c r="P939" s="435"/>
      <c r="Q939" s="437"/>
      <c r="R939" s="437"/>
      <c r="S939" s="437"/>
      <c r="T939" s="432">
        <f t="shared" si="178"/>
        <v>0</v>
      </c>
    </row>
    <row r="940" spans="1:20" ht="22.2" hidden="1" customHeight="1">
      <c r="A940" s="379"/>
      <c r="B940" s="438" t="s">
        <v>882</v>
      </c>
      <c r="C940" s="469" t="str">
        <f t="shared" si="179"/>
        <v xml:space="preserve"> </v>
      </c>
      <c r="D940" s="433"/>
      <c r="E940" s="422" t="str">
        <f>VLOOKUP($B940,[1]DG!A:C,2,)</f>
        <v>02.1361</v>
      </c>
      <c r="F940" s="434" t="str">
        <f>VLOOKUP($B940,[1]DG!A:C,3,)</f>
        <v>V/c xà vào vị trí (cư ly &lt;=100m)</v>
      </c>
      <c r="G940" s="422" t="str">
        <f>VLOOKUP($B940,[1]DG!A:D,4,0)</f>
        <v>tấn</v>
      </c>
      <c r="H940" s="435"/>
      <c r="I940" s="435"/>
      <c r="J940" s="435"/>
      <c r="K940" s="435"/>
      <c r="L940" s="435"/>
      <c r="M940" s="435"/>
      <c r="N940" s="435"/>
      <c r="O940" s="435"/>
      <c r="P940" s="435"/>
      <c r="Q940" s="437"/>
      <c r="R940" s="437"/>
      <c r="S940" s="437"/>
      <c r="T940" s="432">
        <f t="shared" si="178"/>
        <v>0</v>
      </c>
    </row>
    <row r="941" spans="1:20" ht="22.2" hidden="1" customHeight="1">
      <c r="A941" s="379"/>
      <c r="B941" s="438" t="s">
        <v>620</v>
      </c>
      <c r="C941" s="469" t="str">
        <f t="shared" si="179"/>
        <v xml:space="preserve"> </v>
      </c>
      <c r="D941" s="439"/>
      <c r="E941" s="422" t="str">
        <f>VLOOKUP($B941,[1]DG!A:C,2,)</f>
        <v>02.1482</v>
      </c>
      <c r="F941" s="434" t="str">
        <f>VLOOKUP($B941,[1]DG!A:C,3,)</f>
        <v>V/c dụng cụ thi công vào vị trí (cự ly &lt;=100m)</v>
      </c>
      <c r="G941" s="422" t="str">
        <f>VLOOKUP($B941,[1]DG!A:D,4,0)</f>
        <v>tấn</v>
      </c>
      <c r="H941" s="435"/>
      <c r="I941" s="435"/>
      <c r="J941" s="435"/>
      <c r="K941" s="435"/>
      <c r="L941" s="435"/>
      <c r="M941" s="435"/>
      <c r="N941" s="435"/>
      <c r="O941" s="435"/>
      <c r="P941" s="435"/>
      <c r="Q941" s="437"/>
      <c r="R941" s="437"/>
      <c r="S941" s="437"/>
      <c r="T941" s="432">
        <f t="shared" si="178"/>
        <v>0</v>
      </c>
    </row>
    <row r="942" spans="1:20" ht="22.2" customHeight="1">
      <c r="A942" s="423" t="s">
        <v>936</v>
      </c>
      <c r="B942" s="424" t="s">
        <v>936</v>
      </c>
      <c r="C942" s="469" t="str">
        <f t="shared" si="179"/>
        <v>x</v>
      </c>
      <c r="D942" s="459"/>
      <c r="E942" s="427"/>
      <c r="F942" s="428" t="s">
        <v>937</v>
      </c>
      <c r="G942" s="349" t="s">
        <v>67</v>
      </c>
      <c r="H942" s="429">
        <f>SUM(I942:O942)</f>
        <v>1</v>
      </c>
      <c r="I942" s="430"/>
      <c r="J942" s="430"/>
      <c r="K942" s="430">
        <f>IFERROR(HLOOKUP(B942,[1]pp3p1m!$1:$3,3,0),0)</f>
        <v>1</v>
      </c>
      <c r="L942" s="430">
        <f>IFERROR(HLOOKUP(chitiet!B942,[1]pp1p!$1:$3,3,0),0)</f>
        <v>0</v>
      </c>
      <c r="M942" s="430"/>
      <c r="N942" s="430"/>
      <c r="O942" s="430"/>
      <c r="P942" s="429">
        <f>H942+Q942-R942</f>
        <v>1</v>
      </c>
      <c r="Q942" s="431"/>
      <c r="R942" s="431"/>
      <c r="S942" s="431"/>
      <c r="T942" s="432">
        <f>IFERROR(HLOOKUP(B942,[1]pp1p!$1:$3,3,0),0)+IFERROR(HLOOKUP(B942,[1]pp3p1m!$1:$3,3,0),0)</f>
        <v>1</v>
      </c>
    </row>
    <row r="943" spans="1:20" ht="22.2" hidden="1" customHeight="1">
      <c r="A943" s="379"/>
      <c r="B943" s="410" t="s">
        <v>932</v>
      </c>
      <c r="C943" s="469" t="str">
        <f t="shared" si="179"/>
        <v>x</v>
      </c>
      <c r="D943" s="439">
        <v>2</v>
      </c>
      <c r="E943" s="422"/>
      <c r="F943" s="441" t="str">
        <f>VLOOKUP($B943,[1]DG!A:D,[1]DG!$C$2,)</f>
        <v>Sắt góc L75 x75 x8-2100</v>
      </c>
      <c r="G943" s="422" t="str">
        <f>VLOOKUP($B943,[1]DG!A:D,[1]DG!$D$2,)</f>
        <v>cái</v>
      </c>
      <c r="H943" s="435">
        <f t="shared" ref="H943:R948" si="180">H$942*$D943</f>
        <v>2</v>
      </c>
      <c r="I943" s="435">
        <f t="shared" si="180"/>
        <v>0</v>
      </c>
      <c r="J943" s="435">
        <f t="shared" si="180"/>
        <v>0</v>
      </c>
      <c r="K943" s="435">
        <f t="shared" si="180"/>
        <v>2</v>
      </c>
      <c r="L943" s="435">
        <f t="shared" si="180"/>
        <v>0</v>
      </c>
      <c r="M943" s="435">
        <f t="shared" si="180"/>
        <v>0</v>
      </c>
      <c r="N943" s="435">
        <f t="shared" si="180"/>
        <v>0</v>
      </c>
      <c r="O943" s="435">
        <f t="shared" si="180"/>
        <v>0</v>
      </c>
      <c r="P943" s="435">
        <f t="shared" si="180"/>
        <v>2</v>
      </c>
      <c r="Q943" s="435">
        <f t="shared" si="180"/>
        <v>0</v>
      </c>
      <c r="R943" s="435">
        <f t="shared" si="180"/>
        <v>0</v>
      </c>
      <c r="S943" s="442"/>
      <c r="T943" s="432">
        <f t="shared" si="178"/>
        <v>0</v>
      </c>
    </row>
    <row r="944" spans="1:20" ht="22.2" hidden="1" customHeight="1">
      <c r="A944" s="379"/>
      <c r="B944" s="410" t="s">
        <v>933</v>
      </c>
      <c r="C944" s="469" t="str">
        <f t="shared" si="179"/>
        <v>x</v>
      </c>
      <c r="D944" s="439">
        <v>2</v>
      </c>
      <c r="E944" s="422"/>
      <c r="F944" s="441" t="str">
        <f>VLOOKUP($B944,[1]DG!A:D,[1]DG!$C$2,)</f>
        <v>Sắt góc L50 x50 x5 x1190</v>
      </c>
      <c r="G944" s="422" t="str">
        <f>VLOOKUP($B944,[1]DG!A:D,[1]DG!$D$2,)</f>
        <v>cái</v>
      </c>
      <c r="H944" s="435">
        <f t="shared" si="180"/>
        <v>2</v>
      </c>
      <c r="I944" s="435">
        <f t="shared" si="180"/>
        <v>0</v>
      </c>
      <c r="J944" s="435">
        <f t="shared" si="180"/>
        <v>0</v>
      </c>
      <c r="K944" s="435">
        <f t="shared" si="180"/>
        <v>2</v>
      </c>
      <c r="L944" s="435">
        <f t="shared" si="180"/>
        <v>0</v>
      </c>
      <c r="M944" s="435">
        <f t="shared" si="180"/>
        <v>0</v>
      </c>
      <c r="N944" s="435">
        <f t="shared" si="180"/>
        <v>0</v>
      </c>
      <c r="O944" s="435"/>
      <c r="P944" s="435">
        <f t="shared" si="180"/>
        <v>2</v>
      </c>
      <c r="Q944" s="435">
        <f t="shared" si="180"/>
        <v>0</v>
      </c>
      <c r="R944" s="435">
        <f t="shared" si="180"/>
        <v>0</v>
      </c>
      <c r="S944" s="442"/>
      <c r="T944" s="432">
        <f t="shared" si="178"/>
        <v>0</v>
      </c>
    </row>
    <row r="945" spans="1:20" ht="22.2" hidden="1" customHeight="1">
      <c r="A945" s="379"/>
      <c r="B945" s="410" t="s">
        <v>934</v>
      </c>
      <c r="C945" s="469" t="str">
        <f t="shared" si="179"/>
        <v xml:space="preserve"> </v>
      </c>
      <c r="D945" s="439"/>
      <c r="E945" s="422"/>
      <c r="F945" s="441" t="str">
        <f>VLOOKUP($B945,[1]DG!A:D,[1]DG!$C$2,)</f>
        <v>Sắt dẹt 50x5</v>
      </c>
      <c r="G945" s="422" t="str">
        <f>VLOOKUP($B945,[1]DG!A:D,[1]DG!$D$2,)</f>
        <v>kg</v>
      </c>
      <c r="H945" s="435">
        <f t="shared" si="180"/>
        <v>0</v>
      </c>
      <c r="I945" s="435">
        <f t="shared" si="180"/>
        <v>0</v>
      </c>
      <c r="J945" s="435">
        <f t="shared" si="180"/>
        <v>0</v>
      </c>
      <c r="K945" s="435">
        <f t="shared" si="180"/>
        <v>0</v>
      </c>
      <c r="L945" s="435">
        <f t="shared" si="180"/>
        <v>0</v>
      </c>
      <c r="M945" s="435">
        <f t="shared" si="180"/>
        <v>0</v>
      </c>
      <c r="N945" s="435">
        <f t="shared" si="180"/>
        <v>0</v>
      </c>
      <c r="O945" s="435"/>
      <c r="P945" s="435"/>
      <c r="Q945" s="442"/>
      <c r="R945" s="442"/>
      <c r="S945" s="442"/>
      <c r="T945" s="432">
        <f t="shared" si="178"/>
        <v>0</v>
      </c>
    </row>
    <row r="946" spans="1:20" ht="22.2" hidden="1" customHeight="1">
      <c r="A946" s="379"/>
      <c r="B946" s="410" t="s">
        <v>891</v>
      </c>
      <c r="C946" s="469" t="str">
        <f t="shared" si="179"/>
        <v>x</v>
      </c>
      <c r="D946" s="440">
        <v>3</v>
      </c>
      <c r="E946" s="422"/>
      <c r="F946" s="441" t="str">
        <f>VLOOKUP($B946,[1]DG!A:D,[1]DG!$C$2,)</f>
        <v>Boulon 16x300VRS+ 4 long đền vuông D18-50x50x3/Zn</v>
      </c>
      <c r="G946" s="422" t="str">
        <f>VLOOKUP($B946,[1]DG!A:D,[1]DG!$D$2,)</f>
        <v>bộ</v>
      </c>
      <c r="H946" s="435">
        <f t="shared" si="180"/>
        <v>3</v>
      </c>
      <c r="I946" s="435">
        <f t="shared" si="180"/>
        <v>0</v>
      </c>
      <c r="J946" s="435">
        <f t="shared" si="180"/>
        <v>0</v>
      </c>
      <c r="K946" s="435">
        <f t="shared" si="180"/>
        <v>3</v>
      </c>
      <c r="L946" s="435">
        <f t="shared" si="180"/>
        <v>0</v>
      </c>
      <c r="M946" s="435">
        <f t="shared" si="180"/>
        <v>0</v>
      </c>
      <c r="N946" s="435">
        <f t="shared" si="180"/>
        <v>0</v>
      </c>
      <c r="O946" s="435"/>
      <c r="P946" s="435">
        <f t="shared" si="180"/>
        <v>3</v>
      </c>
      <c r="Q946" s="435">
        <f t="shared" si="180"/>
        <v>0</v>
      </c>
      <c r="R946" s="435">
        <f t="shared" si="180"/>
        <v>0</v>
      </c>
      <c r="S946" s="442"/>
      <c r="T946" s="432">
        <f t="shared" si="178"/>
        <v>0</v>
      </c>
    </row>
    <row r="947" spans="1:20" ht="22.2" hidden="1" customHeight="1">
      <c r="A947" s="379"/>
      <c r="B947" s="410" t="s">
        <v>65</v>
      </c>
      <c r="C947" s="469" t="str">
        <f t="shared" si="179"/>
        <v>x</v>
      </c>
      <c r="D947" s="440">
        <v>2</v>
      </c>
      <c r="E947" s="422"/>
      <c r="F947" s="441" t="str">
        <f>VLOOKUP($B947,[1]DG!A:D,[1]DG!$C$2,)</f>
        <v>Boulon 16x300+ 2 long đền vuông D18-50x50x3/Zn</v>
      </c>
      <c r="G947" s="422" t="str">
        <f>VLOOKUP($B947,[1]DG!A:D,[1]DG!$D$2,)</f>
        <v>bộ</v>
      </c>
      <c r="H947" s="435">
        <f t="shared" si="180"/>
        <v>2</v>
      </c>
      <c r="I947" s="435">
        <f t="shared" si="180"/>
        <v>0</v>
      </c>
      <c r="J947" s="435">
        <f t="shared" si="180"/>
        <v>0</v>
      </c>
      <c r="K947" s="435">
        <f t="shared" si="180"/>
        <v>2</v>
      </c>
      <c r="L947" s="435">
        <f t="shared" si="180"/>
        <v>0</v>
      </c>
      <c r="M947" s="435">
        <f t="shared" si="180"/>
        <v>0</v>
      </c>
      <c r="N947" s="435">
        <f t="shared" si="180"/>
        <v>0</v>
      </c>
      <c r="O947" s="435"/>
      <c r="P947" s="435">
        <f t="shared" si="180"/>
        <v>2</v>
      </c>
      <c r="Q947" s="435">
        <f t="shared" si="180"/>
        <v>0</v>
      </c>
      <c r="R947" s="435">
        <f t="shared" si="180"/>
        <v>0</v>
      </c>
      <c r="S947" s="442"/>
      <c r="T947" s="432">
        <f t="shared" si="178"/>
        <v>0</v>
      </c>
    </row>
    <row r="948" spans="1:20" ht="22.2" hidden="1" customHeight="1">
      <c r="A948" s="379"/>
      <c r="B948" s="410" t="s">
        <v>910</v>
      </c>
      <c r="C948" s="469" t="str">
        <f t="shared" si="179"/>
        <v>x</v>
      </c>
      <c r="D948" s="440">
        <v>2</v>
      </c>
      <c r="E948" s="422"/>
      <c r="F948" s="441" t="str">
        <f>VLOOKUP($B948,[1]DG!A:D,[1]DG!$C$2,)</f>
        <v>Boulon 16x35+ 2 long đền vuông D18-50x50x3/Zn</v>
      </c>
      <c r="G948" s="422" t="str">
        <f>VLOOKUP($B948,[1]DG!A:D,[1]DG!$D$2,)</f>
        <v>bộ</v>
      </c>
      <c r="H948" s="435">
        <f t="shared" si="180"/>
        <v>2</v>
      </c>
      <c r="I948" s="435">
        <f t="shared" si="180"/>
        <v>0</v>
      </c>
      <c r="J948" s="435">
        <f t="shared" si="180"/>
        <v>0</v>
      </c>
      <c r="K948" s="435">
        <f t="shared" si="180"/>
        <v>2</v>
      </c>
      <c r="L948" s="435">
        <f t="shared" si="180"/>
        <v>0</v>
      </c>
      <c r="M948" s="435">
        <f t="shared" si="180"/>
        <v>0</v>
      </c>
      <c r="N948" s="435">
        <f t="shared" si="180"/>
        <v>0</v>
      </c>
      <c r="O948" s="435"/>
      <c r="P948" s="435">
        <f t="shared" si="180"/>
        <v>2</v>
      </c>
      <c r="Q948" s="435">
        <f t="shared" si="180"/>
        <v>0</v>
      </c>
      <c r="R948" s="435">
        <f t="shared" si="180"/>
        <v>0</v>
      </c>
      <c r="S948" s="442"/>
      <c r="T948" s="432">
        <f t="shared" si="178"/>
        <v>0</v>
      </c>
    </row>
    <row r="949" spans="1:20" ht="22.2" hidden="1" customHeight="1">
      <c r="A949" s="379"/>
      <c r="B949" s="410" t="s">
        <v>379</v>
      </c>
      <c r="C949" s="469" t="str">
        <f t="shared" si="179"/>
        <v xml:space="preserve"> </v>
      </c>
      <c r="D949" s="440">
        <v>1</v>
      </c>
      <c r="E949" s="422" t="str">
        <f>VLOOKUP($B949,[1]DG!A:D,[1]DG!$B$2,)</f>
        <v>05.6203</v>
      </c>
      <c r="F949" s="434" t="str">
        <f>VLOOKUP($B949,[1]DG!A:D,[1]DG!$C$2,)</f>
        <v>Lắp xà néo ≤ 100kg</v>
      </c>
      <c r="G949" s="422" t="str">
        <f>VLOOKUP($B949,[1]DG!A:D,[1]DG!$D$2,)</f>
        <v>bộ</v>
      </c>
      <c r="H949" s="435"/>
      <c r="I949" s="435"/>
      <c r="J949" s="435"/>
      <c r="K949" s="435"/>
      <c r="L949" s="435"/>
      <c r="M949" s="435"/>
      <c r="N949" s="435"/>
      <c r="O949" s="435"/>
      <c r="P949" s="435"/>
      <c r="Q949" s="437"/>
      <c r="R949" s="437"/>
      <c r="S949" s="437"/>
      <c r="T949" s="432">
        <f t="shared" si="178"/>
        <v>0</v>
      </c>
    </row>
    <row r="950" spans="1:20" ht="22.2" hidden="1" customHeight="1">
      <c r="A950" s="379"/>
      <c r="B950" s="410" t="s">
        <v>881</v>
      </c>
      <c r="C950" s="469" t="str">
        <f t="shared" si="179"/>
        <v xml:space="preserve"> </v>
      </c>
      <c r="D950" s="433"/>
      <c r="E950" s="422" t="str">
        <f>VLOOKUP($B950,[1]DG!A:D,[1]DG!$B$2,)</f>
        <v>02.1115</v>
      </c>
      <c r="F950" s="434" t="str">
        <f>VLOOKUP($B950,[1]DG!A:D,[1]DG!$C$2,)</f>
        <v>Bốc dỡ xà, thép thanh</v>
      </c>
      <c r="G950" s="422" t="str">
        <f>VLOOKUP($B950,[1]DG!A:D,[1]DG!$D$2,)</f>
        <v>tấn</v>
      </c>
      <c r="H950" s="435"/>
      <c r="I950" s="435"/>
      <c r="J950" s="435"/>
      <c r="K950" s="435"/>
      <c r="L950" s="435"/>
      <c r="M950" s="435"/>
      <c r="N950" s="435"/>
      <c r="O950" s="435"/>
      <c r="P950" s="435"/>
      <c r="Q950" s="437"/>
      <c r="R950" s="437"/>
      <c r="S950" s="437"/>
      <c r="T950" s="432">
        <f t="shared" si="178"/>
        <v>0</v>
      </c>
    </row>
    <row r="951" spans="1:20" ht="22.2" hidden="1" customHeight="1">
      <c r="A951" s="379"/>
      <c r="B951" s="438" t="s">
        <v>882</v>
      </c>
      <c r="C951" s="469" t="str">
        <f t="shared" si="179"/>
        <v xml:space="preserve"> </v>
      </c>
      <c r="D951" s="433"/>
      <c r="E951" s="422" t="str">
        <f>VLOOKUP($B951,[1]DG!A:C,2,)</f>
        <v>02.1361</v>
      </c>
      <c r="F951" s="434" t="str">
        <f>VLOOKUP($B951,[1]DG!A:C,3,)</f>
        <v>V/c xà vào vị trí (cư ly &lt;=100m)</v>
      </c>
      <c r="G951" s="422" t="str">
        <f>VLOOKUP($B951,[1]DG!A:D,4,0)</f>
        <v>tấn</v>
      </c>
      <c r="H951" s="435"/>
      <c r="I951" s="435"/>
      <c r="J951" s="435"/>
      <c r="K951" s="435"/>
      <c r="L951" s="435"/>
      <c r="M951" s="435"/>
      <c r="N951" s="435"/>
      <c r="O951" s="435"/>
      <c r="P951" s="435"/>
      <c r="Q951" s="437"/>
      <c r="R951" s="437"/>
      <c r="S951" s="437"/>
      <c r="T951" s="432">
        <f t="shared" si="178"/>
        <v>0</v>
      </c>
    </row>
    <row r="952" spans="1:20" ht="22.2" hidden="1" customHeight="1">
      <c r="A952" s="379"/>
      <c r="B952" s="438" t="s">
        <v>620</v>
      </c>
      <c r="C952" s="469" t="str">
        <f t="shared" si="179"/>
        <v xml:space="preserve"> </v>
      </c>
      <c r="D952" s="439"/>
      <c r="E952" s="422" t="str">
        <f>VLOOKUP($B952,[1]DG!A:C,2,)</f>
        <v>02.1482</v>
      </c>
      <c r="F952" s="434" t="str">
        <f>VLOOKUP($B952,[1]DG!A:C,3,)</f>
        <v>V/c dụng cụ thi công vào vị trí (cự ly &lt;=100m)</v>
      </c>
      <c r="G952" s="422" t="str">
        <f>VLOOKUP($B952,[1]DG!A:D,4,0)</f>
        <v>tấn</v>
      </c>
      <c r="H952" s="435"/>
      <c r="I952" s="435"/>
      <c r="J952" s="435"/>
      <c r="K952" s="435"/>
      <c r="L952" s="435"/>
      <c r="M952" s="435"/>
      <c r="N952" s="435"/>
      <c r="O952" s="435"/>
      <c r="P952" s="435"/>
      <c r="Q952" s="437"/>
      <c r="R952" s="437"/>
      <c r="S952" s="437"/>
      <c r="T952" s="432">
        <f t="shared" si="178"/>
        <v>0</v>
      </c>
    </row>
    <row r="953" spans="1:20" ht="22.2" hidden="1" customHeight="1">
      <c r="A953" s="451" t="s">
        <v>465</v>
      </c>
      <c r="B953" s="424" t="s">
        <v>465</v>
      </c>
      <c r="C953" s="465" t="str">
        <f t="shared" si="179"/>
        <v xml:space="preserve"> </v>
      </c>
      <c r="D953" s="426"/>
      <c r="E953" s="427"/>
      <c r="F953" s="428" t="s">
        <v>466</v>
      </c>
      <c r="G953" s="349" t="s">
        <v>67</v>
      </c>
      <c r="H953" s="429">
        <f>SUM(I953:O953)</f>
        <v>0</v>
      </c>
      <c r="I953" s="430"/>
      <c r="J953" s="430"/>
      <c r="K953" s="430">
        <f>IFERROR(HLOOKUP(B953,[1]pp3p1m!$1:$3,3,0),0)</f>
        <v>0</v>
      </c>
      <c r="L953" s="430">
        <f>IFERROR(HLOOKUP(chitiet!B953,[1]pp1p!$1:$3,3,0),0)</f>
        <v>0</v>
      </c>
      <c r="M953" s="430"/>
      <c r="N953" s="430"/>
      <c r="O953" s="430"/>
      <c r="P953" s="429">
        <f>H953+Q953-R953</f>
        <v>0</v>
      </c>
      <c r="Q953" s="431"/>
      <c r="R953" s="431"/>
      <c r="S953" s="431"/>
      <c r="T953" s="432">
        <f>IFERROR(HLOOKUP(B953,[1]pp1p!$1:$3,3,0),0)+IFERROR(HLOOKUP(B953,[1]pp3p1m!$1:$3,3,0),0)</f>
        <v>0</v>
      </c>
    </row>
    <row r="954" spans="1:20" ht="22.2" hidden="1" customHeight="1">
      <c r="B954" s="406" t="s">
        <v>235</v>
      </c>
      <c r="C954" s="465" t="str">
        <f t="shared" si="179"/>
        <v xml:space="preserve"> </v>
      </c>
      <c r="D954" s="439">
        <v>1</v>
      </c>
      <c r="E954" s="422"/>
      <c r="F954" s="441" t="str">
        <f>VLOOKUP($B954,[1]DG!A:D,[1]DG!$C$2,)&amp;" - 2000"</f>
        <v>Sắt góc L75 x75 x8 - 2000</v>
      </c>
      <c r="G954" s="422" t="str">
        <f>VLOOKUP($B954,[1]DG!A:D,[1]DG!$D$2,)</f>
        <v>kg</v>
      </c>
      <c r="H954" s="435">
        <f t="shared" ref="H954:N957" si="181">H$953*$D954</f>
        <v>0</v>
      </c>
      <c r="I954" s="435">
        <f t="shared" si="181"/>
        <v>0</v>
      </c>
      <c r="J954" s="435">
        <f t="shared" si="181"/>
        <v>0</v>
      </c>
      <c r="K954" s="435">
        <f t="shared" si="181"/>
        <v>0</v>
      </c>
      <c r="L954" s="435">
        <f t="shared" si="181"/>
        <v>0</v>
      </c>
      <c r="M954" s="435">
        <f t="shared" si="181"/>
        <v>0</v>
      </c>
      <c r="N954" s="435">
        <f t="shared" si="181"/>
        <v>0</v>
      </c>
      <c r="O954" s="435"/>
      <c r="P954" s="461">
        <f>$P$953*D954</f>
        <v>0</v>
      </c>
      <c r="Q954" s="457">
        <f>$Q$953*D954</f>
        <v>0</v>
      </c>
      <c r="R954" s="442"/>
      <c r="S954" s="442"/>
      <c r="T954" s="432">
        <f t="shared" si="178"/>
        <v>0</v>
      </c>
    </row>
    <row r="955" spans="1:20" ht="22.2" hidden="1" customHeight="1">
      <c r="B955" s="406" t="s">
        <v>236</v>
      </c>
      <c r="C955" s="465" t="str">
        <f t="shared" si="179"/>
        <v xml:space="preserve"> </v>
      </c>
      <c r="D955" s="439">
        <v>1</v>
      </c>
      <c r="E955" s="422"/>
      <c r="F955" s="441" t="str">
        <f>VLOOKUP($B955,[1]DG!A:D,[1]DG!$C$2,)&amp;" :chống 1150"</f>
        <v>Sắt góc L50 x50 x5 :chống 1150</v>
      </c>
      <c r="G955" s="422" t="str">
        <f>VLOOKUP($B955,[1]DG!A:D,[1]DG!$D$2,)</f>
        <v>kg</v>
      </c>
      <c r="H955" s="435">
        <f t="shared" si="181"/>
        <v>0</v>
      </c>
      <c r="I955" s="435">
        <f t="shared" si="181"/>
        <v>0</v>
      </c>
      <c r="J955" s="435">
        <f t="shared" si="181"/>
        <v>0</v>
      </c>
      <c r="K955" s="435">
        <f t="shared" si="181"/>
        <v>0</v>
      </c>
      <c r="L955" s="435">
        <f t="shared" si="181"/>
        <v>0</v>
      </c>
      <c r="M955" s="435">
        <f t="shared" si="181"/>
        <v>0</v>
      </c>
      <c r="N955" s="435">
        <f t="shared" si="181"/>
        <v>0</v>
      </c>
      <c r="O955" s="435"/>
      <c r="P955" s="435">
        <f>$P$953*D955</f>
        <v>0</v>
      </c>
      <c r="Q955" s="457">
        <f>$Q$953*D955</f>
        <v>0</v>
      </c>
      <c r="R955" s="442"/>
      <c r="S955" s="442"/>
      <c r="T955" s="432">
        <f t="shared" si="178"/>
        <v>0</v>
      </c>
    </row>
    <row r="956" spans="1:20" ht="22.2" hidden="1" customHeight="1">
      <c r="B956" s="406" t="s">
        <v>237</v>
      </c>
      <c r="C956" s="465" t="str">
        <f t="shared" si="179"/>
        <v xml:space="preserve"> </v>
      </c>
      <c r="D956" s="440">
        <v>2</v>
      </c>
      <c r="E956" s="422"/>
      <c r="F956" s="441" t="str">
        <f>VLOOKUP($B956,[1]DG!A:D,[1]DG!$C$2,)</f>
        <v>Boulon 16x250+ 2 long đền vuông D18-50x50x3/Zn</v>
      </c>
      <c r="G956" s="422" t="str">
        <f>VLOOKUP($B956,[1]DG!A:D,[1]DG!$D$2,)</f>
        <v>bộ</v>
      </c>
      <c r="H956" s="435">
        <f t="shared" si="181"/>
        <v>0</v>
      </c>
      <c r="I956" s="435">
        <f t="shared" si="181"/>
        <v>0</v>
      </c>
      <c r="J956" s="435">
        <f t="shared" si="181"/>
        <v>0</v>
      </c>
      <c r="K956" s="435">
        <f t="shared" si="181"/>
        <v>0</v>
      </c>
      <c r="L956" s="435">
        <f t="shared" si="181"/>
        <v>0</v>
      </c>
      <c r="M956" s="435">
        <f t="shared" si="181"/>
        <v>0</v>
      </c>
      <c r="N956" s="435">
        <f t="shared" si="181"/>
        <v>0</v>
      </c>
      <c r="O956" s="435"/>
      <c r="P956" s="435">
        <f>$P$953*D956</f>
        <v>0</v>
      </c>
      <c r="Q956" s="442">
        <f>$Q$953*D956</f>
        <v>0</v>
      </c>
      <c r="R956" s="442"/>
      <c r="S956" s="442"/>
      <c r="T956" s="432">
        <f t="shared" si="178"/>
        <v>0</v>
      </c>
    </row>
    <row r="957" spans="1:20" ht="22.2" hidden="1" customHeight="1">
      <c r="B957" s="406" t="s">
        <v>910</v>
      </c>
      <c r="C957" s="465" t="str">
        <f t="shared" si="179"/>
        <v xml:space="preserve"> </v>
      </c>
      <c r="D957" s="440">
        <v>1</v>
      </c>
      <c r="E957" s="422"/>
      <c r="F957" s="441" t="str">
        <f>VLOOKUP($B957,[1]DG!A:D,[1]DG!$C$2,)</f>
        <v>Boulon 16x35+ 2 long đền vuông D18-50x50x3/Zn</v>
      </c>
      <c r="G957" s="422" t="str">
        <f>VLOOKUP($B957,[1]DG!A:D,[1]DG!$D$2,)</f>
        <v>bộ</v>
      </c>
      <c r="H957" s="435">
        <f t="shared" si="181"/>
        <v>0</v>
      </c>
      <c r="I957" s="435">
        <f t="shared" si="181"/>
        <v>0</v>
      </c>
      <c r="J957" s="435">
        <f t="shared" si="181"/>
        <v>0</v>
      </c>
      <c r="K957" s="435">
        <f t="shared" si="181"/>
        <v>0</v>
      </c>
      <c r="L957" s="435">
        <f t="shared" si="181"/>
        <v>0</v>
      </c>
      <c r="M957" s="435">
        <f t="shared" si="181"/>
        <v>0</v>
      </c>
      <c r="N957" s="435">
        <f t="shared" si="181"/>
        <v>0</v>
      </c>
      <c r="O957" s="435"/>
      <c r="P957" s="435">
        <f>$P$953*D957</f>
        <v>0</v>
      </c>
      <c r="Q957" s="442">
        <f>$Q$953*D957</f>
        <v>0</v>
      </c>
      <c r="R957" s="442"/>
      <c r="S957" s="442"/>
      <c r="T957" s="432">
        <f t="shared" si="178"/>
        <v>0</v>
      </c>
    </row>
    <row r="958" spans="1:20" ht="22.2" hidden="1" customHeight="1">
      <c r="B958" s="406" t="s">
        <v>126</v>
      </c>
      <c r="C958" s="465" t="str">
        <f t="shared" si="179"/>
        <v xml:space="preserve"> </v>
      </c>
      <c r="D958" s="440">
        <v>1</v>
      </c>
      <c r="E958" s="473" t="str">
        <f>VLOOKUP($B958,[1]DG!A:D,[1]DG!$B$2,)</f>
        <v>05.6401</v>
      </c>
      <c r="F958" s="434" t="str">
        <f>VLOOKUP($B958,[1]DG!A:D,[1]DG!$C$2,)</f>
        <v>Lắp xà đỡ ≤ 25kg</v>
      </c>
      <c r="G958" s="422" t="str">
        <f>VLOOKUP($B958,[1]DG!A:D,[1]DG!$D$2,)</f>
        <v>bộ</v>
      </c>
      <c r="H958" s="435">
        <f>H$953*$D958</f>
        <v>0</v>
      </c>
      <c r="I958" s="435"/>
      <c r="J958" s="435"/>
      <c r="K958" s="435"/>
      <c r="L958" s="435"/>
      <c r="M958" s="435"/>
      <c r="N958" s="435"/>
      <c r="O958" s="435"/>
      <c r="P958" s="435">
        <f>$P$953*D958</f>
        <v>0</v>
      </c>
      <c r="Q958" s="442">
        <f>$Q$953*D958</f>
        <v>0</v>
      </c>
      <c r="R958" s="437"/>
      <c r="S958" s="437"/>
      <c r="T958" s="432">
        <f t="shared" si="178"/>
        <v>0</v>
      </c>
    </row>
    <row r="959" spans="1:20" ht="22.2" hidden="1" customHeight="1">
      <c r="A959" s="379"/>
      <c r="B959" s="410" t="s">
        <v>881</v>
      </c>
      <c r="C959" s="469" t="str">
        <f t="shared" si="179"/>
        <v xml:space="preserve"> </v>
      </c>
      <c r="D959" s="433"/>
      <c r="E959" s="422" t="str">
        <f>VLOOKUP($B959,[1]DG!A:D,[1]DG!$B$2,)</f>
        <v>02.1115</v>
      </c>
      <c r="F959" s="434" t="str">
        <f>VLOOKUP($B959,[1]DG!A:D,[1]DG!$C$2,)</f>
        <v>Bốc dỡ xà, thép thanh</v>
      </c>
      <c r="G959" s="422" t="str">
        <f>VLOOKUP($B959,[1]DG!A:D,[1]DG!$D$2,)</f>
        <v>tấn</v>
      </c>
      <c r="H959" s="435"/>
      <c r="I959" s="435"/>
      <c r="J959" s="435"/>
      <c r="K959" s="435"/>
      <c r="L959" s="435"/>
      <c r="M959" s="435"/>
      <c r="N959" s="435"/>
      <c r="O959" s="435"/>
      <c r="P959" s="435"/>
      <c r="Q959" s="437"/>
      <c r="R959" s="437"/>
      <c r="S959" s="437"/>
      <c r="T959" s="432">
        <f t="shared" si="178"/>
        <v>0</v>
      </c>
    </row>
    <row r="960" spans="1:20" ht="22.2" hidden="1" customHeight="1">
      <c r="A960" s="379"/>
      <c r="B960" s="438" t="s">
        <v>882</v>
      </c>
      <c r="C960" s="469" t="str">
        <f t="shared" si="179"/>
        <v xml:space="preserve"> </v>
      </c>
      <c r="D960" s="433"/>
      <c r="E960" s="422" t="str">
        <f>VLOOKUP($B960,[1]DG!A:C,2,)</f>
        <v>02.1361</v>
      </c>
      <c r="F960" s="434" t="str">
        <f>VLOOKUP($B960,[1]DG!A:C,3,)</f>
        <v>V/c xà vào vị trí (cư ly &lt;=100m)</v>
      </c>
      <c r="G960" s="422" t="str">
        <f>VLOOKUP($B960,[1]DG!A:D,4,0)</f>
        <v>tấn</v>
      </c>
      <c r="H960" s="435"/>
      <c r="I960" s="435"/>
      <c r="J960" s="435"/>
      <c r="K960" s="435"/>
      <c r="L960" s="435"/>
      <c r="M960" s="435"/>
      <c r="N960" s="435"/>
      <c r="O960" s="435"/>
      <c r="P960" s="435"/>
      <c r="Q960" s="437"/>
      <c r="R960" s="437"/>
      <c r="S960" s="437"/>
      <c r="T960" s="432">
        <f t="shared" si="178"/>
        <v>0</v>
      </c>
    </row>
    <row r="961" spans="1:20" ht="22.2" hidden="1" customHeight="1">
      <c r="A961" s="379"/>
      <c r="B961" s="438" t="s">
        <v>620</v>
      </c>
      <c r="C961" s="469" t="str">
        <f t="shared" si="179"/>
        <v xml:space="preserve"> </v>
      </c>
      <c r="D961" s="439"/>
      <c r="E961" s="422" t="str">
        <f>VLOOKUP($B961,[1]DG!A:C,2,)</f>
        <v>02.1482</v>
      </c>
      <c r="F961" s="434" t="str">
        <f>VLOOKUP($B961,[1]DG!A:C,3,)</f>
        <v>V/c dụng cụ thi công vào vị trí (cự ly &lt;=100m)</v>
      </c>
      <c r="G961" s="422" t="str">
        <f>VLOOKUP($B961,[1]DG!A:D,4,0)</f>
        <v>tấn</v>
      </c>
      <c r="H961" s="435"/>
      <c r="I961" s="435"/>
      <c r="J961" s="435"/>
      <c r="K961" s="435"/>
      <c r="L961" s="435"/>
      <c r="M961" s="435"/>
      <c r="N961" s="435"/>
      <c r="O961" s="435"/>
      <c r="P961" s="435"/>
      <c r="Q961" s="437"/>
      <c r="R961" s="437"/>
      <c r="S961" s="437"/>
      <c r="T961" s="432">
        <f t="shared" si="178"/>
        <v>0</v>
      </c>
    </row>
    <row r="962" spans="1:20" ht="22.2" hidden="1" customHeight="1">
      <c r="A962" s="451" t="s">
        <v>938</v>
      </c>
      <c r="B962" s="424" t="s">
        <v>938</v>
      </c>
      <c r="C962" s="469" t="str">
        <f t="shared" si="179"/>
        <v xml:space="preserve"> </v>
      </c>
      <c r="D962" s="426"/>
      <c r="E962" s="427"/>
      <c r="F962" s="428" t="s">
        <v>939</v>
      </c>
      <c r="G962" s="349" t="s">
        <v>67</v>
      </c>
      <c r="H962" s="429">
        <f>SUM(I962:O962)</f>
        <v>0</v>
      </c>
      <c r="I962" s="430"/>
      <c r="J962" s="430"/>
      <c r="K962" s="430">
        <f>IFERROR(HLOOKUP(B962,[1]pp3p1m!$1:$3,3,0),0)</f>
        <v>0</v>
      </c>
      <c r="L962" s="430">
        <f>IFERROR(HLOOKUP(chitiet!B962,[1]pp1p!$1:$3,3,0),0)</f>
        <v>0</v>
      </c>
      <c r="M962" s="430"/>
      <c r="N962" s="430"/>
      <c r="O962" s="430"/>
      <c r="P962" s="430">
        <f>H962+Q962-R962</f>
        <v>0</v>
      </c>
      <c r="Q962" s="431"/>
      <c r="R962" s="431"/>
      <c r="S962" s="431"/>
      <c r="T962" s="432">
        <f>IFERROR(HLOOKUP(B962,[1]pp1p!$1:$3,3,0),0)+IFERROR(HLOOKUP(B962,[1]pp3p1m!$1:$3,3,0),0)</f>
        <v>0</v>
      </c>
    </row>
    <row r="963" spans="1:20" ht="22.2" hidden="1" customHeight="1">
      <c r="B963" s="406" t="s">
        <v>235</v>
      </c>
      <c r="C963" s="469" t="str">
        <f t="shared" si="179"/>
        <v xml:space="preserve"> </v>
      </c>
      <c r="D963" s="439">
        <f>9.02*2*(2+3*0.07)</f>
        <v>39.868399999999994</v>
      </c>
      <c r="E963" s="422"/>
      <c r="F963" s="441" t="str">
        <f>VLOOKUP($B963,[1]DG!A:D,[1]DG!$C$2,)</f>
        <v>Sắt góc L75 x75 x8</v>
      </c>
      <c r="G963" s="422" t="str">
        <f>VLOOKUP($B963,[1]DG!A:D,[1]DG!$D$2,)</f>
        <v>kg</v>
      </c>
      <c r="H963" s="435">
        <f t="shared" ref="H963:N968" si="182">H$962*$D963</f>
        <v>0</v>
      </c>
      <c r="I963" s="435">
        <f t="shared" si="182"/>
        <v>0</v>
      </c>
      <c r="J963" s="435">
        <f t="shared" si="182"/>
        <v>0</v>
      </c>
      <c r="K963" s="435">
        <f t="shared" si="182"/>
        <v>0</v>
      </c>
      <c r="L963" s="435">
        <f t="shared" si="182"/>
        <v>0</v>
      </c>
      <c r="M963" s="435">
        <f t="shared" si="182"/>
        <v>0</v>
      </c>
      <c r="N963" s="435">
        <f t="shared" si="182"/>
        <v>0</v>
      </c>
      <c r="O963" s="435"/>
      <c r="P963" s="435">
        <f t="shared" ref="P963:P969" si="183">$P$962*D963</f>
        <v>0</v>
      </c>
      <c r="Q963" s="442"/>
      <c r="R963" s="442"/>
      <c r="S963" s="442"/>
      <c r="T963" s="432">
        <f t="shared" si="178"/>
        <v>0</v>
      </c>
    </row>
    <row r="964" spans="1:20" ht="22.2" hidden="1" customHeight="1">
      <c r="B964" s="406" t="s">
        <v>236</v>
      </c>
      <c r="C964" s="469" t="str">
        <f t="shared" si="179"/>
        <v xml:space="preserve"> </v>
      </c>
      <c r="D964" s="439">
        <f>3.77*1.15*2</f>
        <v>8.6709999999999994</v>
      </c>
      <c r="E964" s="422"/>
      <c r="F964" s="441" t="str">
        <f>VLOOKUP($B964,[1]DG!A:D,[1]DG!$C$2,)</f>
        <v>Sắt góc L50 x50 x5</v>
      </c>
      <c r="G964" s="422" t="str">
        <f>VLOOKUP($B964,[1]DG!A:D,[1]DG!$D$2,)</f>
        <v>kg</v>
      </c>
      <c r="H964" s="435">
        <f t="shared" si="182"/>
        <v>0</v>
      </c>
      <c r="I964" s="435">
        <f t="shared" si="182"/>
        <v>0</v>
      </c>
      <c r="J964" s="435">
        <f t="shared" si="182"/>
        <v>0</v>
      </c>
      <c r="K964" s="435">
        <f t="shared" si="182"/>
        <v>0</v>
      </c>
      <c r="L964" s="435">
        <f t="shared" si="182"/>
        <v>0</v>
      </c>
      <c r="M964" s="435">
        <f t="shared" si="182"/>
        <v>0</v>
      </c>
      <c r="N964" s="435">
        <f t="shared" si="182"/>
        <v>0</v>
      </c>
      <c r="O964" s="435"/>
      <c r="P964" s="435">
        <f t="shared" si="183"/>
        <v>0</v>
      </c>
      <c r="Q964" s="442"/>
      <c r="R964" s="442"/>
      <c r="S964" s="442"/>
      <c r="T964" s="432">
        <f t="shared" si="178"/>
        <v>0</v>
      </c>
    </row>
    <row r="965" spans="1:20" ht="22.2" hidden="1" customHeight="1">
      <c r="B965" s="406" t="s">
        <v>891</v>
      </c>
      <c r="C965" s="469" t="str">
        <f t="shared" si="179"/>
        <v xml:space="preserve"> </v>
      </c>
      <c r="D965" s="440">
        <v>1</v>
      </c>
      <c r="E965" s="422"/>
      <c r="F965" s="441" t="str">
        <f>VLOOKUP($B965,[1]DG!A:D,[1]DG!$C$2,)</f>
        <v>Boulon 16x300VRS+ 4 long đền vuông D18-50x50x3/Zn</v>
      </c>
      <c r="G965" s="422" t="str">
        <f>VLOOKUP($B965,[1]DG!A:D,[1]DG!$D$2,)</f>
        <v>bộ</v>
      </c>
      <c r="H965" s="435">
        <f t="shared" si="182"/>
        <v>0</v>
      </c>
      <c r="I965" s="435">
        <f t="shared" si="182"/>
        <v>0</v>
      </c>
      <c r="J965" s="435">
        <f t="shared" si="182"/>
        <v>0</v>
      </c>
      <c r="K965" s="435">
        <f t="shared" si="182"/>
        <v>0</v>
      </c>
      <c r="L965" s="435">
        <f t="shared" si="182"/>
        <v>0</v>
      </c>
      <c r="M965" s="435">
        <f t="shared" si="182"/>
        <v>0</v>
      </c>
      <c r="N965" s="435">
        <f t="shared" si="182"/>
        <v>0</v>
      </c>
      <c r="O965" s="435"/>
      <c r="P965" s="435">
        <f t="shared" si="183"/>
        <v>0</v>
      </c>
      <c r="Q965" s="442"/>
      <c r="R965" s="442"/>
      <c r="S965" s="442"/>
      <c r="T965" s="432">
        <f t="shared" si="178"/>
        <v>0</v>
      </c>
    </row>
    <row r="966" spans="1:20" ht="22.2" hidden="1" customHeight="1">
      <c r="B966" s="406" t="s">
        <v>65</v>
      </c>
      <c r="C966" s="469" t="str">
        <f t="shared" si="179"/>
        <v xml:space="preserve"> </v>
      </c>
      <c r="D966" s="440">
        <v>1</v>
      </c>
      <c r="E966" s="422"/>
      <c r="F966" s="441" t="str">
        <f>VLOOKUP($B966,[1]DG!A:D,[1]DG!$C$2,)</f>
        <v>Boulon 16x300+ 2 long đền vuông D18-50x50x3/Zn</v>
      </c>
      <c r="G966" s="422" t="str">
        <f>VLOOKUP($B966,[1]DG!A:D,[1]DG!$D$2,)</f>
        <v>bộ</v>
      </c>
      <c r="H966" s="435">
        <f t="shared" si="182"/>
        <v>0</v>
      </c>
      <c r="I966" s="435">
        <f t="shared" si="182"/>
        <v>0</v>
      </c>
      <c r="J966" s="435">
        <f t="shared" si="182"/>
        <v>0</v>
      </c>
      <c r="K966" s="435">
        <f t="shared" si="182"/>
        <v>0</v>
      </c>
      <c r="L966" s="435">
        <f t="shared" si="182"/>
        <v>0</v>
      </c>
      <c r="M966" s="435">
        <f t="shared" si="182"/>
        <v>0</v>
      </c>
      <c r="N966" s="435">
        <f t="shared" si="182"/>
        <v>0</v>
      </c>
      <c r="O966" s="435"/>
      <c r="P966" s="435">
        <f t="shared" si="183"/>
        <v>0</v>
      </c>
      <c r="Q966" s="442"/>
      <c r="R966" s="442"/>
      <c r="S966" s="442"/>
      <c r="T966" s="432">
        <f t="shared" si="178"/>
        <v>0</v>
      </c>
    </row>
    <row r="967" spans="1:20" ht="22.2" hidden="1" customHeight="1">
      <c r="B967" s="406" t="s">
        <v>237</v>
      </c>
      <c r="C967" s="469" t="str">
        <f t="shared" si="179"/>
        <v xml:space="preserve"> </v>
      </c>
      <c r="D967" s="440">
        <v>1</v>
      </c>
      <c r="E967" s="422"/>
      <c r="F967" s="441" t="str">
        <f>VLOOKUP($B967,[1]DG!A:D,[1]DG!$C$2,)</f>
        <v>Boulon 16x250+ 2 long đền vuông D18-50x50x3/Zn</v>
      </c>
      <c r="G967" s="422" t="str">
        <f>VLOOKUP($B967,[1]DG!A:D,[1]DG!$D$2,)</f>
        <v>bộ</v>
      </c>
      <c r="H967" s="435">
        <f t="shared" si="182"/>
        <v>0</v>
      </c>
      <c r="I967" s="435">
        <f t="shared" si="182"/>
        <v>0</v>
      </c>
      <c r="J967" s="435">
        <f t="shared" si="182"/>
        <v>0</v>
      </c>
      <c r="K967" s="435">
        <f t="shared" si="182"/>
        <v>0</v>
      </c>
      <c r="L967" s="435">
        <f t="shared" si="182"/>
        <v>0</v>
      </c>
      <c r="M967" s="435">
        <f t="shared" si="182"/>
        <v>0</v>
      </c>
      <c r="N967" s="435">
        <f t="shared" si="182"/>
        <v>0</v>
      </c>
      <c r="O967" s="435"/>
      <c r="P967" s="435">
        <f t="shared" si="183"/>
        <v>0</v>
      </c>
      <c r="Q967" s="442"/>
      <c r="R967" s="442"/>
      <c r="S967" s="442"/>
      <c r="T967" s="432">
        <f t="shared" si="178"/>
        <v>0</v>
      </c>
    </row>
    <row r="968" spans="1:20" ht="22.2" hidden="1" customHeight="1">
      <c r="B968" s="406" t="s">
        <v>231</v>
      </c>
      <c r="C968" s="469" t="str">
        <f t="shared" si="179"/>
        <v xml:space="preserve"> </v>
      </c>
      <c r="D968" s="440">
        <v>2</v>
      </c>
      <c r="E968" s="422"/>
      <c r="F968" s="441" t="str">
        <f>VLOOKUP($B968,[1]DG!A:D,[1]DG!$C$2,)</f>
        <v>Boulon 16x50+ 2 long đền vuông D18-50x50x3/Zn</v>
      </c>
      <c r="G968" s="422" t="str">
        <f>VLOOKUP($B968,[1]DG!A:D,[1]DG!$D$2,)</f>
        <v>bộ</v>
      </c>
      <c r="H968" s="435">
        <f t="shared" si="182"/>
        <v>0</v>
      </c>
      <c r="I968" s="435">
        <f t="shared" si="182"/>
        <v>0</v>
      </c>
      <c r="J968" s="435">
        <f t="shared" si="182"/>
        <v>0</v>
      </c>
      <c r="K968" s="435">
        <f t="shared" si="182"/>
        <v>0</v>
      </c>
      <c r="L968" s="435">
        <f t="shared" si="182"/>
        <v>0</v>
      </c>
      <c r="M968" s="435">
        <f t="shared" si="182"/>
        <v>0</v>
      </c>
      <c r="N968" s="435">
        <f t="shared" si="182"/>
        <v>0</v>
      </c>
      <c r="O968" s="435"/>
      <c r="P968" s="435">
        <f t="shared" si="183"/>
        <v>0</v>
      </c>
      <c r="Q968" s="442"/>
      <c r="R968" s="442"/>
      <c r="S968" s="442"/>
      <c r="T968" s="432">
        <f t="shared" si="178"/>
        <v>0</v>
      </c>
    </row>
    <row r="969" spans="1:20" ht="22.2" hidden="1" customHeight="1">
      <c r="B969" s="406" t="s">
        <v>572</v>
      </c>
      <c r="C969" s="469" t="str">
        <f t="shared" si="179"/>
        <v xml:space="preserve"> </v>
      </c>
      <c r="D969" s="440">
        <v>1</v>
      </c>
      <c r="E969" s="473" t="str">
        <f>VLOOKUP($B969,[1]DG!A:D,[1]DG!$B$2,)</f>
        <v>05.6202</v>
      </c>
      <c r="F969" s="434" t="str">
        <f>VLOOKUP($B969,[1]DG!A:D,[1]DG!$C$2,)</f>
        <v>Lắp xà néo ≤ 50kg</v>
      </c>
      <c r="G969" s="422" t="str">
        <f>VLOOKUP($B969,[1]DG!A:D,[1]DG!$D$2,)</f>
        <v>bộ</v>
      </c>
      <c r="H969" s="435">
        <f>H$962*$D969</f>
        <v>0</v>
      </c>
      <c r="I969" s="435"/>
      <c r="J969" s="435"/>
      <c r="K969" s="435"/>
      <c r="L969" s="435"/>
      <c r="M969" s="435"/>
      <c r="N969" s="435"/>
      <c r="O969" s="435"/>
      <c r="P969" s="435">
        <f t="shared" si="183"/>
        <v>0</v>
      </c>
      <c r="Q969" s="437"/>
      <c r="R969" s="437"/>
      <c r="S969" s="437"/>
      <c r="T969" s="432">
        <f t="shared" si="178"/>
        <v>0</v>
      </c>
    </row>
    <row r="970" spans="1:20" ht="22.2" hidden="1" customHeight="1">
      <c r="A970" s="379"/>
      <c r="B970" s="410" t="s">
        <v>881</v>
      </c>
      <c r="C970" s="469" t="str">
        <f t="shared" si="179"/>
        <v xml:space="preserve"> </v>
      </c>
      <c r="D970" s="433"/>
      <c r="E970" s="422" t="str">
        <f>VLOOKUP($B970,[1]DG!A:D,[1]DG!$B$2,)</f>
        <v>02.1115</v>
      </c>
      <c r="F970" s="434" t="str">
        <f>VLOOKUP($B970,[1]DG!A:D,[1]DG!$C$2,)</f>
        <v>Bốc dỡ xà, thép thanh</v>
      </c>
      <c r="G970" s="422" t="str">
        <f>VLOOKUP($B970,[1]DG!A:D,[1]DG!$D$2,)</f>
        <v>tấn</v>
      </c>
      <c r="H970" s="435"/>
      <c r="I970" s="435"/>
      <c r="J970" s="435"/>
      <c r="K970" s="435"/>
      <c r="L970" s="435"/>
      <c r="M970" s="435"/>
      <c r="N970" s="435"/>
      <c r="O970" s="435"/>
      <c r="P970" s="435"/>
      <c r="Q970" s="437"/>
      <c r="R970" s="437"/>
      <c r="S970" s="437"/>
      <c r="T970" s="432">
        <f t="shared" si="178"/>
        <v>0</v>
      </c>
    </row>
    <row r="971" spans="1:20" ht="22.2" hidden="1" customHeight="1">
      <c r="A971" s="379"/>
      <c r="B971" s="438" t="s">
        <v>882</v>
      </c>
      <c r="C971" s="469" t="str">
        <f t="shared" si="179"/>
        <v xml:space="preserve"> </v>
      </c>
      <c r="D971" s="433"/>
      <c r="E971" s="422" t="str">
        <f>VLOOKUP($B971,[1]DG!A:C,2,)</f>
        <v>02.1361</v>
      </c>
      <c r="F971" s="434" t="str">
        <f>VLOOKUP($B971,[1]DG!A:C,3,)</f>
        <v>V/c xà vào vị trí (cư ly &lt;=100m)</v>
      </c>
      <c r="G971" s="422" t="str">
        <f>VLOOKUP($B971,[1]DG!A:D,4,0)</f>
        <v>tấn</v>
      </c>
      <c r="H971" s="435"/>
      <c r="I971" s="435"/>
      <c r="J971" s="435"/>
      <c r="K971" s="435"/>
      <c r="L971" s="435"/>
      <c r="M971" s="435"/>
      <c r="N971" s="435"/>
      <c r="O971" s="435"/>
      <c r="P971" s="435"/>
      <c r="Q971" s="437"/>
      <c r="R971" s="437"/>
      <c r="S971" s="437"/>
      <c r="T971" s="432">
        <f t="shared" si="178"/>
        <v>0</v>
      </c>
    </row>
    <row r="972" spans="1:20" ht="22.2" hidden="1" customHeight="1">
      <c r="A972" s="379"/>
      <c r="B972" s="438" t="s">
        <v>620</v>
      </c>
      <c r="C972" s="469" t="str">
        <f t="shared" si="179"/>
        <v xml:space="preserve"> </v>
      </c>
      <c r="D972" s="439"/>
      <c r="E972" s="422" t="str">
        <f>VLOOKUP($B972,[1]DG!A:C,2,)</f>
        <v>02.1482</v>
      </c>
      <c r="F972" s="434" t="str">
        <f>VLOOKUP($B972,[1]DG!A:C,3,)</f>
        <v>V/c dụng cụ thi công vào vị trí (cự ly &lt;=100m)</v>
      </c>
      <c r="G972" s="422" t="str">
        <f>VLOOKUP($B972,[1]DG!A:D,4,0)</f>
        <v>tấn</v>
      </c>
      <c r="H972" s="435"/>
      <c r="I972" s="435"/>
      <c r="J972" s="435"/>
      <c r="K972" s="435"/>
      <c r="L972" s="435"/>
      <c r="M972" s="435"/>
      <c r="N972" s="435"/>
      <c r="O972" s="435"/>
      <c r="P972" s="435"/>
      <c r="Q972" s="437"/>
      <c r="R972" s="437"/>
      <c r="S972" s="437"/>
      <c r="T972" s="432">
        <f t="shared" si="178"/>
        <v>0</v>
      </c>
    </row>
    <row r="973" spans="1:20" ht="22.2" hidden="1" customHeight="1">
      <c r="A973" s="423" t="s">
        <v>940</v>
      </c>
      <c r="B973" s="424" t="s">
        <v>940</v>
      </c>
      <c r="C973" s="469" t="str">
        <f t="shared" si="179"/>
        <v xml:space="preserve"> </v>
      </c>
      <c r="D973" s="426"/>
      <c r="E973" s="427"/>
      <c r="F973" s="428" t="s">
        <v>941</v>
      </c>
      <c r="G973" s="349" t="s">
        <v>67</v>
      </c>
      <c r="H973" s="429">
        <f>SUM(I973:O973)</f>
        <v>0</v>
      </c>
      <c r="I973" s="430"/>
      <c r="J973" s="430"/>
      <c r="K973" s="430">
        <f>IFERROR(HLOOKUP(B973,[1]pp3p1m!$1:$3,3,0),0)</f>
        <v>0</v>
      </c>
      <c r="L973" s="430">
        <f>IFERROR(HLOOKUP(chitiet!B973,[1]pp1p!$1:$3,3,0),0)</f>
        <v>0</v>
      </c>
      <c r="M973" s="430"/>
      <c r="N973" s="430"/>
      <c r="O973" s="430"/>
      <c r="P973" s="430">
        <f>H973+Q973-R973</f>
        <v>0</v>
      </c>
      <c r="Q973" s="431"/>
      <c r="R973" s="431"/>
      <c r="S973" s="431"/>
      <c r="T973" s="432">
        <f>IFERROR(HLOOKUP(B973,[1]pp1p!$1:$3,3,0),0)+IFERROR(HLOOKUP(B973,[1]pp3p1m!$1:$3,3,0),0)</f>
        <v>0</v>
      </c>
    </row>
    <row r="974" spans="1:20" ht="22.2" hidden="1" customHeight="1">
      <c r="A974" s="379"/>
      <c r="B974" s="410" t="s">
        <v>235</v>
      </c>
      <c r="C974" s="469" t="str">
        <f t="shared" si="179"/>
        <v xml:space="preserve"> </v>
      </c>
      <c r="D974" s="439">
        <f>9.02*(2.4+3*0.07)</f>
        <v>23.542199999999998</v>
      </c>
      <c r="E974" s="422"/>
      <c r="F974" s="441" t="str">
        <f>VLOOKUP($B974,[1]DG!A:D,[1]DG!$C$2,)</f>
        <v>Sắt góc L75 x75 x8</v>
      </c>
      <c r="G974" s="422" t="str">
        <f>VLOOKUP($B974,[1]DG!A:D,[1]DG!$D$2,)</f>
        <v>kg</v>
      </c>
      <c r="H974" s="435">
        <f t="shared" ref="H974:L977" si="184">H$973*$D974</f>
        <v>0</v>
      </c>
      <c r="I974" s="435">
        <f t="shared" si="184"/>
        <v>0</v>
      </c>
      <c r="J974" s="435">
        <f t="shared" si="184"/>
        <v>0</v>
      </c>
      <c r="K974" s="435">
        <f t="shared" si="184"/>
        <v>0</v>
      </c>
      <c r="L974" s="435">
        <f t="shared" si="184"/>
        <v>0</v>
      </c>
      <c r="M974" s="435"/>
      <c r="N974" s="435"/>
      <c r="O974" s="435"/>
      <c r="P974" s="435"/>
      <c r="Q974" s="442"/>
      <c r="R974" s="442"/>
      <c r="S974" s="442"/>
      <c r="T974" s="432">
        <f t="shared" si="178"/>
        <v>0</v>
      </c>
    </row>
    <row r="975" spans="1:20" ht="22.2" hidden="1" customHeight="1">
      <c r="A975" s="379"/>
      <c r="B975" s="410" t="s">
        <v>65</v>
      </c>
      <c r="C975" s="469" t="str">
        <f t="shared" si="179"/>
        <v xml:space="preserve"> </v>
      </c>
      <c r="D975" s="440">
        <v>2</v>
      </c>
      <c r="E975" s="422"/>
      <c r="F975" s="441" t="str">
        <f>VLOOKUP($B975,[1]DG!A:D,[1]DG!$C$2,)</f>
        <v>Boulon 16x300+ 2 long đền vuông D18-50x50x3/Zn</v>
      </c>
      <c r="G975" s="422" t="str">
        <f>VLOOKUP($B975,[1]DG!A:D,[1]DG!$D$2,)</f>
        <v>bộ</v>
      </c>
      <c r="H975" s="435">
        <f t="shared" si="184"/>
        <v>0</v>
      </c>
      <c r="I975" s="435">
        <f t="shared" si="184"/>
        <v>0</v>
      </c>
      <c r="J975" s="435">
        <f t="shared" si="184"/>
        <v>0</v>
      </c>
      <c r="K975" s="435">
        <f t="shared" si="184"/>
        <v>0</v>
      </c>
      <c r="L975" s="435">
        <f t="shared" si="184"/>
        <v>0</v>
      </c>
      <c r="M975" s="435"/>
      <c r="N975" s="435"/>
      <c r="O975" s="435"/>
      <c r="P975" s="435"/>
      <c r="Q975" s="442"/>
      <c r="R975" s="442"/>
      <c r="S975" s="442"/>
      <c r="T975" s="432">
        <f t="shared" si="178"/>
        <v>0</v>
      </c>
    </row>
    <row r="976" spans="1:20" ht="22.2" hidden="1" customHeight="1">
      <c r="A976" s="379"/>
      <c r="B976" s="410" t="s">
        <v>363</v>
      </c>
      <c r="C976" s="469" t="str">
        <f t="shared" si="179"/>
        <v xml:space="preserve"> </v>
      </c>
      <c r="D976" s="440">
        <v>1</v>
      </c>
      <c r="E976" s="422"/>
      <c r="F976" s="434" t="str">
        <f>VLOOKUP($B976,[1]DG!A:D,[1]DG!$C$2,)</f>
        <v>Lắp xà cột Pi loại ≤140kg/xà</v>
      </c>
      <c r="G976" s="422" t="str">
        <f>VLOOKUP($B976,[1]DG!A:D,[1]DG!$D$2,)</f>
        <v>bộ</v>
      </c>
      <c r="H976" s="435">
        <f t="shared" si="184"/>
        <v>0</v>
      </c>
      <c r="I976" s="435">
        <f t="shared" si="184"/>
        <v>0</v>
      </c>
      <c r="J976" s="435">
        <f t="shared" si="184"/>
        <v>0</v>
      </c>
      <c r="K976" s="435">
        <f t="shared" si="184"/>
        <v>0</v>
      </c>
      <c r="L976" s="435">
        <f t="shared" si="184"/>
        <v>0</v>
      </c>
      <c r="M976" s="435"/>
      <c r="N976" s="435"/>
      <c r="O976" s="435"/>
      <c r="P976" s="435"/>
      <c r="Q976" s="442"/>
      <c r="R976" s="442"/>
      <c r="S976" s="442"/>
      <c r="T976" s="432">
        <f t="shared" si="178"/>
        <v>0</v>
      </c>
    </row>
    <row r="977" spans="1:20" ht="22.2" hidden="1" customHeight="1">
      <c r="A977" s="379"/>
      <c r="B977" s="410" t="s">
        <v>881</v>
      </c>
      <c r="C977" s="469" t="str">
        <f t="shared" si="179"/>
        <v xml:space="preserve"> </v>
      </c>
      <c r="D977" s="433">
        <f>D978</f>
        <v>2.7E-2</v>
      </c>
      <c r="E977" s="422"/>
      <c r="F977" s="434" t="str">
        <f>VLOOKUP($B977,[1]DG!A:D,[1]DG!$C$2,)</f>
        <v>Bốc dỡ xà, thép thanh</v>
      </c>
      <c r="G977" s="422" t="str">
        <f>VLOOKUP($B977,[1]DG!A:D,[1]DG!$D$2,)</f>
        <v>tấn</v>
      </c>
      <c r="H977" s="435">
        <f t="shared" si="184"/>
        <v>0</v>
      </c>
      <c r="I977" s="435">
        <f t="shared" si="184"/>
        <v>0</v>
      </c>
      <c r="J977" s="435">
        <f t="shared" si="184"/>
        <v>0</v>
      </c>
      <c r="K977" s="435">
        <f t="shared" si="184"/>
        <v>0</v>
      </c>
      <c r="L977" s="435">
        <f t="shared" si="184"/>
        <v>0</v>
      </c>
      <c r="M977" s="435"/>
      <c r="N977" s="435"/>
      <c r="O977" s="435"/>
      <c r="P977" s="435"/>
      <c r="Q977" s="442"/>
      <c r="R977" s="442"/>
      <c r="S977" s="442"/>
      <c r="T977" s="432">
        <f t="shared" si="178"/>
        <v>0</v>
      </c>
    </row>
    <row r="978" spans="1:20" ht="22.2" hidden="1" customHeight="1">
      <c r="A978" s="379"/>
      <c r="B978" s="438" t="s">
        <v>882</v>
      </c>
      <c r="C978" s="469" t="str">
        <f t="shared" si="179"/>
        <v xml:space="preserve"> </v>
      </c>
      <c r="D978" s="433">
        <f>ROUND(SUM(D974:D975)*1.05/1000,3)</f>
        <v>2.7E-2</v>
      </c>
      <c r="E978" s="422" t="str">
        <f>VLOOKUP($B978,[1]DG!A:C,2,)</f>
        <v>02.1361</v>
      </c>
      <c r="F978" s="434" t="str">
        <f>VLOOKUP($B978,[1]DG!A:C,3,)</f>
        <v>V/c xà vào vị trí (cư ly &lt;=100m)</v>
      </c>
      <c r="G978" s="422" t="str">
        <f>VLOOKUP($B978,[1]DG!A:D,4,0)</f>
        <v>tấn</v>
      </c>
      <c r="H978" s="435"/>
      <c r="I978" s="435"/>
      <c r="J978" s="435"/>
      <c r="K978" s="435"/>
      <c r="L978" s="435"/>
      <c r="M978" s="435"/>
      <c r="N978" s="435"/>
      <c r="O978" s="435"/>
      <c r="P978" s="435"/>
      <c r="Q978" s="437"/>
      <c r="R978" s="437"/>
      <c r="S978" s="437"/>
      <c r="T978" s="432">
        <f t="shared" si="178"/>
        <v>0</v>
      </c>
    </row>
    <row r="979" spans="1:20" ht="22.2" hidden="1" customHeight="1">
      <c r="A979" s="379"/>
      <c r="B979" s="438" t="s">
        <v>620</v>
      </c>
      <c r="C979" s="469" t="str">
        <f t="shared" si="179"/>
        <v xml:space="preserve"> </v>
      </c>
      <c r="D979" s="439">
        <v>0.05</v>
      </c>
      <c r="E979" s="422" t="str">
        <f>VLOOKUP($B979,[1]DG!A:C,2,)</f>
        <v>02.1482</v>
      </c>
      <c r="F979" s="434" t="str">
        <f>VLOOKUP($B979,[1]DG!A:C,3,)</f>
        <v>V/c dụng cụ thi công vào vị trí (cự ly &lt;=100m)</v>
      </c>
      <c r="G979" s="422" t="str">
        <f>VLOOKUP($B979,[1]DG!A:D,4,0)</f>
        <v>tấn</v>
      </c>
      <c r="H979" s="435"/>
      <c r="I979" s="435"/>
      <c r="J979" s="435"/>
      <c r="K979" s="435"/>
      <c r="L979" s="435"/>
      <c r="M979" s="435"/>
      <c r="N979" s="435"/>
      <c r="O979" s="435"/>
      <c r="P979" s="435"/>
      <c r="Q979" s="437"/>
      <c r="R979" s="437"/>
      <c r="S979" s="437"/>
      <c r="T979" s="432">
        <f t="shared" si="178"/>
        <v>0</v>
      </c>
    </row>
    <row r="980" spans="1:20" ht="22.2" hidden="1" customHeight="1">
      <c r="A980" s="423" t="s">
        <v>942</v>
      </c>
      <c r="B980" s="424" t="s">
        <v>942</v>
      </c>
      <c r="C980" s="469" t="str">
        <f t="shared" si="179"/>
        <v xml:space="preserve"> </v>
      </c>
      <c r="D980" s="426"/>
      <c r="E980" s="427"/>
      <c r="F980" s="428" t="s">
        <v>943</v>
      </c>
      <c r="G980" s="349" t="s">
        <v>67</v>
      </c>
      <c r="H980" s="429">
        <f>SUM(I980:O980)</f>
        <v>0</v>
      </c>
      <c r="I980" s="430"/>
      <c r="J980" s="430"/>
      <c r="K980" s="430">
        <f>IFERROR(HLOOKUP(B980,[1]pp3p1m!$1:$3,3,0),0)</f>
        <v>0</v>
      </c>
      <c r="L980" s="430">
        <f>IFERROR(HLOOKUP(chitiet!B980,[1]pp1p!$1:$3,3,0),0)</f>
        <v>0</v>
      </c>
      <c r="M980" s="430"/>
      <c r="N980" s="430"/>
      <c r="O980" s="430"/>
      <c r="P980" s="430">
        <f>H980+Q980-R980</f>
        <v>0</v>
      </c>
      <c r="Q980" s="431"/>
      <c r="R980" s="431"/>
      <c r="S980" s="431"/>
      <c r="T980" s="432">
        <f>IFERROR(HLOOKUP(B980,[1]pp1p!$1:$3,3,0),0)+IFERROR(HLOOKUP(B980,[1]pp3p1m!$1:$3,3,0),0)</f>
        <v>0</v>
      </c>
    </row>
    <row r="981" spans="1:20" ht="22.2" hidden="1" customHeight="1">
      <c r="A981" s="379"/>
      <c r="B981" s="410" t="s">
        <v>235</v>
      </c>
      <c r="C981" s="469" t="str">
        <f t="shared" si="179"/>
        <v xml:space="preserve"> </v>
      </c>
      <c r="D981" s="439">
        <f>9.02*(2.4+3*0.1)*2</f>
        <v>48.707999999999998</v>
      </c>
      <c r="E981" s="422"/>
      <c r="F981" s="441" t="str">
        <f>VLOOKUP($B981,[1]DG!A:D,[1]DG!$C$2,)</f>
        <v>Sắt góc L75 x75 x8</v>
      </c>
      <c r="G981" s="422" t="str">
        <f>VLOOKUP($B981,[1]DG!A:D,[1]DG!$D$2,)</f>
        <v>kg</v>
      </c>
      <c r="H981" s="435">
        <f t="shared" ref="H981:L985" si="185">H$980*$D981</f>
        <v>0</v>
      </c>
      <c r="I981" s="435">
        <f t="shared" si="185"/>
        <v>0</v>
      </c>
      <c r="J981" s="435">
        <f t="shared" si="185"/>
        <v>0</v>
      </c>
      <c r="K981" s="435">
        <f t="shared" si="185"/>
        <v>0</v>
      </c>
      <c r="L981" s="435">
        <f t="shared" si="185"/>
        <v>0</v>
      </c>
      <c r="M981" s="435"/>
      <c r="N981" s="435"/>
      <c r="O981" s="435"/>
      <c r="P981" s="435"/>
      <c r="Q981" s="442"/>
      <c r="R981" s="442"/>
      <c r="S981" s="442"/>
      <c r="T981" s="432">
        <f t="shared" si="178"/>
        <v>0</v>
      </c>
    </row>
    <row r="982" spans="1:20" ht="22.2" hidden="1" customHeight="1">
      <c r="A982" s="379"/>
      <c r="B982" s="410" t="s">
        <v>65</v>
      </c>
      <c r="C982" s="469" t="str">
        <f t="shared" si="179"/>
        <v xml:space="preserve"> </v>
      </c>
      <c r="D982" s="440">
        <v>2</v>
      </c>
      <c r="E982" s="422"/>
      <c r="F982" s="441" t="str">
        <f>VLOOKUP($B982,[1]DG!A:D,[1]DG!$C$2,)</f>
        <v>Boulon 16x300+ 2 long đền vuông D18-50x50x3/Zn</v>
      </c>
      <c r="G982" s="422" t="str">
        <f>VLOOKUP($B982,[1]DG!A:D,[1]DG!$D$2,)</f>
        <v>bộ</v>
      </c>
      <c r="H982" s="435">
        <f t="shared" si="185"/>
        <v>0</v>
      </c>
      <c r="I982" s="435">
        <f t="shared" si="185"/>
        <v>0</v>
      </c>
      <c r="J982" s="435">
        <f t="shared" si="185"/>
        <v>0</v>
      </c>
      <c r="K982" s="435">
        <f t="shared" si="185"/>
        <v>0</v>
      </c>
      <c r="L982" s="435">
        <f t="shared" si="185"/>
        <v>0</v>
      </c>
      <c r="M982" s="435"/>
      <c r="N982" s="435"/>
      <c r="O982" s="435"/>
      <c r="P982" s="435"/>
      <c r="Q982" s="442"/>
      <c r="R982" s="442"/>
      <c r="S982" s="442"/>
      <c r="T982" s="432">
        <f t="shared" si="178"/>
        <v>0</v>
      </c>
    </row>
    <row r="983" spans="1:20" ht="22.2" hidden="1" customHeight="1">
      <c r="A983" s="379"/>
      <c r="B983" s="410" t="s">
        <v>368</v>
      </c>
      <c r="C983" s="469" t="str">
        <f t="shared" si="179"/>
        <v xml:space="preserve"> </v>
      </c>
      <c r="D983" s="440">
        <v>4</v>
      </c>
      <c r="E983" s="422"/>
      <c r="F983" s="441" t="str">
        <f>VLOOKUP($B983,[1]DG!A:D,[1]DG!$C$2,)</f>
        <v>Boulon 16x300VRS+ 4 long đền vuông D18-50x50x3/Zn</v>
      </c>
      <c r="G983" s="422" t="str">
        <f>VLOOKUP($B983,[1]DG!A:D,[1]DG!$D$2,)</f>
        <v>bộ</v>
      </c>
      <c r="H983" s="435">
        <f t="shared" si="185"/>
        <v>0</v>
      </c>
      <c r="I983" s="435">
        <f t="shared" si="185"/>
        <v>0</v>
      </c>
      <c r="J983" s="435">
        <f t="shared" si="185"/>
        <v>0</v>
      </c>
      <c r="K983" s="435">
        <f t="shared" si="185"/>
        <v>0</v>
      </c>
      <c r="L983" s="435">
        <f t="shared" si="185"/>
        <v>0</v>
      </c>
      <c r="M983" s="435"/>
      <c r="N983" s="435"/>
      <c r="O983" s="435"/>
      <c r="P983" s="435"/>
      <c r="Q983" s="442"/>
      <c r="R983" s="442"/>
      <c r="S983" s="442"/>
      <c r="T983" s="432">
        <f t="shared" si="178"/>
        <v>0</v>
      </c>
    </row>
    <row r="984" spans="1:20" ht="22.2" hidden="1" customHeight="1">
      <c r="A984" s="379"/>
      <c r="B984" s="410" t="s">
        <v>363</v>
      </c>
      <c r="C984" s="469" t="str">
        <f t="shared" si="179"/>
        <v xml:space="preserve"> </v>
      </c>
      <c r="D984" s="440">
        <v>1</v>
      </c>
      <c r="E984" s="422"/>
      <c r="F984" s="434" t="str">
        <f>VLOOKUP($B984,[1]DG!A:D,[1]DG!$C$2,)</f>
        <v>Lắp xà cột Pi loại ≤140kg/xà</v>
      </c>
      <c r="G984" s="422" t="str">
        <f>VLOOKUP($B984,[1]DG!A:D,[1]DG!$D$2,)</f>
        <v>bộ</v>
      </c>
      <c r="H984" s="435">
        <f t="shared" si="185"/>
        <v>0</v>
      </c>
      <c r="I984" s="435">
        <f t="shared" si="185"/>
        <v>0</v>
      </c>
      <c r="J984" s="435">
        <f t="shared" si="185"/>
        <v>0</v>
      </c>
      <c r="K984" s="435">
        <f t="shared" si="185"/>
        <v>0</v>
      </c>
      <c r="L984" s="435">
        <f t="shared" si="185"/>
        <v>0</v>
      </c>
      <c r="M984" s="435"/>
      <c r="N984" s="435"/>
      <c r="O984" s="435"/>
      <c r="P984" s="435"/>
      <c r="Q984" s="442"/>
      <c r="R984" s="442"/>
      <c r="S984" s="442"/>
      <c r="T984" s="432">
        <f t="shared" si="178"/>
        <v>0</v>
      </c>
    </row>
    <row r="985" spans="1:20" ht="22.2" hidden="1" customHeight="1">
      <c r="A985" s="379"/>
      <c r="B985" s="410" t="s">
        <v>881</v>
      </c>
      <c r="C985" s="469" t="str">
        <f t="shared" si="179"/>
        <v xml:space="preserve"> </v>
      </c>
      <c r="D985" s="433">
        <f>D986*0</f>
        <v>0</v>
      </c>
      <c r="E985" s="422"/>
      <c r="F985" s="434" t="str">
        <f>VLOOKUP($B985,[1]DG!A:D,[1]DG!$C$2,)</f>
        <v>Bốc dỡ xà, thép thanh</v>
      </c>
      <c r="G985" s="422" t="str">
        <f>VLOOKUP($B985,[1]DG!A:D,[1]DG!$D$2,)</f>
        <v>tấn</v>
      </c>
      <c r="H985" s="435">
        <f t="shared" si="185"/>
        <v>0</v>
      </c>
      <c r="I985" s="435">
        <f t="shared" si="185"/>
        <v>0</v>
      </c>
      <c r="J985" s="435">
        <f t="shared" si="185"/>
        <v>0</v>
      </c>
      <c r="K985" s="435">
        <f t="shared" si="185"/>
        <v>0</v>
      </c>
      <c r="L985" s="435">
        <f t="shared" si="185"/>
        <v>0</v>
      </c>
      <c r="M985" s="435"/>
      <c r="N985" s="435"/>
      <c r="O985" s="435"/>
      <c r="P985" s="435"/>
      <c r="Q985" s="442"/>
      <c r="R985" s="442"/>
      <c r="S985" s="442"/>
      <c r="T985" s="432">
        <f t="shared" si="178"/>
        <v>0</v>
      </c>
    </row>
    <row r="986" spans="1:20" ht="22.2" hidden="1" customHeight="1">
      <c r="A986" s="379"/>
      <c r="B986" s="438" t="s">
        <v>882</v>
      </c>
      <c r="C986" s="469" t="str">
        <f t="shared" si="179"/>
        <v xml:space="preserve"> </v>
      </c>
      <c r="D986" s="433">
        <f>ROUND(SUM(D981:D981)*1.05/1000,3)*0</f>
        <v>0</v>
      </c>
      <c r="E986" s="422" t="str">
        <f>VLOOKUP($B986,[1]DG!A:C,2,)</f>
        <v>02.1361</v>
      </c>
      <c r="F986" s="434" t="str">
        <f>VLOOKUP($B986,[1]DG!A:C,3,)</f>
        <v>V/c xà vào vị trí (cư ly &lt;=100m)</v>
      </c>
      <c r="G986" s="422" t="str">
        <f>VLOOKUP($B986,[1]DG!A:D,4,0)</f>
        <v>tấn</v>
      </c>
      <c r="H986" s="435"/>
      <c r="I986" s="435"/>
      <c r="J986" s="435"/>
      <c r="K986" s="435"/>
      <c r="L986" s="435"/>
      <c r="M986" s="435"/>
      <c r="N986" s="435"/>
      <c r="O986" s="435"/>
      <c r="P986" s="435"/>
      <c r="Q986" s="437"/>
      <c r="R986" s="437"/>
      <c r="S986" s="437"/>
      <c r="T986" s="432">
        <f t="shared" si="178"/>
        <v>0</v>
      </c>
    </row>
    <row r="987" spans="1:20" ht="22.2" hidden="1" customHeight="1">
      <c r="A987" s="379"/>
      <c r="B987" s="438" t="s">
        <v>620</v>
      </c>
      <c r="C987" s="469" t="str">
        <f t="shared" si="179"/>
        <v xml:space="preserve"> </v>
      </c>
      <c r="D987" s="439">
        <f>0.05*0</f>
        <v>0</v>
      </c>
      <c r="E987" s="422" t="str">
        <f>VLOOKUP($B987,[1]DG!A:C,2,)</f>
        <v>02.1482</v>
      </c>
      <c r="F987" s="434" t="str">
        <f>VLOOKUP($B987,[1]DG!A:C,3,)</f>
        <v>V/c dụng cụ thi công vào vị trí (cự ly &lt;=100m)</v>
      </c>
      <c r="G987" s="422" t="str">
        <f>VLOOKUP($B987,[1]DG!A:D,4,0)</f>
        <v>tấn</v>
      </c>
      <c r="H987" s="435"/>
      <c r="I987" s="435"/>
      <c r="J987" s="435"/>
      <c r="K987" s="435"/>
      <c r="L987" s="435"/>
      <c r="M987" s="435"/>
      <c r="N987" s="435"/>
      <c r="O987" s="435"/>
      <c r="P987" s="435"/>
      <c r="Q987" s="437"/>
      <c r="R987" s="437"/>
      <c r="S987" s="437"/>
      <c r="T987" s="432">
        <f t="shared" si="178"/>
        <v>0</v>
      </c>
    </row>
    <row r="988" spans="1:20" ht="22.2" hidden="1" customHeight="1">
      <c r="A988" s="379" t="s">
        <v>944</v>
      </c>
      <c r="B988" s="424" t="s">
        <v>944</v>
      </c>
      <c r="C988" s="469" t="str">
        <f t="shared" si="179"/>
        <v xml:space="preserve"> </v>
      </c>
      <c r="D988" s="426"/>
      <c r="E988" s="427"/>
      <c r="F988" s="428" t="s">
        <v>945</v>
      </c>
      <c r="G988" s="349" t="s">
        <v>67</v>
      </c>
      <c r="H988" s="429">
        <f>SUM(I988:O988)</f>
        <v>0</v>
      </c>
      <c r="I988" s="430"/>
      <c r="J988" s="430"/>
      <c r="K988" s="430">
        <f>IFERROR(HLOOKUP(B988,[1]pp3p1m!$1:$3,3,0),0)</f>
        <v>0</v>
      </c>
      <c r="L988" s="430">
        <f>IFERROR(HLOOKUP(chitiet!B988,[1]pp1p!$1:$3,3,0),0)</f>
        <v>0</v>
      </c>
      <c r="M988" s="430"/>
      <c r="N988" s="430"/>
      <c r="O988" s="430"/>
      <c r="P988" s="430">
        <f>H988+Q988-R988</f>
        <v>0</v>
      </c>
      <c r="Q988" s="431"/>
      <c r="R988" s="431"/>
      <c r="S988" s="431"/>
      <c r="T988" s="432">
        <f>IFERROR(HLOOKUP(B988,[1]pp1p!$1:$3,3,0),0)+IFERROR(HLOOKUP(B988,[1]pp3p1m!$1:$3,3,0),0)</f>
        <v>0</v>
      </c>
    </row>
    <row r="989" spans="1:20" ht="22.2" hidden="1" customHeight="1">
      <c r="A989" s="379"/>
      <c r="B989" s="410" t="s">
        <v>235</v>
      </c>
      <c r="C989" s="469" t="str">
        <f t="shared" si="179"/>
        <v xml:space="preserve"> </v>
      </c>
      <c r="D989" s="439">
        <f>9.02*(2.6+3*0.07)</f>
        <v>25.3462</v>
      </c>
      <c r="E989" s="422"/>
      <c r="F989" s="441" t="s">
        <v>946</v>
      </c>
      <c r="G989" s="422" t="s">
        <v>377</v>
      </c>
      <c r="H989" s="435">
        <f t="shared" ref="H989:L992" si="186">H$987*$D989</f>
        <v>0</v>
      </c>
      <c r="I989" s="435">
        <f t="shared" si="186"/>
        <v>0</v>
      </c>
      <c r="J989" s="435">
        <f t="shared" si="186"/>
        <v>0</v>
      </c>
      <c r="K989" s="435">
        <f t="shared" si="186"/>
        <v>0</v>
      </c>
      <c r="L989" s="435">
        <f t="shared" si="186"/>
        <v>0</v>
      </c>
      <c r="M989" s="435"/>
      <c r="N989" s="435"/>
      <c r="O989" s="435"/>
      <c r="P989" s="435">
        <f>$P$988*D989</f>
        <v>0</v>
      </c>
      <c r="Q989" s="442"/>
      <c r="R989" s="442">
        <f>$R$988*D989</f>
        <v>0</v>
      </c>
      <c r="S989" s="442"/>
      <c r="T989" s="432">
        <f t="shared" si="178"/>
        <v>0</v>
      </c>
    </row>
    <row r="990" spans="1:20" ht="22.2" hidden="1" customHeight="1">
      <c r="A990" s="379"/>
      <c r="B990" s="410" t="s">
        <v>237</v>
      </c>
      <c r="C990" s="469" t="str">
        <f t="shared" si="179"/>
        <v xml:space="preserve"> </v>
      </c>
      <c r="D990" s="440">
        <v>2</v>
      </c>
      <c r="E990" s="422"/>
      <c r="F990" s="441" t="s">
        <v>947</v>
      </c>
      <c r="G990" s="422" t="s">
        <v>375</v>
      </c>
      <c r="H990" s="435">
        <f t="shared" si="186"/>
        <v>0</v>
      </c>
      <c r="I990" s="435">
        <f t="shared" si="186"/>
        <v>0</v>
      </c>
      <c r="J990" s="435">
        <f t="shared" si="186"/>
        <v>0</v>
      </c>
      <c r="K990" s="435">
        <f t="shared" si="186"/>
        <v>0</v>
      </c>
      <c r="L990" s="435">
        <f t="shared" si="186"/>
        <v>0</v>
      </c>
      <c r="M990" s="435"/>
      <c r="N990" s="435"/>
      <c r="O990" s="435"/>
      <c r="P990" s="435">
        <f>$P$988*D990</f>
        <v>0</v>
      </c>
      <c r="Q990" s="442"/>
      <c r="R990" s="442">
        <f>$R$988*D990</f>
        <v>0</v>
      </c>
      <c r="S990" s="442"/>
      <c r="T990" s="432">
        <f t="shared" si="178"/>
        <v>0</v>
      </c>
    </row>
    <row r="991" spans="1:20" ht="22.2" hidden="1" customHeight="1">
      <c r="A991" s="379"/>
      <c r="B991" s="410" t="s">
        <v>363</v>
      </c>
      <c r="C991" s="469" t="str">
        <f t="shared" si="179"/>
        <v xml:space="preserve"> </v>
      </c>
      <c r="D991" s="439">
        <v>1</v>
      </c>
      <c r="E991" s="422"/>
      <c r="F991" s="434" t="s">
        <v>948</v>
      </c>
      <c r="G991" s="422" t="s">
        <v>375</v>
      </c>
      <c r="H991" s="435">
        <f t="shared" si="186"/>
        <v>0</v>
      </c>
      <c r="I991" s="435">
        <f t="shared" si="186"/>
        <v>0</v>
      </c>
      <c r="J991" s="435">
        <f t="shared" si="186"/>
        <v>0</v>
      </c>
      <c r="K991" s="435">
        <f t="shared" si="186"/>
        <v>0</v>
      </c>
      <c r="L991" s="435">
        <f t="shared" si="186"/>
        <v>0</v>
      </c>
      <c r="M991" s="435"/>
      <c r="N991" s="435"/>
      <c r="O991" s="435"/>
      <c r="P991" s="435">
        <f>$P$988*D991</f>
        <v>0</v>
      </c>
      <c r="Q991" s="442"/>
      <c r="R991" s="442">
        <f>$R$988*D991</f>
        <v>0</v>
      </c>
      <c r="S991" s="442"/>
      <c r="T991" s="432">
        <f t="shared" si="178"/>
        <v>0</v>
      </c>
    </row>
    <row r="992" spans="1:20" ht="22.2" hidden="1" customHeight="1">
      <c r="A992" s="379"/>
      <c r="B992" s="410" t="s">
        <v>881</v>
      </c>
      <c r="C992" s="469" t="str">
        <f t="shared" si="179"/>
        <v xml:space="preserve"> </v>
      </c>
      <c r="D992" s="433">
        <f>D993</f>
        <v>0</v>
      </c>
      <c r="E992" s="422"/>
      <c r="F992" s="434" t="s">
        <v>949</v>
      </c>
      <c r="G992" s="422" t="s">
        <v>365</v>
      </c>
      <c r="H992" s="435">
        <f t="shared" si="186"/>
        <v>0</v>
      </c>
      <c r="I992" s="435">
        <f t="shared" si="186"/>
        <v>0</v>
      </c>
      <c r="J992" s="435">
        <f t="shared" si="186"/>
        <v>0</v>
      </c>
      <c r="K992" s="435">
        <f t="shared" si="186"/>
        <v>0</v>
      </c>
      <c r="L992" s="435">
        <f t="shared" si="186"/>
        <v>0</v>
      </c>
      <c r="M992" s="435"/>
      <c r="N992" s="435"/>
      <c r="O992" s="435"/>
      <c r="P992" s="435">
        <f>$P$988*D992</f>
        <v>0</v>
      </c>
      <c r="Q992" s="442"/>
      <c r="R992" s="442">
        <f>$R$988*D992</f>
        <v>0</v>
      </c>
      <c r="S992" s="442"/>
      <c r="T992" s="432">
        <f t="shared" si="178"/>
        <v>0</v>
      </c>
    </row>
    <row r="993" spans="1:20" ht="22.2" hidden="1" customHeight="1">
      <c r="A993" s="379"/>
      <c r="B993" s="438" t="s">
        <v>882</v>
      </c>
      <c r="C993" s="469" t="str">
        <f t="shared" si="179"/>
        <v xml:space="preserve"> </v>
      </c>
      <c r="D993" s="433"/>
      <c r="E993" s="422" t="s">
        <v>950</v>
      </c>
      <c r="F993" s="434" t="s">
        <v>951</v>
      </c>
      <c r="G993" s="422" t="s">
        <v>365</v>
      </c>
      <c r="H993" s="435"/>
      <c r="I993" s="435"/>
      <c r="J993" s="435"/>
      <c r="K993" s="435"/>
      <c r="L993" s="435"/>
      <c r="M993" s="435"/>
      <c r="N993" s="435"/>
      <c r="O993" s="435"/>
      <c r="P993" s="435"/>
      <c r="Q993" s="437"/>
      <c r="R993" s="437"/>
      <c r="S993" s="437"/>
      <c r="T993" s="432">
        <f t="shared" si="178"/>
        <v>0</v>
      </c>
    </row>
    <row r="994" spans="1:20" ht="22.2" hidden="1" customHeight="1">
      <c r="A994" s="379"/>
      <c r="B994" s="438" t="s">
        <v>620</v>
      </c>
      <c r="C994" s="469" t="str">
        <f t="shared" si="179"/>
        <v xml:space="preserve"> </v>
      </c>
      <c r="D994" s="439"/>
      <c r="E994" s="422" t="s">
        <v>952</v>
      </c>
      <c r="F994" s="434" t="s">
        <v>953</v>
      </c>
      <c r="G994" s="422" t="s">
        <v>365</v>
      </c>
      <c r="H994" s="435"/>
      <c r="I994" s="435"/>
      <c r="J994" s="435"/>
      <c r="K994" s="435"/>
      <c r="L994" s="435"/>
      <c r="M994" s="435"/>
      <c r="N994" s="435"/>
      <c r="O994" s="435"/>
      <c r="P994" s="435"/>
      <c r="Q994" s="437"/>
      <c r="R994" s="437"/>
      <c r="S994" s="437"/>
      <c r="T994" s="432">
        <f t="shared" si="178"/>
        <v>0</v>
      </c>
    </row>
    <row r="995" spans="1:20" ht="22.2" hidden="1" customHeight="1">
      <c r="A995" s="393" t="s">
        <v>954</v>
      </c>
      <c r="B995" s="424" t="s">
        <v>954</v>
      </c>
      <c r="C995" s="469" t="str">
        <f t="shared" si="179"/>
        <v xml:space="preserve"> </v>
      </c>
      <c r="D995" s="426"/>
      <c r="E995" s="427"/>
      <c r="F995" s="428" t="s">
        <v>955</v>
      </c>
      <c r="G995" s="349" t="s">
        <v>67</v>
      </c>
      <c r="H995" s="429">
        <f>SUM(I995:O995)</f>
        <v>0</v>
      </c>
      <c r="I995" s="430"/>
      <c r="J995" s="430"/>
      <c r="K995" s="430">
        <f>IFERROR(HLOOKUP(B995,[1]pp3p1m!$1:$3,3,0),0)</f>
        <v>0</v>
      </c>
      <c r="L995" s="430">
        <f>IFERROR(HLOOKUP(chitiet!B995,[1]pp1p!$1:$3,3,0),0)</f>
        <v>0</v>
      </c>
      <c r="M995" s="430"/>
      <c r="N995" s="430"/>
      <c r="O995" s="430"/>
      <c r="P995" s="430">
        <f>H995+Q995-R995</f>
        <v>0</v>
      </c>
      <c r="Q995" s="431"/>
      <c r="R995" s="431"/>
      <c r="S995" s="431"/>
      <c r="T995" s="432">
        <f>IFERROR(HLOOKUP(B995,[1]pp1p!$1:$3,3,0),0)+IFERROR(HLOOKUP(B995,[1]pp3p1m!$1:$3,3,0),0)</f>
        <v>0</v>
      </c>
    </row>
    <row r="996" spans="1:20" ht="22.2" hidden="1" customHeight="1">
      <c r="B996" s="410" t="s">
        <v>235</v>
      </c>
      <c r="C996" s="469" t="str">
        <f t="shared" si="179"/>
        <v xml:space="preserve"> </v>
      </c>
      <c r="D996" s="439">
        <f>9.02*(2.6+3*0.07)*2</f>
        <v>50.692399999999999</v>
      </c>
      <c r="E996" s="422"/>
      <c r="F996" s="441" t="s">
        <v>946</v>
      </c>
      <c r="G996" s="422" t="s">
        <v>377</v>
      </c>
      <c r="H996" s="435">
        <f>$H$995*$D996</f>
        <v>0</v>
      </c>
      <c r="I996" s="435">
        <f t="shared" ref="I996:L1000" si="187">I$987*$D996</f>
        <v>0</v>
      </c>
      <c r="J996" s="435">
        <f t="shared" si="187"/>
        <v>0</v>
      </c>
      <c r="K996" s="435">
        <f t="shared" si="187"/>
        <v>0</v>
      </c>
      <c r="L996" s="435">
        <f t="shared" si="187"/>
        <v>0</v>
      </c>
      <c r="M996" s="435"/>
      <c r="N996" s="435"/>
      <c r="O996" s="435"/>
      <c r="P996" s="435">
        <f>$P$995*D996</f>
        <v>0</v>
      </c>
      <c r="Q996" s="442">
        <f>$Q$995*D996</f>
        <v>0</v>
      </c>
      <c r="R996" s="437">
        <f>$R$995*D996</f>
        <v>0</v>
      </c>
      <c r="S996" s="442"/>
      <c r="T996" s="432">
        <f t="shared" si="178"/>
        <v>0</v>
      </c>
    </row>
    <row r="997" spans="1:20" ht="22.2" hidden="1" customHeight="1">
      <c r="B997" s="410" t="s">
        <v>237</v>
      </c>
      <c r="C997" s="469" t="str">
        <f t="shared" si="179"/>
        <v xml:space="preserve"> </v>
      </c>
      <c r="D997" s="440">
        <v>2</v>
      </c>
      <c r="E997" s="422"/>
      <c r="F997" s="441" t="s">
        <v>947</v>
      </c>
      <c r="G997" s="422" t="s">
        <v>375</v>
      </c>
      <c r="H997" s="435">
        <f>$H$995*$D997</f>
        <v>0</v>
      </c>
      <c r="I997" s="435">
        <f t="shared" si="187"/>
        <v>0</v>
      </c>
      <c r="J997" s="435">
        <f t="shared" si="187"/>
        <v>0</v>
      </c>
      <c r="K997" s="435">
        <f t="shared" si="187"/>
        <v>0</v>
      </c>
      <c r="L997" s="435">
        <f t="shared" si="187"/>
        <v>0</v>
      </c>
      <c r="M997" s="435"/>
      <c r="N997" s="435"/>
      <c r="O997" s="435"/>
      <c r="P997" s="435">
        <f>$P$995*D997</f>
        <v>0</v>
      </c>
      <c r="Q997" s="442">
        <f>$Q$995*D997</f>
        <v>0</v>
      </c>
      <c r="R997" s="442">
        <f>$R$995*D997</f>
        <v>0</v>
      </c>
      <c r="S997" s="442"/>
      <c r="T997" s="432">
        <f t="shared" si="178"/>
        <v>0</v>
      </c>
    </row>
    <row r="998" spans="1:20" ht="22.2" hidden="1" customHeight="1">
      <c r="B998" s="410" t="s">
        <v>368</v>
      </c>
      <c r="C998" s="469" t="str">
        <f t="shared" si="179"/>
        <v xml:space="preserve"> </v>
      </c>
      <c r="D998" s="440">
        <v>2</v>
      </c>
      <c r="E998" s="422"/>
      <c r="F998" s="441" t="s">
        <v>956</v>
      </c>
      <c r="G998" s="422" t="s">
        <v>375</v>
      </c>
      <c r="H998" s="435">
        <f>$H$995*$D998</f>
        <v>0</v>
      </c>
      <c r="I998" s="435">
        <f t="shared" si="187"/>
        <v>0</v>
      </c>
      <c r="J998" s="435">
        <f t="shared" si="187"/>
        <v>0</v>
      </c>
      <c r="K998" s="435">
        <f t="shared" si="187"/>
        <v>0</v>
      </c>
      <c r="L998" s="435">
        <f t="shared" si="187"/>
        <v>0</v>
      </c>
      <c r="M998" s="435"/>
      <c r="N998" s="435"/>
      <c r="O998" s="435"/>
      <c r="P998" s="435">
        <f>$P$995*D998</f>
        <v>0</v>
      </c>
      <c r="Q998" s="442">
        <f>$Q$995*D998</f>
        <v>0</v>
      </c>
      <c r="R998" s="442">
        <f>$R$995*D998</f>
        <v>0</v>
      </c>
      <c r="S998" s="442"/>
      <c r="T998" s="432">
        <f t="shared" si="178"/>
        <v>0</v>
      </c>
    </row>
    <row r="999" spans="1:20" ht="22.2" hidden="1" customHeight="1">
      <c r="B999" s="410" t="s">
        <v>363</v>
      </c>
      <c r="C999" s="469" t="str">
        <f t="shared" si="179"/>
        <v xml:space="preserve"> </v>
      </c>
      <c r="D999" s="439">
        <v>1</v>
      </c>
      <c r="E999" s="473"/>
      <c r="F999" s="434" t="s">
        <v>948</v>
      </c>
      <c r="G999" s="422" t="s">
        <v>375</v>
      </c>
      <c r="H999" s="435">
        <f>$H$995*$D999</f>
        <v>0</v>
      </c>
      <c r="I999" s="435">
        <f t="shared" si="187"/>
        <v>0</v>
      </c>
      <c r="J999" s="435">
        <f t="shared" si="187"/>
        <v>0</v>
      </c>
      <c r="K999" s="435">
        <f t="shared" si="187"/>
        <v>0</v>
      </c>
      <c r="L999" s="435">
        <f t="shared" si="187"/>
        <v>0</v>
      </c>
      <c r="M999" s="435"/>
      <c r="N999" s="435"/>
      <c r="O999" s="435"/>
      <c r="P999" s="435">
        <f>$P$995*D999</f>
        <v>0</v>
      </c>
      <c r="Q999" s="442">
        <f>$Q$995*D999</f>
        <v>0</v>
      </c>
      <c r="R999" s="442">
        <f>$R$995*D999</f>
        <v>0</v>
      </c>
      <c r="S999" s="442"/>
      <c r="T999" s="432">
        <f t="shared" si="178"/>
        <v>0</v>
      </c>
    </row>
    <row r="1000" spans="1:20" ht="22.2" hidden="1" customHeight="1">
      <c r="A1000" s="379"/>
      <c r="B1000" s="410" t="s">
        <v>881</v>
      </c>
      <c r="C1000" s="469" t="str">
        <f t="shared" si="179"/>
        <v xml:space="preserve"> </v>
      </c>
      <c r="D1000" s="433"/>
      <c r="E1000" s="422"/>
      <c r="F1000" s="434" t="s">
        <v>949</v>
      </c>
      <c r="G1000" s="422" t="s">
        <v>365</v>
      </c>
      <c r="H1000" s="435">
        <f>H$987*$D1000</f>
        <v>0</v>
      </c>
      <c r="I1000" s="435">
        <f t="shared" si="187"/>
        <v>0</v>
      </c>
      <c r="J1000" s="435">
        <f t="shared" si="187"/>
        <v>0</v>
      </c>
      <c r="K1000" s="435">
        <f t="shared" si="187"/>
        <v>0</v>
      </c>
      <c r="L1000" s="435">
        <f t="shared" si="187"/>
        <v>0</v>
      </c>
      <c r="M1000" s="435"/>
      <c r="N1000" s="435"/>
      <c r="O1000" s="435"/>
      <c r="P1000" s="435">
        <f>$P$995*D1000</f>
        <v>0</v>
      </c>
      <c r="Q1000" s="442">
        <f>$Q$995*D1000</f>
        <v>0</v>
      </c>
      <c r="R1000" s="442">
        <f>$R$995*D1000</f>
        <v>0</v>
      </c>
      <c r="S1000" s="442"/>
      <c r="T1000" s="432">
        <f t="shared" ref="T1000:T1063" si="188">IFERROR(HLOOKUP(B1000,BangKeTru,3,0),0)</f>
        <v>0</v>
      </c>
    </row>
    <row r="1001" spans="1:20" ht="22.2" hidden="1" customHeight="1">
      <c r="A1001" s="379"/>
      <c r="B1001" s="438" t="s">
        <v>882</v>
      </c>
      <c r="C1001" s="469" t="str">
        <f t="shared" ref="C1001:C1064" si="189">IF(OR(P1001&lt;&gt;0,H1001&lt;&gt;0),"x"," ")</f>
        <v xml:space="preserve"> </v>
      </c>
      <c r="D1001" s="433"/>
      <c r="E1001" s="422" t="s">
        <v>950</v>
      </c>
      <c r="F1001" s="434" t="s">
        <v>951</v>
      </c>
      <c r="G1001" s="422" t="s">
        <v>365</v>
      </c>
      <c r="H1001" s="435"/>
      <c r="I1001" s="435"/>
      <c r="J1001" s="435"/>
      <c r="K1001" s="435"/>
      <c r="L1001" s="435"/>
      <c r="M1001" s="435"/>
      <c r="N1001" s="435"/>
      <c r="O1001" s="435"/>
      <c r="P1001" s="435"/>
      <c r="Q1001" s="437"/>
      <c r="R1001" s="437"/>
      <c r="S1001" s="437"/>
      <c r="T1001" s="432">
        <f t="shared" si="188"/>
        <v>0</v>
      </c>
    </row>
    <row r="1002" spans="1:20" ht="22.2" hidden="1" customHeight="1">
      <c r="A1002" s="379"/>
      <c r="B1002" s="438" t="s">
        <v>620</v>
      </c>
      <c r="C1002" s="469" t="str">
        <f t="shared" si="189"/>
        <v xml:space="preserve"> </v>
      </c>
      <c r="D1002" s="439"/>
      <c r="E1002" s="422" t="s">
        <v>952</v>
      </c>
      <c r="F1002" s="434" t="s">
        <v>953</v>
      </c>
      <c r="G1002" s="422" t="s">
        <v>365</v>
      </c>
      <c r="H1002" s="435"/>
      <c r="I1002" s="435"/>
      <c r="J1002" s="435"/>
      <c r="K1002" s="435"/>
      <c r="L1002" s="435"/>
      <c r="M1002" s="435"/>
      <c r="N1002" s="435"/>
      <c r="O1002" s="435"/>
      <c r="P1002" s="435"/>
      <c r="Q1002" s="437"/>
      <c r="R1002" s="437"/>
      <c r="S1002" s="437"/>
      <c r="T1002" s="432">
        <f t="shared" si="188"/>
        <v>0</v>
      </c>
    </row>
    <row r="1003" spans="1:20" ht="22.2" hidden="1" customHeight="1">
      <c r="A1003" s="423" t="s">
        <v>957</v>
      </c>
      <c r="B1003" s="424" t="s">
        <v>957</v>
      </c>
      <c r="C1003" s="469" t="str">
        <f t="shared" si="189"/>
        <v xml:space="preserve"> </v>
      </c>
      <c r="D1003" s="426"/>
      <c r="E1003" s="427"/>
      <c r="F1003" s="428" t="s">
        <v>958</v>
      </c>
      <c r="G1003" s="349" t="s">
        <v>67</v>
      </c>
      <c r="H1003" s="429">
        <f>SUM(I1003:O1003)</f>
        <v>0</v>
      </c>
      <c r="I1003" s="430"/>
      <c r="J1003" s="430"/>
      <c r="K1003" s="430">
        <f>IFERROR(HLOOKUP(B1003,[1]pp3p1m!$1:$3,3,0),0)</f>
        <v>0</v>
      </c>
      <c r="L1003" s="430">
        <f>IFERROR(HLOOKUP(chitiet!B1003,[1]pp1p!$1:$3,3,0),0)</f>
        <v>0</v>
      </c>
      <c r="M1003" s="430"/>
      <c r="N1003" s="430"/>
      <c r="O1003" s="430"/>
      <c r="P1003" s="430">
        <f>H1003+Q1003-R1003</f>
        <v>0</v>
      </c>
      <c r="Q1003" s="431"/>
      <c r="R1003" s="431"/>
      <c r="S1003" s="431"/>
      <c r="T1003" s="432">
        <f>IFERROR(HLOOKUP(B1003,[1]pp1p!$1:$3,3,0),0)+IFERROR(HLOOKUP(B1003,[1]pp3p1m!$1:$3,3,0),0)</f>
        <v>0</v>
      </c>
    </row>
    <row r="1004" spans="1:20" ht="22.2" hidden="1" customHeight="1">
      <c r="A1004" s="379"/>
      <c r="B1004" s="410" t="s">
        <v>235</v>
      </c>
      <c r="C1004" s="469" t="str">
        <f t="shared" si="189"/>
        <v xml:space="preserve"> </v>
      </c>
      <c r="D1004" s="439">
        <f>9.02*(2.8+3*0.1)*2</f>
        <v>55.923999999999992</v>
      </c>
      <c r="E1004" s="422"/>
      <c r="F1004" s="441" t="str">
        <f>VLOOKUP($B1004,[1]DG!A:D,[1]DG!$C$2,)</f>
        <v>Sắt góc L75 x75 x8</v>
      </c>
      <c r="G1004" s="422" t="str">
        <f>VLOOKUP($B1004,[1]DG!A:D,[1]DG!$D$2,)</f>
        <v>kg</v>
      </c>
      <c r="H1004" s="435">
        <f t="shared" ref="H1004:L1008" si="190">H$1003*$D1004</f>
        <v>0</v>
      </c>
      <c r="I1004" s="435">
        <f t="shared" si="190"/>
        <v>0</v>
      </c>
      <c r="J1004" s="435">
        <f t="shared" si="190"/>
        <v>0</v>
      </c>
      <c r="K1004" s="435">
        <f t="shared" si="190"/>
        <v>0</v>
      </c>
      <c r="L1004" s="435">
        <f t="shared" si="190"/>
        <v>0</v>
      </c>
      <c r="M1004" s="435"/>
      <c r="N1004" s="435"/>
      <c r="O1004" s="435"/>
      <c r="P1004" s="435"/>
      <c r="Q1004" s="442"/>
      <c r="R1004" s="442"/>
      <c r="S1004" s="442"/>
      <c r="T1004" s="432">
        <f t="shared" si="188"/>
        <v>0</v>
      </c>
    </row>
    <row r="1005" spans="1:20" ht="22.2" hidden="1" customHeight="1">
      <c r="A1005" s="379"/>
      <c r="B1005" s="410" t="s">
        <v>236</v>
      </c>
      <c r="C1005" s="469" t="str">
        <f t="shared" si="189"/>
        <v xml:space="preserve"> </v>
      </c>
      <c r="D1005" s="439">
        <f>0.92*3.77*4</f>
        <v>13.873600000000001</v>
      </c>
      <c r="E1005" s="422"/>
      <c r="F1005" s="441" t="str">
        <f>VLOOKUP($B1005,[1]DG!A:D,[1]DG!$C$2,)</f>
        <v>Sắt góc L50 x50 x5</v>
      </c>
      <c r="G1005" s="422" t="str">
        <f>VLOOKUP($B1005,[1]DG!A:D,[1]DG!$D$2,)</f>
        <v>kg</v>
      </c>
      <c r="H1005" s="435">
        <f t="shared" si="190"/>
        <v>0</v>
      </c>
      <c r="I1005" s="435">
        <f t="shared" si="190"/>
        <v>0</v>
      </c>
      <c r="J1005" s="435">
        <f t="shared" si="190"/>
        <v>0</v>
      </c>
      <c r="K1005" s="435">
        <f t="shared" si="190"/>
        <v>0</v>
      </c>
      <c r="L1005" s="435">
        <f t="shared" si="190"/>
        <v>0</v>
      </c>
      <c r="M1005" s="435"/>
      <c r="N1005" s="435"/>
      <c r="O1005" s="435"/>
      <c r="P1005" s="435"/>
      <c r="Q1005" s="442"/>
      <c r="R1005" s="442"/>
      <c r="S1005" s="442"/>
      <c r="T1005" s="432">
        <f t="shared" si="188"/>
        <v>0</v>
      </c>
    </row>
    <row r="1006" spans="1:20" ht="22.2" hidden="1" customHeight="1">
      <c r="A1006" s="379"/>
      <c r="B1006" s="410" t="s">
        <v>236</v>
      </c>
      <c r="C1006" s="469" t="str">
        <f t="shared" si="189"/>
        <v xml:space="preserve"> </v>
      </c>
      <c r="D1006" s="439">
        <f>2*0.45*6</f>
        <v>5.4</v>
      </c>
      <c r="E1006" s="422"/>
      <c r="F1006" s="441" t="s">
        <v>959</v>
      </c>
      <c r="G1006" s="422" t="str">
        <f>VLOOKUP($B1006,[1]DG!A:D,[1]DG!$D$2,)</f>
        <v>kg</v>
      </c>
      <c r="H1006" s="435">
        <f t="shared" si="190"/>
        <v>0</v>
      </c>
      <c r="I1006" s="435">
        <f t="shared" si="190"/>
        <v>0</v>
      </c>
      <c r="J1006" s="435">
        <f t="shared" si="190"/>
        <v>0</v>
      </c>
      <c r="K1006" s="435">
        <f t="shared" si="190"/>
        <v>0</v>
      </c>
      <c r="L1006" s="435">
        <f t="shared" si="190"/>
        <v>0</v>
      </c>
      <c r="M1006" s="435"/>
      <c r="N1006" s="435"/>
      <c r="O1006" s="435"/>
      <c r="P1006" s="435"/>
      <c r="Q1006" s="442"/>
      <c r="R1006" s="442"/>
      <c r="S1006" s="442"/>
      <c r="T1006" s="432">
        <f t="shared" si="188"/>
        <v>0</v>
      </c>
    </row>
    <row r="1007" spans="1:20" ht="22.2" hidden="1" customHeight="1">
      <c r="A1007" s="379"/>
      <c r="B1007" s="410" t="s">
        <v>65</v>
      </c>
      <c r="C1007" s="469" t="str">
        <f t="shared" si="189"/>
        <v xml:space="preserve"> </v>
      </c>
      <c r="D1007" s="440">
        <v>4</v>
      </c>
      <c r="E1007" s="422"/>
      <c r="F1007" s="441" t="str">
        <f>VLOOKUP($B1007,[1]DG!A:D,[1]DG!$C$2,)</f>
        <v>Boulon 16x300+ 2 long đền vuông D18-50x50x3/Zn</v>
      </c>
      <c r="G1007" s="422" t="str">
        <f>VLOOKUP($B1007,[1]DG!A:D,[1]DG!$D$2,)</f>
        <v>bộ</v>
      </c>
      <c r="H1007" s="435">
        <f t="shared" si="190"/>
        <v>0</v>
      </c>
      <c r="I1007" s="435">
        <f t="shared" si="190"/>
        <v>0</v>
      </c>
      <c r="J1007" s="435">
        <f t="shared" si="190"/>
        <v>0</v>
      </c>
      <c r="K1007" s="435">
        <f t="shared" si="190"/>
        <v>0</v>
      </c>
      <c r="L1007" s="435">
        <f t="shared" si="190"/>
        <v>0</v>
      </c>
      <c r="M1007" s="435"/>
      <c r="N1007" s="435"/>
      <c r="O1007" s="435"/>
      <c r="P1007" s="435"/>
      <c r="Q1007" s="442"/>
      <c r="R1007" s="442"/>
      <c r="S1007" s="442"/>
      <c r="T1007" s="432">
        <f t="shared" si="188"/>
        <v>0</v>
      </c>
    </row>
    <row r="1008" spans="1:20" ht="22.2" hidden="1" customHeight="1">
      <c r="A1008" s="379"/>
      <c r="B1008" s="410" t="s">
        <v>368</v>
      </c>
      <c r="C1008" s="469" t="str">
        <f t="shared" si="189"/>
        <v xml:space="preserve"> </v>
      </c>
      <c r="D1008" s="440">
        <v>4</v>
      </c>
      <c r="E1008" s="422"/>
      <c r="F1008" s="441" t="str">
        <f>VLOOKUP($B1008,[1]DG!A:D,[1]DG!$C$2,)</f>
        <v>Boulon 16x300VRS+ 4 long đền vuông D18-50x50x3/Zn</v>
      </c>
      <c r="G1008" s="422" t="str">
        <f>VLOOKUP($B1008,[1]DG!A:D,[1]DG!$D$2,)</f>
        <v>bộ</v>
      </c>
      <c r="H1008" s="435">
        <f t="shared" si="190"/>
        <v>0</v>
      </c>
      <c r="I1008" s="435">
        <f t="shared" si="190"/>
        <v>0</v>
      </c>
      <c r="J1008" s="435">
        <f t="shared" si="190"/>
        <v>0</v>
      </c>
      <c r="K1008" s="435">
        <f t="shared" si="190"/>
        <v>0</v>
      </c>
      <c r="L1008" s="435">
        <f t="shared" si="190"/>
        <v>0</v>
      </c>
      <c r="M1008" s="435"/>
      <c r="N1008" s="435"/>
      <c r="O1008" s="435"/>
      <c r="P1008" s="435"/>
      <c r="Q1008" s="442"/>
      <c r="R1008" s="442"/>
      <c r="S1008" s="442"/>
      <c r="T1008" s="432">
        <f t="shared" si="188"/>
        <v>0</v>
      </c>
    </row>
    <row r="1009" spans="1:20" ht="22.2" hidden="1" customHeight="1">
      <c r="A1009" s="379"/>
      <c r="B1009" s="410" t="s">
        <v>363</v>
      </c>
      <c r="C1009" s="469" t="str">
        <f t="shared" si="189"/>
        <v xml:space="preserve"> </v>
      </c>
      <c r="D1009" s="440">
        <v>1</v>
      </c>
      <c r="E1009" s="422"/>
      <c r="F1009" s="434" t="str">
        <f>VLOOKUP($B1009,[1]DG!A:D,[1]DG!$C$2,)</f>
        <v>Lắp xà cột Pi loại ≤140kg/xà</v>
      </c>
      <c r="G1009" s="422" t="str">
        <f>VLOOKUP($B1009,[1]DG!A:D,[1]DG!$D$2,)</f>
        <v>bộ</v>
      </c>
      <c r="H1009" s="435"/>
      <c r="I1009" s="435"/>
      <c r="J1009" s="435"/>
      <c r="K1009" s="435"/>
      <c r="L1009" s="435"/>
      <c r="M1009" s="435"/>
      <c r="N1009" s="435"/>
      <c r="O1009" s="435"/>
      <c r="P1009" s="435"/>
      <c r="Q1009" s="442"/>
      <c r="R1009" s="442"/>
      <c r="S1009" s="442"/>
      <c r="T1009" s="432">
        <f t="shared" si="188"/>
        <v>0</v>
      </c>
    </row>
    <row r="1010" spans="1:20" ht="22.2" hidden="1" customHeight="1">
      <c r="A1010" s="379"/>
      <c r="B1010" s="410" t="s">
        <v>881</v>
      </c>
      <c r="C1010" s="469" t="str">
        <f t="shared" si="189"/>
        <v xml:space="preserve"> </v>
      </c>
      <c r="D1010" s="433">
        <f>D1011</f>
        <v>7.9000000000000001E-2</v>
      </c>
      <c r="E1010" s="422"/>
      <c r="F1010" s="434" t="str">
        <f>VLOOKUP($B1010,[1]DG!A:D,[1]DG!$C$2,)</f>
        <v>Bốc dỡ xà, thép thanh</v>
      </c>
      <c r="G1010" s="422" t="str">
        <f>VLOOKUP($B1010,[1]DG!A:D,[1]DG!$D$2,)</f>
        <v>tấn</v>
      </c>
      <c r="H1010" s="435"/>
      <c r="I1010" s="435"/>
      <c r="J1010" s="435"/>
      <c r="K1010" s="435"/>
      <c r="L1010" s="435"/>
      <c r="M1010" s="435"/>
      <c r="N1010" s="435"/>
      <c r="O1010" s="435"/>
      <c r="P1010" s="435"/>
      <c r="Q1010" s="442"/>
      <c r="R1010" s="442"/>
      <c r="S1010" s="442"/>
      <c r="T1010" s="432">
        <f t="shared" si="188"/>
        <v>0</v>
      </c>
    </row>
    <row r="1011" spans="1:20" ht="22.2" hidden="1" customHeight="1">
      <c r="A1011" s="379"/>
      <c r="B1011" s="438" t="s">
        <v>882</v>
      </c>
      <c r="C1011" s="469" t="str">
        <f t="shared" si="189"/>
        <v xml:space="preserve"> </v>
      </c>
      <c r="D1011" s="433">
        <f>ROUND(SUM(D1004:D1006)*1.05/1000,3)</f>
        <v>7.9000000000000001E-2</v>
      </c>
      <c r="E1011" s="422" t="str">
        <f>VLOOKUP($B1011,[1]DG!A:C,2,)</f>
        <v>02.1361</v>
      </c>
      <c r="F1011" s="434" t="str">
        <f>VLOOKUP($B1011,[1]DG!A:C,3,)</f>
        <v>V/c xà vào vị trí (cư ly &lt;=100m)</v>
      </c>
      <c r="G1011" s="422" t="str">
        <f>VLOOKUP($B1011,[1]DG!A:D,4,0)</f>
        <v>tấn</v>
      </c>
      <c r="H1011" s="435"/>
      <c r="I1011" s="435"/>
      <c r="J1011" s="435"/>
      <c r="K1011" s="435"/>
      <c r="L1011" s="435"/>
      <c r="M1011" s="435"/>
      <c r="N1011" s="435"/>
      <c r="O1011" s="435"/>
      <c r="P1011" s="435"/>
      <c r="Q1011" s="437"/>
      <c r="R1011" s="437"/>
      <c r="S1011" s="437"/>
      <c r="T1011" s="432">
        <f t="shared" si="188"/>
        <v>0</v>
      </c>
    </row>
    <row r="1012" spans="1:20" ht="22.2" hidden="1" customHeight="1">
      <c r="A1012" s="379"/>
      <c r="B1012" s="438" t="s">
        <v>620</v>
      </c>
      <c r="C1012" s="469" t="str">
        <f t="shared" si="189"/>
        <v xml:space="preserve"> </v>
      </c>
      <c r="D1012" s="439">
        <v>0.05</v>
      </c>
      <c r="E1012" s="422" t="str">
        <f>VLOOKUP($B1012,[1]DG!A:C,2,)</f>
        <v>02.1482</v>
      </c>
      <c r="F1012" s="434" t="str">
        <f>VLOOKUP($B1012,[1]DG!A:C,3,)</f>
        <v>V/c dụng cụ thi công vào vị trí (cự ly &lt;=100m)</v>
      </c>
      <c r="G1012" s="422" t="str">
        <f>VLOOKUP($B1012,[1]DG!A:D,4,0)</f>
        <v>tấn</v>
      </c>
      <c r="H1012" s="435"/>
      <c r="I1012" s="435"/>
      <c r="J1012" s="435"/>
      <c r="K1012" s="435"/>
      <c r="L1012" s="435"/>
      <c r="M1012" s="435"/>
      <c r="N1012" s="435"/>
      <c r="O1012" s="435"/>
      <c r="P1012" s="435"/>
      <c r="Q1012" s="437"/>
      <c r="R1012" s="437"/>
      <c r="S1012" s="437"/>
      <c r="T1012" s="432">
        <f t="shared" si="188"/>
        <v>0</v>
      </c>
    </row>
    <row r="1013" spans="1:20" ht="22.2" hidden="1" customHeight="1">
      <c r="A1013" s="423" t="s">
        <v>960</v>
      </c>
      <c r="B1013" s="424" t="s">
        <v>960</v>
      </c>
      <c r="C1013" s="469" t="str">
        <f t="shared" si="189"/>
        <v xml:space="preserve"> </v>
      </c>
      <c r="D1013" s="426"/>
      <c r="E1013" s="427"/>
      <c r="F1013" s="428" t="s">
        <v>961</v>
      </c>
      <c r="G1013" s="349" t="s">
        <v>67</v>
      </c>
      <c r="H1013" s="429">
        <f>SUM(I1013:O1013)</f>
        <v>0</v>
      </c>
      <c r="I1013" s="430"/>
      <c r="J1013" s="430"/>
      <c r="K1013" s="430">
        <f>IFERROR(HLOOKUP(B1013,[1]pp3p1m!$1:$3,3,0),0)</f>
        <v>0</v>
      </c>
      <c r="L1013" s="430">
        <f>IFERROR(HLOOKUP(chitiet!B1013,[1]pp1p!$1:$3,3,0),0)</f>
        <v>0</v>
      </c>
      <c r="M1013" s="430"/>
      <c r="N1013" s="430"/>
      <c r="O1013" s="430"/>
      <c r="P1013" s="430">
        <f>H1013+Q1013-R1013</f>
        <v>0</v>
      </c>
      <c r="Q1013" s="431"/>
      <c r="R1013" s="431"/>
      <c r="S1013" s="431"/>
      <c r="T1013" s="432">
        <f>IFERROR(HLOOKUP(B1013,[1]pp1p!$1:$3,3,0),0)+IFERROR(HLOOKUP(B1013,[1]pp3p1m!$1:$3,3,0),0)</f>
        <v>0</v>
      </c>
    </row>
    <row r="1014" spans="1:20" ht="22.2" hidden="1" customHeight="1">
      <c r="A1014" s="379"/>
      <c r="B1014" s="410" t="s">
        <v>235</v>
      </c>
      <c r="C1014" s="469" t="str">
        <f t="shared" si="189"/>
        <v xml:space="preserve"> </v>
      </c>
      <c r="D1014" s="439">
        <f>9.02*(3+3*0.1)*2</f>
        <v>59.531999999999996</v>
      </c>
      <c r="E1014" s="422"/>
      <c r="F1014" s="441" t="str">
        <f>VLOOKUP($B1014,[1]DG!A:D,[1]DG!$C$2,)</f>
        <v>Sắt góc L75 x75 x8</v>
      </c>
      <c r="G1014" s="422" t="str">
        <f>VLOOKUP($B1014,[1]DG!A:D,[1]DG!$D$2,)</f>
        <v>kg</v>
      </c>
      <c r="H1014" s="435">
        <f t="shared" ref="H1014:L1018" si="191">H$1013*$D1014</f>
        <v>0</v>
      </c>
      <c r="I1014" s="435">
        <f t="shared" si="191"/>
        <v>0</v>
      </c>
      <c r="J1014" s="435">
        <f t="shared" si="191"/>
        <v>0</v>
      </c>
      <c r="K1014" s="435">
        <f t="shared" si="191"/>
        <v>0</v>
      </c>
      <c r="L1014" s="435">
        <f t="shared" si="191"/>
        <v>0</v>
      </c>
      <c r="M1014" s="435"/>
      <c r="N1014" s="435"/>
      <c r="O1014" s="435"/>
      <c r="P1014" s="435"/>
      <c r="Q1014" s="442"/>
      <c r="R1014" s="442"/>
      <c r="S1014" s="442"/>
      <c r="T1014" s="432">
        <f t="shared" si="188"/>
        <v>0</v>
      </c>
    </row>
    <row r="1015" spans="1:20" ht="22.2" hidden="1" customHeight="1">
      <c r="A1015" s="379"/>
      <c r="B1015" s="410" t="s">
        <v>962</v>
      </c>
      <c r="C1015" s="469" t="str">
        <f t="shared" si="189"/>
        <v xml:space="preserve"> </v>
      </c>
      <c r="D1015" s="439">
        <f>0.92*2.826*4</f>
        <v>10.39968</v>
      </c>
      <c r="E1015" s="422"/>
      <c r="F1015" s="441" t="str">
        <f>VLOOKUP($B1015,[1]DG!A:D,[1]DG!$C$2,)</f>
        <v>Sắt dẹt 60 x 6</v>
      </c>
      <c r="G1015" s="422" t="str">
        <f>VLOOKUP($B1015,[1]DG!A:D,[1]DG!$D$2,)</f>
        <v>kg</v>
      </c>
      <c r="H1015" s="435">
        <f t="shared" si="191"/>
        <v>0</v>
      </c>
      <c r="I1015" s="435">
        <f t="shared" si="191"/>
        <v>0</v>
      </c>
      <c r="J1015" s="435">
        <f t="shared" si="191"/>
        <v>0</v>
      </c>
      <c r="K1015" s="435">
        <f t="shared" si="191"/>
        <v>0</v>
      </c>
      <c r="L1015" s="435">
        <f t="shared" si="191"/>
        <v>0</v>
      </c>
      <c r="M1015" s="435"/>
      <c r="N1015" s="435"/>
      <c r="O1015" s="435"/>
      <c r="P1015" s="435"/>
      <c r="Q1015" s="442"/>
      <c r="R1015" s="442"/>
      <c r="S1015" s="442"/>
      <c r="T1015" s="432">
        <f t="shared" si="188"/>
        <v>0</v>
      </c>
    </row>
    <row r="1016" spans="1:20" ht="22.2" hidden="1" customHeight="1">
      <c r="A1016" s="379"/>
      <c r="B1016" s="410" t="s">
        <v>231</v>
      </c>
      <c r="C1016" s="469" t="str">
        <f t="shared" si="189"/>
        <v xml:space="preserve"> </v>
      </c>
      <c r="D1016" s="440">
        <v>4</v>
      </c>
      <c r="E1016" s="422"/>
      <c r="F1016" s="441" t="str">
        <f>VLOOKUP($B1016,[1]DG!A:D,[1]DG!$C$2,)</f>
        <v>Boulon 16x50+ 2 long đền vuông D18-50x50x3/Zn</v>
      </c>
      <c r="G1016" s="422" t="str">
        <f>VLOOKUP($B1016,[1]DG!A:D,[1]DG!$D$2,)</f>
        <v>bộ</v>
      </c>
      <c r="H1016" s="435">
        <f t="shared" si="191"/>
        <v>0</v>
      </c>
      <c r="I1016" s="435">
        <f t="shared" si="191"/>
        <v>0</v>
      </c>
      <c r="J1016" s="435">
        <f t="shared" si="191"/>
        <v>0</v>
      </c>
      <c r="K1016" s="435">
        <f t="shared" si="191"/>
        <v>0</v>
      </c>
      <c r="L1016" s="435">
        <f t="shared" si="191"/>
        <v>0</v>
      </c>
      <c r="M1016" s="435"/>
      <c r="N1016" s="435"/>
      <c r="O1016" s="435"/>
      <c r="P1016" s="435"/>
      <c r="Q1016" s="442"/>
      <c r="R1016" s="442"/>
      <c r="S1016" s="442"/>
      <c r="T1016" s="432">
        <f t="shared" si="188"/>
        <v>0</v>
      </c>
    </row>
    <row r="1017" spans="1:20" ht="22.2" hidden="1" customHeight="1">
      <c r="A1017" s="379"/>
      <c r="B1017" s="410" t="s">
        <v>237</v>
      </c>
      <c r="C1017" s="469" t="str">
        <f t="shared" si="189"/>
        <v xml:space="preserve"> </v>
      </c>
      <c r="D1017" s="440">
        <v>4</v>
      </c>
      <c r="E1017" s="422"/>
      <c r="F1017" s="441" t="str">
        <f>VLOOKUP($B1017,[1]DG!A:D,[1]DG!$C$2,)</f>
        <v>Boulon 16x250+ 2 long đền vuông D18-50x50x3/Zn</v>
      </c>
      <c r="G1017" s="422" t="str">
        <f>VLOOKUP($B1017,[1]DG!A:D,[1]DG!$D$2,)</f>
        <v>bộ</v>
      </c>
      <c r="H1017" s="435">
        <f t="shared" si="191"/>
        <v>0</v>
      </c>
      <c r="I1017" s="435">
        <f t="shared" si="191"/>
        <v>0</v>
      </c>
      <c r="J1017" s="435">
        <f t="shared" si="191"/>
        <v>0</v>
      </c>
      <c r="K1017" s="435">
        <f t="shared" si="191"/>
        <v>0</v>
      </c>
      <c r="L1017" s="435">
        <f t="shared" si="191"/>
        <v>0</v>
      </c>
      <c r="M1017" s="435"/>
      <c r="N1017" s="435"/>
      <c r="O1017" s="435"/>
      <c r="P1017" s="435"/>
      <c r="Q1017" s="442"/>
      <c r="R1017" s="442"/>
      <c r="S1017" s="442"/>
      <c r="T1017" s="432">
        <f t="shared" si="188"/>
        <v>0</v>
      </c>
    </row>
    <row r="1018" spans="1:20" ht="22.2" hidden="1" customHeight="1">
      <c r="A1018" s="379"/>
      <c r="B1018" s="410" t="s">
        <v>368</v>
      </c>
      <c r="C1018" s="469" t="str">
        <f t="shared" si="189"/>
        <v xml:space="preserve"> </v>
      </c>
      <c r="D1018" s="440">
        <v>4</v>
      </c>
      <c r="E1018" s="422"/>
      <c r="F1018" s="441" t="str">
        <f>VLOOKUP($B1018,[1]DG!A:D,[1]DG!$C$2,)</f>
        <v>Boulon 16x300VRS+ 4 long đền vuông D18-50x50x3/Zn</v>
      </c>
      <c r="G1018" s="422" t="str">
        <f>VLOOKUP($B1018,[1]DG!A:D,[1]DG!$D$2,)</f>
        <v>bộ</v>
      </c>
      <c r="H1018" s="435">
        <f t="shared" si="191"/>
        <v>0</v>
      </c>
      <c r="I1018" s="435">
        <f t="shared" si="191"/>
        <v>0</v>
      </c>
      <c r="J1018" s="435">
        <f t="shared" si="191"/>
        <v>0</v>
      </c>
      <c r="K1018" s="435">
        <f t="shared" si="191"/>
        <v>0</v>
      </c>
      <c r="L1018" s="435">
        <f t="shared" si="191"/>
        <v>0</v>
      </c>
      <c r="M1018" s="435"/>
      <c r="N1018" s="435"/>
      <c r="O1018" s="435"/>
      <c r="P1018" s="435"/>
      <c r="Q1018" s="442"/>
      <c r="R1018" s="442"/>
      <c r="S1018" s="442"/>
      <c r="T1018" s="432">
        <f t="shared" si="188"/>
        <v>0</v>
      </c>
    </row>
    <row r="1019" spans="1:20" ht="22.2" hidden="1" customHeight="1">
      <c r="A1019" s="379"/>
      <c r="B1019" s="410" t="s">
        <v>363</v>
      </c>
      <c r="C1019" s="469" t="str">
        <f t="shared" si="189"/>
        <v xml:space="preserve"> </v>
      </c>
      <c r="D1019" s="440">
        <v>1</v>
      </c>
      <c r="E1019" s="422"/>
      <c r="F1019" s="434" t="str">
        <f>VLOOKUP($B1019,[1]DG!A:D,[1]DG!$C$2,)</f>
        <v>Lắp xà cột Pi loại ≤140kg/xà</v>
      </c>
      <c r="G1019" s="422" t="str">
        <f>VLOOKUP($B1019,[1]DG!A:D,[1]DG!$D$2,)</f>
        <v>bộ</v>
      </c>
      <c r="H1019" s="435"/>
      <c r="I1019" s="435"/>
      <c r="J1019" s="435"/>
      <c r="K1019" s="435"/>
      <c r="L1019" s="435"/>
      <c r="M1019" s="435"/>
      <c r="N1019" s="435"/>
      <c r="O1019" s="435"/>
      <c r="P1019" s="435"/>
      <c r="Q1019" s="442"/>
      <c r="R1019" s="442"/>
      <c r="S1019" s="442"/>
      <c r="T1019" s="432">
        <f t="shared" si="188"/>
        <v>0</v>
      </c>
    </row>
    <row r="1020" spans="1:20" ht="22.2" hidden="1" customHeight="1">
      <c r="A1020" s="379"/>
      <c r="B1020" s="410" t="s">
        <v>881</v>
      </c>
      <c r="C1020" s="469" t="str">
        <f t="shared" si="189"/>
        <v xml:space="preserve"> </v>
      </c>
      <c r="D1020" s="433">
        <f>D1021</f>
        <v>7.2999999999999995E-2</v>
      </c>
      <c r="E1020" s="422"/>
      <c r="F1020" s="434" t="str">
        <f>VLOOKUP($B1020,[1]DG!A:D,[1]DG!$C$2,)</f>
        <v>Bốc dỡ xà, thép thanh</v>
      </c>
      <c r="G1020" s="422" t="str">
        <f>VLOOKUP($B1020,[1]DG!A:D,[1]DG!$D$2,)</f>
        <v>tấn</v>
      </c>
      <c r="H1020" s="435"/>
      <c r="I1020" s="435"/>
      <c r="J1020" s="435"/>
      <c r="K1020" s="435"/>
      <c r="L1020" s="435"/>
      <c r="M1020" s="435"/>
      <c r="N1020" s="435"/>
      <c r="O1020" s="435"/>
      <c r="P1020" s="435"/>
      <c r="Q1020" s="442"/>
      <c r="R1020" s="442"/>
      <c r="S1020" s="442"/>
      <c r="T1020" s="432">
        <f t="shared" si="188"/>
        <v>0</v>
      </c>
    </row>
    <row r="1021" spans="1:20" ht="22.2" hidden="1" customHeight="1">
      <c r="A1021" s="379"/>
      <c r="B1021" s="438" t="s">
        <v>882</v>
      </c>
      <c r="C1021" s="469" t="str">
        <f t="shared" si="189"/>
        <v xml:space="preserve"> </v>
      </c>
      <c r="D1021" s="433">
        <f>ROUND(SUM(D1014:D1015)*1.05/1000,3)</f>
        <v>7.2999999999999995E-2</v>
      </c>
      <c r="E1021" s="422" t="str">
        <f>VLOOKUP($B1021,[1]DG!A:C,2,)</f>
        <v>02.1361</v>
      </c>
      <c r="F1021" s="434" t="str">
        <f>VLOOKUP($B1021,[1]DG!A:C,3,)</f>
        <v>V/c xà vào vị trí (cư ly &lt;=100m)</v>
      </c>
      <c r="G1021" s="422" t="str">
        <f>VLOOKUP($B1021,[1]DG!A:D,4,0)</f>
        <v>tấn</v>
      </c>
      <c r="H1021" s="435"/>
      <c r="I1021" s="435"/>
      <c r="J1021" s="435"/>
      <c r="K1021" s="435"/>
      <c r="L1021" s="435"/>
      <c r="M1021" s="435"/>
      <c r="N1021" s="435"/>
      <c r="O1021" s="435"/>
      <c r="P1021" s="435"/>
      <c r="Q1021" s="437"/>
      <c r="R1021" s="437"/>
      <c r="S1021" s="437"/>
      <c r="T1021" s="432">
        <f t="shared" si="188"/>
        <v>0</v>
      </c>
    </row>
    <row r="1022" spans="1:20" ht="22.2" hidden="1" customHeight="1">
      <c r="A1022" s="379"/>
      <c r="B1022" s="438" t="s">
        <v>620</v>
      </c>
      <c r="C1022" s="469" t="str">
        <f t="shared" si="189"/>
        <v xml:space="preserve"> </v>
      </c>
      <c r="D1022" s="439">
        <v>0.05</v>
      </c>
      <c r="E1022" s="422" t="str">
        <f>VLOOKUP($B1022,[1]DG!A:C,2,)</f>
        <v>02.1482</v>
      </c>
      <c r="F1022" s="434" t="str">
        <f>VLOOKUP($B1022,[1]DG!A:C,3,)</f>
        <v>V/c dụng cụ thi công vào vị trí (cự ly &lt;=100m)</v>
      </c>
      <c r="G1022" s="422" t="str">
        <f>VLOOKUP($B1022,[1]DG!A:D,4,0)</f>
        <v>tấn</v>
      </c>
      <c r="H1022" s="435"/>
      <c r="I1022" s="435"/>
      <c r="J1022" s="435"/>
      <c r="K1022" s="435"/>
      <c r="L1022" s="435"/>
      <c r="M1022" s="435"/>
      <c r="N1022" s="435"/>
      <c r="O1022" s="435"/>
      <c r="P1022" s="435"/>
      <c r="Q1022" s="437"/>
      <c r="R1022" s="437"/>
      <c r="S1022" s="437"/>
      <c r="T1022" s="432">
        <f t="shared" si="188"/>
        <v>0</v>
      </c>
    </row>
    <row r="1023" spans="1:20" ht="22.2" hidden="1" customHeight="1">
      <c r="A1023" s="423" t="s">
        <v>963</v>
      </c>
      <c r="B1023" s="424" t="s">
        <v>963</v>
      </c>
      <c r="C1023" s="469" t="str">
        <f t="shared" si="189"/>
        <v xml:space="preserve"> </v>
      </c>
      <c r="D1023" s="426"/>
      <c r="E1023" s="427"/>
      <c r="F1023" s="428" t="s">
        <v>964</v>
      </c>
      <c r="G1023" s="349" t="s">
        <v>67</v>
      </c>
      <c r="H1023" s="429">
        <f>SUM(I1023:O1023)</f>
        <v>0</v>
      </c>
      <c r="I1023" s="430"/>
      <c r="J1023" s="430"/>
      <c r="K1023" s="430">
        <f>IFERROR(HLOOKUP(B1023,[1]pp3p1m!$1:$3,3,0),0)</f>
        <v>0</v>
      </c>
      <c r="L1023" s="430">
        <f>IFERROR(HLOOKUP(chitiet!B1023,[1]pp1p!$1:$3,3,0),0)</f>
        <v>0</v>
      </c>
      <c r="M1023" s="430"/>
      <c r="N1023" s="430"/>
      <c r="O1023" s="430"/>
      <c r="P1023" s="430">
        <f>H1023+Q1023-R1023</f>
        <v>0</v>
      </c>
      <c r="Q1023" s="431"/>
      <c r="R1023" s="431"/>
      <c r="S1023" s="431"/>
      <c r="T1023" s="432">
        <f>IFERROR(HLOOKUP(B1023,[1]pp1p!$1:$3,3,0),0)+IFERROR(HLOOKUP(B1023,[1]pp3p1m!$1:$3,3,0),0)</f>
        <v>0</v>
      </c>
    </row>
    <row r="1024" spans="1:20" ht="22.2" hidden="1" customHeight="1">
      <c r="A1024" s="379"/>
      <c r="B1024" s="410" t="s">
        <v>235</v>
      </c>
      <c r="C1024" s="469" t="str">
        <f t="shared" si="189"/>
        <v xml:space="preserve"> </v>
      </c>
      <c r="D1024" s="439">
        <f>9.02*(3.8+6*0.1)</f>
        <v>39.688000000000002</v>
      </c>
      <c r="E1024" s="422"/>
      <c r="F1024" s="441" t="str">
        <f>VLOOKUP($B1024,[1]DG!A:D,[1]DG!$C$2,)</f>
        <v>Sắt góc L75 x75 x8</v>
      </c>
      <c r="G1024" s="422" t="str">
        <f>VLOOKUP($B1024,[1]DG!A:D,[1]DG!$D$2,)</f>
        <v>kg</v>
      </c>
      <c r="H1024" s="435">
        <f t="shared" ref="H1024:L1028" si="192">H$1023*$D1024</f>
        <v>0</v>
      </c>
      <c r="I1024" s="435">
        <f t="shared" si="192"/>
        <v>0</v>
      </c>
      <c r="J1024" s="435">
        <f t="shared" si="192"/>
        <v>0</v>
      </c>
      <c r="K1024" s="435">
        <f t="shared" si="192"/>
        <v>0</v>
      </c>
      <c r="L1024" s="435">
        <f t="shared" si="192"/>
        <v>0</v>
      </c>
      <c r="M1024" s="435"/>
      <c r="N1024" s="435"/>
      <c r="O1024" s="435"/>
      <c r="P1024" s="435"/>
      <c r="Q1024" s="442"/>
      <c r="R1024" s="442"/>
      <c r="S1024" s="442"/>
      <c r="T1024" s="432">
        <f t="shared" si="188"/>
        <v>0</v>
      </c>
    </row>
    <row r="1025" spans="1:20" ht="22.2" hidden="1" customHeight="1">
      <c r="A1025" s="379"/>
      <c r="B1025" s="410" t="s">
        <v>236</v>
      </c>
      <c r="C1025" s="469" t="str">
        <f t="shared" si="189"/>
        <v xml:space="preserve"> </v>
      </c>
      <c r="D1025" s="439">
        <f>3.77*2.05*2</f>
        <v>15.456999999999999</v>
      </c>
      <c r="E1025" s="422"/>
      <c r="F1025" s="441" t="str">
        <f>VLOOKUP($B1025,[1]DG!A:D,[1]DG!$C$2,)</f>
        <v>Sắt góc L50 x50 x5</v>
      </c>
      <c r="G1025" s="422" t="str">
        <f>VLOOKUP($B1025,[1]DG!A:D,[1]DG!$D$2,)</f>
        <v>kg</v>
      </c>
      <c r="H1025" s="435">
        <f t="shared" si="192"/>
        <v>0</v>
      </c>
      <c r="I1025" s="435">
        <f t="shared" si="192"/>
        <v>0</v>
      </c>
      <c r="J1025" s="435">
        <f t="shared" si="192"/>
        <v>0</v>
      </c>
      <c r="K1025" s="435">
        <f t="shared" si="192"/>
        <v>0</v>
      </c>
      <c r="L1025" s="435">
        <f t="shared" si="192"/>
        <v>0</v>
      </c>
      <c r="M1025" s="435"/>
      <c r="N1025" s="435"/>
      <c r="O1025" s="435"/>
      <c r="P1025" s="435"/>
      <c r="Q1025" s="442"/>
      <c r="R1025" s="442"/>
      <c r="S1025" s="442"/>
      <c r="T1025" s="432">
        <f t="shared" si="188"/>
        <v>0</v>
      </c>
    </row>
    <row r="1026" spans="1:20" ht="22.2" hidden="1" customHeight="1">
      <c r="A1026" s="379"/>
      <c r="B1026" s="410" t="s">
        <v>934</v>
      </c>
      <c r="C1026" s="469" t="str">
        <f t="shared" si="189"/>
        <v xml:space="preserve"> </v>
      </c>
      <c r="D1026" s="439">
        <f>1.963*0.4*2</f>
        <v>1.5704000000000002</v>
      </c>
      <c r="E1026" s="422"/>
      <c r="F1026" s="441" t="str">
        <f>VLOOKUP($B1026,[1]DG!A:D,[1]DG!$C$2,)</f>
        <v>Sắt dẹt 50x5</v>
      </c>
      <c r="G1026" s="422" t="str">
        <f>VLOOKUP($B1026,[1]DG!A:D,[1]DG!$D$2,)</f>
        <v>kg</v>
      </c>
      <c r="H1026" s="435">
        <f t="shared" si="192"/>
        <v>0</v>
      </c>
      <c r="I1026" s="435">
        <f t="shared" si="192"/>
        <v>0</v>
      </c>
      <c r="J1026" s="435">
        <f t="shared" si="192"/>
        <v>0</v>
      </c>
      <c r="K1026" s="435">
        <f t="shared" si="192"/>
        <v>0</v>
      </c>
      <c r="L1026" s="435">
        <f t="shared" si="192"/>
        <v>0</v>
      </c>
      <c r="M1026" s="435"/>
      <c r="N1026" s="435"/>
      <c r="O1026" s="435"/>
      <c r="P1026" s="435"/>
      <c r="Q1026" s="442"/>
      <c r="R1026" s="442"/>
      <c r="S1026" s="442"/>
      <c r="T1026" s="432">
        <f t="shared" si="188"/>
        <v>0</v>
      </c>
    </row>
    <row r="1027" spans="1:20" ht="22.2" hidden="1" customHeight="1">
      <c r="A1027" s="379"/>
      <c r="B1027" s="410" t="s">
        <v>237</v>
      </c>
      <c r="C1027" s="469" t="str">
        <f t="shared" si="189"/>
        <v xml:space="preserve"> </v>
      </c>
      <c r="D1027" s="440">
        <v>2</v>
      </c>
      <c r="E1027" s="422"/>
      <c r="F1027" s="441" t="str">
        <f>VLOOKUP($B1027,[1]DG!A:D,[1]DG!$C$2,)</f>
        <v>Boulon 16x250+ 2 long đền vuông D18-50x50x3/Zn</v>
      </c>
      <c r="G1027" s="422" t="str">
        <f>VLOOKUP($B1027,[1]DG!A:D,[1]DG!$D$2,)</f>
        <v>bộ</v>
      </c>
      <c r="H1027" s="435">
        <f t="shared" si="192"/>
        <v>0</v>
      </c>
      <c r="I1027" s="435">
        <f t="shared" si="192"/>
        <v>0</v>
      </c>
      <c r="J1027" s="435">
        <f t="shared" si="192"/>
        <v>0</v>
      </c>
      <c r="K1027" s="435">
        <f t="shared" si="192"/>
        <v>0</v>
      </c>
      <c r="L1027" s="435">
        <f t="shared" si="192"/>
        <v>0</v>
      </c>
      <c r="M1027" s="435"/>
      <c r="N1027" s="435"/>
      <c r="O1027" s="435"/>
      <c r="P1027" s="435"/>
      <c r="Q1027" s="442"/>
      <c r="R1027" s="442"/>
      <c r="S1027" s="442"/>
      <c r="T1027" s="432">
        <f t="shared" si="188"/>
        <v>0</v>
      </c>
    </row>
    <row r="1028" spans="1:20" ht="22.2" hidden="1" customHeight="1">
      <c r="A1028" s="379"/>
      <c r="B1028" s="410" t="s">
        <v>231</v>
      </c>
      <c r="C1028" s="469" t="str">
        <f t="shared" si="189"/>
        <v xml:space="preserve"> </v>
      </c>
      <c r="D1028" s="440">
        <v>2</v>
      </c>
      <c r="E1028" s="422"/>
      <c r="F1028" s="441" t="str">
        <f>VLOOKUP($B1028,[1]DG!A:D,[1]DG!$C$2,)</f>
        <v>Boulon 16x50+ 2 long đền vuông D18-50x50x3/Zn</v>
      </c>
      <c r="G1028" s="422" t="str">
        <f>VLOOKUP($B1028,[1]DG!A:D,[1]DG!$D$2,)</f>
        <v>bộ</v>
      </c>
      <c r="H1028" s="435">
        <f t="shared" si="192"/>
        <v>0</v>
      </c>
      <c r="I1028" s="435">
        <f t="shared" si="192"/>
        <v>0</v>
      </c>
      <c r="J1028" s="435">
        <f t="shared" si="192"/>
        <v>0</v>
      </c>
      <c r="K1028" s="435">
        <f t="shared" si="192"/>
        <v>0</v>
      </c>
      <c r="L1028" s="435">
        <f t="shared" si="192"/>
        <v>0</v>
      </c>
      <c r="M1028" s="435"/>
      <c r="N1028" s="435"/>
      <c r="O1028" s="435"/>
      <c r="P1028" s="435"/>
      <c r="Q1028" s="442"/>
      <c r="R1028" s="442"/>
      <c r="S1028" s="442"/>
      <c r="T1028" s="432">
        <f t="shared" si="188"/>
        <v>0</v>
      </c>
    </row>
    <row r="1029" spans="1:20" ht="22.2" hidden="1" customHeight="1">
      <c r="A1029" s="379"/>
      <c r="B1029" s="410" t="s">
        <v>126</v>
      </c>
      <c r="C1029" s="469" t="str">
        <f t="shared" si="189"/>
        <v xml:space="preserve"> </v>
      </c>
      <c r="D1029" s="440">
        <v>1</v>
      </c>
      <c r="E1029" s="422" t="str">
        <f>VLOOKUP($B1029,[1]DG!A:D,[1]DG!$B$2,)</f>
        <v>05.6401</v>
      </c>
      <c r="F1029" s="434" t="str">
        <f>VLOOKUP($B1029,[1]DG!A:D,[1]DG!$C$2,)</f>
        <v>Lắp xà đỡ ≤ 25kg</v>
      </c>
      <c r="G1029" s="422" t="str">
        <f>VLOOKUP($B1029,[1]DG!A:D,[1]DG!$D$2,)</f>
        <v>bộ</v>
      </c>
      <c r="H1029" s="435"/>
      <c r="I1029" s="435"/>
      <c r="J1029" s="435"/>
      <c r="K1029" s="435"/>
      <c r="L1029" s="435"/>
      <c r="M1029" s="435"/>
      <c r="N1029" s="435"/>
      <c r="O1029" s="435"/>
      <c r="P1029" s="435"/>
      <c r="Q1029" s="437"/>
      <c r="R1029" s="437"/>
      <c r="S1029" s="437"/>
      <c r="T1029" s="432">
        <f t="shared" si="188"/>
        <v>0</v>
      </c>
    </row>
    <row r="1030" spans="1:20" ht="22.2" hidden="1" customHeight="1">
      <c r="A1030" s="379"/>
      <c r="B1030" s="410" t="s">
        <v>881</v>
      </c>
      <c r="C1030" s="469" t="str">
        <f t="shared" si="189"/>
        <v xml:space="preserve"> </v>
      </c>
      <c r="D1030" s="433">
        <f>D1031</f>
        <v>0.06</v>
      </c>
      <c r="E1030" s="422" t="str">
        <f>VLOOKUP($B1030,[1]DG!A:D,[1]DG!$B$2,)</f>
        <v>02.1115</v>
      </c>
      <c r="F1030" s="434" t="str">
        <f>VLOOKUP($B1030,[1]DG!A:D,[1]DG!$C$2,)</f>
        <v>Bốc dỡ xà, thép thanh</v>
      </c>
      <c r="G1030" s="422" t="str">
        <f>VLOOKUP($B1030,[1]DG!A:D,[1]DG!$D$2,)</f>
        <v>tấn</v>
      </c>
      <c r="H1030" s="435"/>
      <c r="I1030" s="435"/>
      <c r="J1030" s="435"/>
      <c r="K1030" s="435"/>
      <c r="L1030" s="435"/>
      <c r="M1030" s="435"/>
      <c r="N1030" s="435"/>
      <c r="O1030" s="435"/>
      <c r="P1030" s="435"/>
      <c r="Q1030" s="437"/>
      <c r="R1030" s="437"/>
      <c r="S1030" s="437"/>
      <c r="T1030" s="432">
        <f t="shared" si="188"/>
        <v>0</v>
      </c>
    </row>
    <row r="1031" spans="1:20" ht="22.2" hidden="1" customHeight="1">
      <c r="A1031" s="379"/>
      <c r="B1031" s="438" t="s">
        <v>882</v>
      </c>
      <c r="C1031" s="469" t="str">
        <f t="shared" si="189"/>
        <v xml:space="preserve"> </v>
      </c>
      <c r="D1031" s="433">
        <f>ROUND(SUM(D1024:D1026)*1.05/1000,3)</f>
        <v>0.06</v>
      </c>
      <c r="E1031" s="422" t="str">
        <f>VLOOKUP($B1031,[1]DG!A:C,2,)</f>
        <v>02.1361</v>
      </c>
      <c r="F1031" s="434" t="str">
        <f>VLOOKUP($B1031,[1]DG!A:C,3,)</f>
        <v>V/c xà vào vị trí (cư ly &lt;=100m)</v>
      </c>
      <c r="G1031" s="422" t="str">
        <f>VLOOKUP($B1031,[1]DG!A:D,4,0)</f>
        <v>tấn</v>
      </c>
      <c r="H1031" s="435"/>
      <c r="I1031" s="435"/>
      <c r="J1031" s="435"/>
      <c r="K1031" s="435"/>
      <c r="L1031" s="435"/>
      <c r="M1031" s="435"/>
      <c r="N1031" s="435"/>
      <c r="O1031" s="435"/>
      <c r="P1031" s="435"/>
      <c r="Q1031" s="437"/>
      <c r="R1031" s="437"/>
      <c r="S1031" s="437"/>
      <c r="T1031" s="432">
        <f t="shared" si="188"/>
        <v>0</v>
      </c>
    </row>
    <row r="1032" spans="1:20" ht="22.2" hidden="1" customHeight="1">
      <c r="A1032" s="379"/>
      <c r="B1032" s="438" t="s">
        <v>620</v>
      </c>
      <c r="C1032" s="469" t="str">
        <f t="shared" si="189"/>
        <v xml:space="preserve"> </v>
      </c>
      <c r="D1032" s="439">
        <v>0.05</v>
      </c>
      <c r="E1032" s="422" t="str">
        <f>VLOOKUP($B1032,[1]DG!A:C,2,)</f>
        <v>02.1482</v>
      </c>
      <c r="F1032" s="434" t="str">
        <f>VLOOKUP($B1032,[1]DG!A:C,3,)</f>
        <v>V/c dụng cụ thi công vào vị trí (cự ly &lt;=100m)</v>
      </c>
      <c r="G1032" s="422" t="str">
        <f>VLOOKUP($B1032,[1]DG!A:D,4,0)</f>
        <v>tấn</v>
      </c>
      <c r="H1032" s="435"/>
      <c r="I1032" s="435"/>
      <c r="J1032" s="435"/>
      <c r="K1032" s="435"/>
      <c r="L1032" s="435"/>
      <c r="M1032" s="435"/>
      <c r="N1032" s="435"/>
      <c r="O1032" s="435"/>
      <c r="P1032" s="435"/>
      <c r="Q1032" s="437"/>
      <c r="R1032" s="437"/>
      <c r="S1032" s="437"/>
      <c r="T1032" s="432">
        <f t="shared" si="188"/>
        <v>0</v>
      </c>
    </row>
    <row r="1033" spans="1:20" ht="22.2" hidden="1" customHeight="1">
      <c r="A1033" s="423" t="s">
        <v>965</v>
      </c>
      <c r="B1033" s="424" t="s">
        <v>965</v>
      </c>
      <c r="C1033" s="469" t="str">
        <f t="shared" si="189"/>
        <v xml:space="preserve"> </v>
      </c>
      <c r="D1033" s="426"/>
      <c r="E1033" s="427"/>
      <c r="F1033" s="428" t="s">
        <v>966</v>
      </c>
      <c r="G1033" s="349" t="s">
        <v>67</v>
      </c>
      <c r="H1033" s="429">
        <f>SUM(I1033:O1033)</f>
        <v>0</v>
      </c>
      <c r="I1033" s="430"/>
      <c r="J1033" s="430"/>
      <c r="K1033" s="430">
        <f>IFERROR(HLOOKUP(B1033,[1]pp3p1m!$1:$3,3,0),0)</f>
        <v>0</v>
      </c>
      <c r="L1033" s="430">
        <f>IFERROR(HLOOKUP(chitiet!B1033,[1]pp1p!$1:$3,3,0),0)</f>
        <v>0</v>
      </c>
      <c r="M1033" s="430"/>
      <c r="N1033" s="430"/>
      <c r="O1033" s="430"/>
      <c r="P1033" s="430">
        <f>H1033+Q1033-R1033</f>
        <v>0</v>
      </c>
      <c r="Q1033" s="431"/>
      <c r="R1033" s="431"/>
      <c r="S1033" s="431"/>
      <c r="T1033" s="432">
        <f>IFERROR(HLOOKUP(B1033,[1]pp1p!$1:$3,3,0),0)+IFERROR(HLOOKUP(B1033,[1]pp3p1m!$1:$3,3,0),0)</f>
        <v>0</v>
      </c>
    </row>
    <row r="1034" spans="1:20" ht="22.2" hidden="1" customHeight="1">
      <c r="A1034" s="379"/>
      <c r="B1034" s="410" t="s">
        <v>235</v>
      </c>
      <c r="C1034" s="469" t="str">
        <f t="shared" si="189"/>
        <v xml:space="preserve"> </v>
      </c>
      <c r="D1034" s="439">
        <f>9.02*(4.2+6*0.1)*2</f>
        <v>86.592000000000013</v>
      </c>
      <c r="E1034" s="422"/>
      <c r="F1034" s="441" t="str">
        <f>VLOOKUP($B1034,[1]DG!A:D,[1]DG!$C$2,)</f>
        <v>Sắt góc L75 x75 x8</v>
      </c>
      <c r="G1034" s="422" t="str">
        <f>VLOOKUP($B1034,[1]DG!A:D,[1]DG!$D$2,)</f>
        <v>kg</v>
      </c>
      <c r="H1034" s="435">
        <f t="shared" ref="H1034:L1037" si="193">H$1033*$D1034</f>
        <v>0</v>
      </c>
      <c r="I1034" s="435">
        <f t="shared" si="193"/>
        <v>0</v>
      </c>
      <c r="J1034" s="435">
        <f t="shared" si="193"/>
        <v>0</v>
      </c>
      <c r="K1034" s="435">
        <f t="shared" si="193"/>
        <v>0</v>
      </c>
      <c r="L1034" s="435">
        <f t="shared" si="193"/>
        <v>0</v>
      </c>
      <c r="M1034" s="435"/>
      <c r="N1034" s="435"/>
      <c r="O1034" s="435"/>
      <c r="P1034" s="435"/>
      <c r="Q1034" s="442"/>
      <c r="R1034" s="442"/>
      <c r="S1034" s="442"/>
      <c r="T1034" s="432">
        <f t="shared" si="188"/>
        <v>0</v>
      </c>
    </row>
    <row r="1035" spans="1:20" ht="22.2" hidden="1" customHeight="1">
      <c r="A1035" s="379"/>
      <c r="B1035" s="410" t="s">
        <v>962</v>
      </c>
      <c r="C1035" s="469" t="str">
        <f t="shared" si="189"/>
        <v xml:space="preserve"> </v>
      </c>
      <c r="D1035" s="439">
        <f>2.826*0.92*8</f>
        <v>20.79936</v>
      </c>
      <c r="E1035" s="422"/>
      <c r="F1035" s="441" t="str">
        <f>VLOOKUP($B1035,[1]DG!A:D,[1]DG!$C$2,)</f>
        <v>Sắt dẹt 60 x 6</v>
      </c>
      <c r="G1035" s="422" t="str">
        <f>VLOOKUP($B1035,[1]DG!A:D,[1]DG!$D$2,)</f>
        <v>kg</v>
      </c>
      <c r="H1035" s="435">
        <f t="shared" si="193"/>
        <v>0</v>
      </c>
      <c r="I1035" s="435">
        <f t="shared" si="193"/>
        <v>0</v>
      </c>
      <c r="J1035" s="435">
        <f t="shared" si="193"/>
        <v>0</v>
      </c>
      <c r="K1035" s="435">
        <f t="shared" si="193"/>
        <v>0</v>
      </c>
      <c r="L1035" s="435">
        <f t="shared" si="193"/>
        <v>0</v>
      </c>
      <c r="M1035" s="435"/>
      <c r="N1035" s="435"/>
      <c r="O1035" s="435"/>
      <c r="P1035" s="435"/>
      <c r="Q1035" s="442"/>
      <c r="R1035" s="442"/>
      <c r="S1035" s="442"/>
      <c r="T1035" s="432">
        <f t="shared" si="188"/>
        <v>0</v>
      </c>
    </row>
    <row r="1036" spans="1:20" ht="22.2" hidden="1" customHeight="1">
      <c r="A1036" s="379"/>
      <c r="B1036" s="410" t="s">
        <v>237</v>
      </c>
      <c r="C1036" s="469" t="str">
        <f t="shared" si="189"/>
        <v xml:space="preserve"> </v>
      </c>
      <c r="D1036" s="440">
        <v>4</v>
      </c>
      <c r="E1036" s="422"/>
      <c r="F1036" s="441" t="str">
        <f>VLOOKUP($B1036,[1]DG!A:D,[1]DG!$C$2,)</f>
        <v>Boulon 16x250+ 2 long đền vuông D18-50x50x3/Zn</v>
      </c>
      <c r="G1036" s="422" t="str">
        <f>VLOOKUP($B1036,[1]DG!A:D,[1]DG!$D$2,)</f>
        <v>bộ</v>
      </c>
      <c r="H1036" s="435">
        <f t="shared" si="193"/>
        <v>0</v>
      </c>
      <c r="I1036" s="435">
        <f t="shared" si="193"/>
        <v>0</v>
      </c>
      <c r="J1036" s="435">
        <f t="shared" si="193"/>
        <v>0</v>
      </c>
      <c r="K1036" s="435">
        <f t="shared" si="193"/>
        <v>0</v>
      </c>
      <c r="L1036" s="435">
        <f t="shared" si="193"/>
        <v>0</v>
      </c>
      <c r="M1036" s="435"/>
      <c r="N1036" s="435"/>
      <c r="O1036" s="435"/>
      <c r="P1036" s="435"/>
      <c r="Q1036" s="442"/>
      <c r="R1036" s="442"/>
      <c r="S1036" s="442"/>
      <c r="T1036" s="432">
        <f t="shared" si="188"/>
        <v>0</v>
      </c>
    </row>
    <row r="1037" spans="1:20" ht="22.2" hidden="1" customHeight="1">
      <c r="A1037" s="379"/>
      <c r="B1037" s="410" t="s">
        <v>368</v>
      </c>
      <c r="C1037" s="469" t="str">
        <f t="shared" si="189"/>
        <v xml:space="preserve"> </v>
      </c>
      <c r="D1037" s="440">
        <v>6</v>
      </c>
      <c r="E1037" s="422"/>
      <c r="F1037" s="441" t="str">
        <f>VLOOKUP($B1037,[1]DG!A:D,[1]DG!$C$2,)</f>
        <v>Boulon 16x300VRS+ 4 long đền vuông D18-50x50x3/Zn</v>
      </c>
      <c r="G1037" s="422" t="str">
        <f>VLOOKUP($B1037,[1]DG!A:D,[1]DG!$D$2,)</f>
        <v>bộ</v>
      </c>
      <c r="H1037" s="435">
        <f t="shared" si="193"/>
        <v>0</v>
      </c>
      <c r="I1037" s="435">
        <f t="shared" si="193"/>
        <v>0</v>
      </c>
      <c r="J1037" s="435">
        <f t="shared" si="193"/>
        <v>0</v>
      </c>
      <c r="K1037" s="435">
        <f t="shared" si="193"/>
        <v>0</v>
      </c>
      <c r="L1037" s="435">
        <f t="shared" si="193"/>
        <v>0</v>
      </c>
      <c r="M1037" s="435"/>
      <c r="N1037" s="435"/>
      <c r="O1037" s="435"/>
      <c r="P1037" s="435"/>
      <c r="Q1037" s="442"/>
      <c r="R1037" s="442"/>
      <c r="S1037" s="442"/>
      <c r="T1037" s="432">
        <f t="shared" si="188"/>
        <v>0</v>
      </c>
    </row>
    <row r="1038" spans="1:20" ht="22.2" hidden="1" customHeight="1">
      <c r="A1038" s="379"/>
      <c r="B1038" s="410" t="s">
        <v>363</v>
      </c>
      <c r="C1038" s="469" t="str">
        <f t="shared" si="189"/>
        <v xml:space="preserve"> </v>
      </c>
      <c r="D1038" s="440">
        <v>1</v>
      </c>
      <c r="E1038" s="422"/>
      <c r="F1038" s="434" t="str">
        <f>VLOOKUP($B1038,[1]DG!A:D,[1]DG!$C$2,)</f>
        <v>Lắp xà cột Pi loại ≤140kg/xà</v>
      </c>
      <c r="G1038" s="422" t="str">
        <f>VLOOKUP($B1038,[1]DG!A:D,[1]DG!$D$2,)</f>
        <v>bộ</v>
      </c>
      <c r="H1038" s="435"/>
      <c r="I1038" s="435"/>
      <c r="J1038" s="435"/>
      <c r="K1038" s="435"/>
      <c r="L1038" s="435"/>
      <c r="M1038" s="435"/>
      <c r="N1038" s="435"/>
      <c r="O1038" s="435"/>
      <c r="P1038" s="435"/>
      <c r="Q1038" s="442"/>
      <c r="R1038" s="442"/>
      <c r="S1038" s="442"/>
      <c r="T1038" s="432">
        <f t="shared" si="188"/>
        <v>0</v>
      </c>
    </row>
    <row r="1039" spans="1:20" ht="22.2" hidden="1" customHeight="1">
      <c r="A1039" s="379"/>
      <c r="B1039" s="410" t="s">
        <v>881</v>
      </c>
      <c r="C1039" s="469" t="str">
        <f t="shared" si="189"/>
        <v xml:space="preserve"> </v>
      </c>
      <c r="D1039" s="433">
        <f>D1040</f>
        <v>0.113</v>
      </c>
      <c r="E1039" s="422"/>
      <c r="F1039" s="434" t="str">
        <f>VLOOKUP($B1039,[1]DG!A:D,[1]DG!$C$2,)</f>
        <v>Bốc dỡ xà, thép thanh</v>
      </c>
      <c r="G1039" s="422" t="str">
        <f>VLOOKUP($B1039,[1]DG!A:D,[1]DG!$D$2,)</f>
        <v>tấn</v>
      </c>
      <c r="H1039" s="435"/>
      <c r="I1039" s="435"/>
      <c r="J1039" s="435"/>
      <c r="K1039" s="435"/>
      <c r="L1039" s="435"/>
      <c r="M1039" s="435"/>
      <c r="N1039" s="435"/>
      <c r="O1039" s="435"/>
      <c r="P1039" s="435"/>
      <c r="Q1039" s="442"/>
      <c r="R1039" s="442"/>
      <c r="S1039" s="442"/>
      <c r="T1039" s="432">
        <f t="shared" si="188"/>
        <v>0</v>
      </c>
    </row>
    <row r="1040" spans="1:20" ht="22.2" hidden="1" customHeight="1">
      <c r="A1040" s="379"/>
      <c r="B1040" s="438" t="s">
        <v>882</v>
      </c>
      <c r="C1040" s="469" t="str">
        <f t="shared" si="189"/>
        <v xml:space="preserve"> </v>
      </c>
      <c r="D1040" s="433">
        <f>ROUND(SUM(D1034:D1035)*1.05/1000,3)</f>
        <v>0.113</v>
      </c>
      <c r="E1040" s="422" t="str">
        <f>VLOOKUP($B1040,[1]DG!A:C,2,)</f>
        <v>02.1361</v>
      </c>
      <c r="F1040" s="434" t="str">
        <f>VLOOKUP($B1040,[1]DG!A:C,3,)</f>
        <v>V/c xà vào vị trí (cư ly &lt;=100m)</v>
      </c>
      <c r="G1040" s="422" t="str">
        <f>VLOOKUP($B1040,[1]DG!A:D,4,0)</f>
        <v>tấn</v>
      </c>
      <c r="H1040" s="435"/>
      <c r="I1040" s="435"/>
      <c r="J1040" s="435"/>
      <c r="K1040" s="435"/>
      <c r="L1040" s="435"/>
      <c r="M1040" s="435"/>
      <c r="N1040" s="435"/>
      <c r="O1040" s="435"/>
      <c r="P1040" s="435"/>
      <c r="Q1040" s="437"/>
      <c r="R1040" s="437"/>
      <c r="S1040" s="437"/>
      <c r="T1040" s="432">
        <f t="shared" si="188"/>
        <v>0</v>
      </c>
    </row>
    <row r="1041" spans="1:20" ht="22.2" hidden="1" customHeight="1">
      <c r="A1041" s="379"/>
      <c r="B1041" s="438" t="s">
        <v>620</v>
      </c>
      <c r="C1041" s="469" t="str">
        <f t="shared" si="189"/>
        <v xml:space="preserve"> </v>
      </c>
      <c r="D1041" s="439">
        <v>0.05</v>
      </c>
      <c r="E1041" s="422" t="str">
        <f>VLOOKUP($B1041,[1]DG!A:C,2,)</f>
        <v>02.1482</v>
      </c>
      <c r="F1041" s="434" t="str">
        <f>VLOOKUP($B1041,[1]DG!A:C,3,)</f>
        <v>V/c dụng cụ thi công vào vị trí (cự ly &lt;=100m)</v>
      </c>
      <c r="G1041" s="422" t="str">
        <f>VLOOKUP($B1041,[1]DG!A:D,4,0)</f>
        <v>tấn</v>
      </c>
      <c r="H1041" s="435"/>
      <c r="I1041" s="435"/>
      <c r="J1041" s="435"/>
      <c r="K1041" s="435"/>
      <c r="L1041" s="435"/>
      <c r="M1041" s="435"/>
      <c r="N1041" s="435"/>
      <c r="O1041" s="435"/>
      <c r="P1041" s="435"/>
      <c r="Q1041" s="437"/>
      <c r="R1041" s="437"/>
      <c r="S1041" s="437"/>
      <c r="T1041" s="432">
        <f t="shared" si="188"/>
        <v>0</v>
      </c>
    </row>
    <row r="1042" spans="1:20" ht="22.2" hidden="1" customHeight="1">
      <c r="A1042" s="423" t="s">
        <v>967</v>
      </c>
      <c r="B1042" s="424" t="s">
        <v>967</v>
      </c>
      <c r="C1042" s="469" t="str">
        <f t="shared" si="189"/>
        <v xml:space="preserve"> </v>
      </c>
      <c r="D1042" s="426"/>
      <c r="E1042" s="427"/>
      <c r="F1042" s="428" t="s">
        <v>968</v>
      </c>
      <c r="G1042" s="349" t="s">
        <v>67</v>
      </c>
      <c r="H1042" s="429">
        <f>SUM(I1042:O1042)</f>
        <v>0</v>
      </c>
      <c r="I1042" s="430"/>
      <c r="J1042" s="430"/>
      <c r="K1042" s="430">
        <f>IFERROR(HLOOKUP(B1042,[1]pp3p1m!$1:$3,3,0),0)</f>
        <v>0</v>
      </c>
      <c r="L1042" s="430">
        <f>IFERROR(HLOOKUP(chitiet!B1042,[1]pp1p!$1:$3,3,0),0)</f>
        <v>0</v>
      </c>
      <c r="M1042" s="430"/>
      <c r="N1042" s="430"/>
      <c r="O1042" s="430"/>
      <c r="P1042" s="430">
        <f>H1042+Q1042-R1042</f>
        <v>0</v>
      </c>
      <c r="Q1042" s="431"/>
      <c r="R1042" s="431"/>
      <c r="S1042" s="431"/>
      <c r="T1042" s="432">
        <f>IFERROR(HLOOKUP(B1042,[1]pp1p!$1:$3,3,0),0)+IFERROR(HLOOKUP(B1042,[1]pp3p1m!$1:$3,3,0),0)</f>
        <v>0</v>
      </c>
    </row>
    <row r="1043" spans="1:20" ht="22.2" hidden="1" customHeight="1">
      <c r="A1043" s="379"/>
      <c r="B1043" s="410" t="s">
        <v>235</v>
      </c>
      <c r="C1043" s="469" t="str">
        <f t="shared" si="189"/>
        <v xml:space="preserve"> </v>
      </c>
      <c r="D1043" s="439">
        <f>9.02*(2.4+4*0.1)*2</f>
        <v>50.511999999999993</v>
      </c>
      <c r="E1043" s="422"/>
      <c r="F1043" s="441" t="str">
        <f>VLOOKUP($B1043,[1]DG!A:D,[1]DG!$C$2,)</f>
        <v>Sắt góc L75 x75 x8</v>
      </c>
      <c r="G1043" s="422" t="str">
        <f>VLOOKUP($B1043,[1]DG!A:D,[1]DG!$D$2,)</f>
        <v>kg</v>
      </c>
      <c r="H1043" s="435">
        <f t="shared" ref="H1043:L1047" si="194">H$1042*$D1043</f>
        <v>0</v>
      </c>
      <c r="I1043" s="435">
        <f t="shared" si="194"/>
        <v>0</v>
      </c>
      <c r="J1043" s="435">
        <f t="shared" si="194"/>
        <v>0</v>
      </c>
      <c r="K1043" s="435">
        <f t="shared" si="194"/>
        <v>0</v>
      </c>
      <c r="L1043" s="435">
        <f t="shared" si="194"/>
        <v>0</v>
      </c>
      <c r="M1043" s="435"/>
      <c r="N1043" s="435"/>
      <c r="O1043" s="435"/>
      <c r="P1043" s="435"/>
      <c r="Q1043" s="442"/>
      <c r="R1043" s="442"/>
      <c r="S1043" s="442"/>
      <c r="T1043" s="432">
        <f t="shared" si="188"/>
        <v>0</v>
      </c>
    </row>
    <row r="1044" spans="1:20" ht="22.2" hidden="1" customHeight="1">
      <c r="A1044" s="379"/>
      <c r="B1044" s="410" t="s">
        <v>969</v>
      </c>
      <c r="C1044" s="469" t="str">
        <f t="shared" si="189"/>
        <v xml:space="preserve"> </v>
      </c>
      <c r="D1044" s="439">
        <f>3.77*0.81*4</f>
        <v>12.2148</v>
      </c>
      <c r="E1044" s="422"/>
      <c r="F1044" s="441" t="str">
        <f>VLOOKUP($B1044,[1]DG!A:D,[1]DG!$C$2,)</f>
        <v>Sắt góc L50 x50 x5</v>
      </c>
      <c r="G1044" s="422" t="str">
        <f>VLOOKUP($B1044,[1]DG!A:D,[1]DG!$D$2,)</f>
        <v>kg</v>
      </c>
      <c r="H1044" s="435">
        <f t="shared" si="194"/>
        <v>0</v>
      </c>
      <c r="I1044" s="435">
        <f t="shared" si="194"/>
        <v>0</v>
      </c>
      <c r="J1044" s="435">
        <f t="shared" si="194"/>
        <v>0</v>
      </c>
      <c r="K1044" s="435">
        <f t="shared" si="194"/>
        <v>0</v>
      </c>
      <c r="L1044" s="435">
        <f t="shared" si="194"/>
        <v>0</v>
      </c>
      <c r="M1044" s="435"/>
      <c r="N1044" s="435"/>
      <c r="O1044" s="435"/>
      <c r="P1044" s="435"/>
      <c r="Q1044" s="442"/>
      <c r="R1044" s="442"/>
      <c r="S1044" s="442"/>
      <c r="T1044" s="432">
        <f t="shared" si="188"/>
        <v>0</v>
      </c>
    </row>
    <row r="1045" spans="1:20" ht="22.2" hidden="1" customHeight="1">
      <c r="A1045" s="379"/>
      <c r="B1045" s="410" t="s">
        <v>237</v>
      </c>
      <c r="C1045" s="469" t="str">
        <f t="shared" si="189"/>
        <v xml:space="preserve"> </v>
      </c>
      <c r="D1045" s="440">
        <v>4</v>
      </c>
      <c r="E1045" s="422"/>
      <c r="F1045" s="441" t="str">
        <f>VLOOKUP($B1045,[1]DG!A:D,[1]DG!$C$2,)</f>
        <v>Boulon 16x250+ 2 long đền vuông D18-50x50x3/Zn</v>
      </c>
      <c r="G1045" s="422" t="str">
        <f>VLOOKUP($B1045,[1]DG!A:D,[1]DG!$D$2,)</f>
        <v>bộ</v>
      </c>
      <c r="H1045" s="435">
        <f t="shared" si="194"/>
        <v>0</v>
      </c>
      <c r="I1045" s="435">
        <f t="shared" si="194"/>
        <v>0</v>
      </c>
      <c r="J1045" s="435">
        <f t="shared" si="194"/>
        <v>0</v>
      </c>
      <c r="K1045" s="435">
        <f t="shared" si="194"/>
        <v>0</v>
      </c>
      <c r="L1045" s="435">
        <f t="shared" si="194"/>
        <v>0</v>
      </c>
      <c r="M1045" s="435"/>
      <c r="N1045" s="435"/>
      <c r="O1045" s="435"/>
      <c r="P1045" s="435"/>
      <c r="Q1045" s="442"/>
      <c r="R1045" s="442"/>
      <c r="S1045" s="442"/>
      <c r="T1045" s="432">
        <f t="shared" si="188"/>
        <v>0</v>
      </c>
    </row>
    <row r="1046" spans="1:20" ht="22.2" hidden="1" customHeight="1">
      <c r="A1046" s="379"/>
      <c r="B1046" s="410" t="s">
        <v>368</v>
      </c>
      <c r="C1046" s="469" t="str">
        <f t="shared" si="189"/>
        <v xml:space="preserve"> </v>
      </c>
      <c r="D1046" s="440">
        <v>2</v>
      </c>
      <c r="E1046" s="422"/>
      <c r="F1046" s="441" t="str">
        <f>VLOOKUP($B1046,[1]DG!A:D,[1]DG!$C$2,)</f>
        <v>Boulon 16x300VRS+ 4 long đền vuông D18-50x50x3/Zn</v>
      </c>
      <c r="G1046" s="422" t="str">
        <f>VLOOKUP($B1046,[1]DG!A:D,[1]DG!$D$2,)</f>
        <v>bộ</v>
      </c>
      <c r="H1046" s="435">
        <f t="shared" si="194"/>
        <v>0</v>
      </c>
      <c r="I1046" s="435">
        <f t="shared" si="194"/>
        <v>0</v>
      </c>
      <c r="J1046" s="435">
        <f t="shared" si="194"/>
        <v>0</v>
      </c>
      <c r="K1046" s="435">
        <f t="shared" si="194"/>
        <v>0</v>
      </c>
      <c r="L1046" s="435">
        <f t="shared" si="194"/>
        <v>0</v>
      </c>
      <c r="M1046" s="435"/>
      <c r="N1046" s="435"/>
      <c r="O1046" s="435"/>
      <c r="P1046" s="435"/>
      <c r="Q1046" s="442"/>
      <c r="R1046" s="442"/>
      <c r="S1046" s="442"/>
      <c r="T1046" s="432">
        <f t="shared" si="188"/>
        <v>0</v>
      </c>
    </row>
    <row r="1047" spans="1:20" ht="22.2" hidden="1" customHeight="1">
      <c r="A1047" s="379"/>
      <c r="B1047" s="410" t="s">
        <v>231</v>
      </c>
      <c r="C1047" s="469" t="str">
        <f t="shared" si="189"/>
        <v xml:space="preserve"> </v>
      </c>
      <c r="D1047" s="440">
        <v>4</v>
      </c>
      <c r="E1047" s="422"/>
      <c r="F1047" s="441" t="str">
        <f>VLOOKUP($B1047,[1]DG!A:D,[1]DG!$C$2,)</f>
        <v>Boulon 16x50+ 2 long đền vuông D18-50x50x3/Zn</v>
      </c>
      <c r="G1047" s="422" t="str">
        <f>VLOOKUP($B1047,[1]DG!A:D,[1]DG!$D$2,)</f>
        <v>bộ</v>
      </c>
      <c r="H1047" s="435">
        <f t="shared" si="194"/>
        <v>0</v>
      </c>
      <c r="I1047" s="435">
        <f t="shared" si="194"/>
        <v>0</v>
      </c>
      <c r="J1047" s="435">
        <f t="shared" si="194"/>
        <v>0</v>
      </c>
      <c r="K1047" s="435">
        <f t="shared" si="194"/>
        <v>0</v>
      </c>
      <c r="L1047" s="435">
        <f t="shared" si="194"/>
        <v>0</v>
      </c>
      <c r="M1047" s="435"/>
      <c r="N1047" s="435"/>
      <c r="O1047" s="435"/>
      <c r="P1047" s="435"/>
      <c r="Q1047" s="442"/>
      <c r="R1047" s="442"/>
      <c r="S1047" s="442"/>
      <c r="T1047" s="432">
        <f t="shared" si="188"/>
        <v>0</v>
      </c>
    </row>
    <row r="1048" spans="1:20" ht="22.2" hidden="1" customHeight="1">
      <c r="A1048" s="379"/>
      <c r="B1048" s="410" t="s">
        <v>363</v>
      </c>
      <c r="C1048" s="469" t="str">
        <f t="shared" si="189"/>
        <v xml:space="preserve"> </v>
      </c>
      <c r="D1048" s="440">
        <v>1</v>
      </c>
      <c r="E1048" s="422"/>
      <c r="F1048" s="434" t="str">
        <f>VLOOKUP($B1048,[1]DG!A:D,[1]DG!$C$2,)</f>
        <v>Lắp xà cột Pi loại ≤140kg/xà</v>
      </c>
      <c r="G1048" s="422" t="str">
        <f>VLOOKUP($B1048,[1]DG!A:D,[1]DG!$D$2,)</f>
        <v>bộ</v>
      </c>
      <c r="H1048" s="435"/>
      <c r="I1048" s="435"/>
      <c r="J1048" s="435"/>
      <c r="K1048" s="435"/>
      <c r="L1048" s="435"/>
      <c r="M1048" s="435"/>
      <c r="N1048" s="435"/>
      <c r="O1048" s="435"/>
      <c r="P1048" s="435"/>
      <c r="Q1048" s="442"/>
      <c r="R1048" s="442"/>
      <c r="S1048" s="442"/>
      <c r="T1048" s="432">
        <f t="shared" si="188"/>
        <v>0</v>
      </c>
    </row>
    <row r="1049" spans="1:20" ht="22.2" hidden="1" customHeight="1">
      <c r="A1049" s="379"/>
      <c r="B1049" s="410" t="s">
        <v>881</v>
      </c>
      <c r="C1049" s="469" t="str">
        <f t="shared" si="189"/>
        <v xml:space="preserve"> </v>
      </c>
      <c r="D1049" s="433"/>
      <c r="E1049" s="422"/>
      <c r="F1049" s="434" t="str">
        <f>VLOOKUP($B1049,[1]DG!A:D,[1]DG!$C$2,)</f>
        <v>Bốc dỡ xà, thép thanh</v>
      </c>
      <c r="G1049" s="422" t="str">
        <f>VLOOKUP($B1049,[1]DG!A:D,[1]DG!$D$2,)</f>
        <v>tấn</v>
      </c>
      <c r="H1049" s="435"/>
      <c r="I1049" s="435"/>
      <c r="J1049" s="435"/>
      <c r="K1049" s="435"/>
      <c r="L1049" s="435"/>
      <c r="M1049" s="435"/>
      <c r="N1049" s="435"/>
      <c r="O1049" s="435"/>
      <c r="P1049" s="435"/>
      <c r="Q1049" s="442"/>
      <c r="R1049" s="442"/>
      <c r="S1049" s="442"/>
      <c r="T1049" s="432">
        <f t="shared" si="188"/>
        <v>0</v>
      </c>
    </row>
    <row r="1050" spans="1:20" ht="22.2" hidden="1" customHeight="1">
      <c r="A1050" s="379"/>
      <c r="B1050" s="438" t="s">
        <v>882</v>
      </c>
      <c r="C1050" s="469" t="str">
        <f t="shared" si="189"/>
        <v xml:space="preserve"> </v>
      </c>
      <c r="D1050" s="433"/>
      <c r="E1050" s="422" t="str">
        <f>VLOOKUP($B1050,[1]DG!A:C,2,)</f>
        <v>02.1361</v>
      </c>
      <c r="F1050" s="434" t="str">
        <f>VLOOKUP($B1050,[1]DG!A:C,3,)</f>
        <v>V/c xà vào vị trí (cư ly &lt;=100m)</v>
      </c>
      <c r="G1050" s="422" t="str">
        <f>VLOOKUP($B1050,[1]DG!A:D,4,0)</f>
        <v>tấn</v>
      </c>
      <c r="H1050" s="435"/>
      <c r="I1050" s="435"/>
      <c r="J1050" s="435"/>
      <c r="K1050" s="435"/>
      <c r="L1050" s="435"/>
      <c r="M1050" s="435"/>
      <c r="N1050" s="435"/>
      <c r="O1050" s="435"/>
      <c r="P1050" s="435"/>
      <c r="Q1050" s="437"/>
      <c r="R1050" s="437"/>
      <c r="S1050" s="437"/>
      <c r="T1050" s="432">
        <f t="shared" si="188"/>
        <v>0</v>
      </c>
    </row>
    <row r="1051" spans="1:20" ht="22.2" hidden="1" customHeight="1">
      <c r="A1051" s="379"/>
      <c r="B1051" s="438" t="s">
        <v>620</v>
      </c>
      <c r="C1051" s="469" t="str">
        <f t="shared" si="189"/>
        <v xml:space="preserve"> </v>
      </c>
      <c r="D1051" s="439"/>
      <c r="E1051" s="422" t="str">
        <f>VLOOKUP($B1051,[1]DG!A:C,2,)</f>
        <v>02.1482</v>
      </c>
      <c r="F1051" s="434" t="str">
        <f>VLOOKUP($B1051,[1]DG!A:C,3,)</f>
        <v>V/c dụng cụ thi công vào vị trí (cự ly &lt;=100m)</v>
      </c>
      <c r="G1051" s="422" t="str">
        <f>VLOOKUP($B1051,[1]DG!A:D,4,0)</f>
        <v>tấn</v>
      </c>
      <c r="H1051" s="435"/>
      <c r="I1051" s="435"/>
      <c r="J1051" s="435"/>
      <c r="K1051" s="435"/>
      <c r="L1051" s="435"/>
      <c r="M1051" s="435"/>
      <c r="N1051" s="435"/>
      <c r="O1051" s="435"/>
      <c r="P1051" s="435"/>
      <c r="Q1051" s="437"/>
      <c r="R1051" s="437"/>
      <c r="S1051" s="437"/>
      <c r="T1051" s="432">
        <f t="shared" si="188"/>
        <v>0</v>
      </c>
    </row>
    <row r="1052" spans="1:20" ht="22.2" hidden="1" customHeight="1">
      <c r="A1052" s="423" t="s">
        <v>970</v>
      </c>
      <c r="B1052" s="424" t="s">
        <v>970</v>
      </c>
      <c r="C1052" s="469" t="str">
        <f t="shared" si="189"/>
        <v xml:space="preserve"> </v>
      </c>
      <c r="D1052" s="426"/>
      <c r="E1052" s="427"/>
      <c r="F1052" s="428" t="s">
        <v>971</v>
      </c>
      <c r="G1052" s="349" t="s">
        <v>67</v>
      </c>
      <c r="H1052" s="429">
        <f>SUM(I1052:O1052)</f>
        <v>0</v>
      </c>
      <c r="I1052" s="430"/>
      <c r="J1052" s="430"/>
      <c r="K1052" s="430">
        <f>IFERROR(HLOOKUP(B1052,[1]pp3p1m!$1:$3,3,0),0)</f>
        <v>0</v>
      </c>
      <c r="L1052" s="430">
        <f>IFERROR(HLOOKUP(chitiet!B1052,[1]pp1p!$1:$3,3,0),0)</f>
        <v>0</v>
      </c>
      <c r="M1052" s="430"/>
      <c r="N1052" s="430"/>
      <c r="O1052" s="430"/>
      <c r="P1052" s="430">
        <f>H1052+Q1052-R1052</f>
        <v>0</v>
      </c>
      <c r="Q1052" s="431"/>
      <c r="R1052" s="431"/>
      <c r="S1052" s="431"/>
      <c r="T1052" s="432">
        <f>IFERROR(HLOOKUP(B1052,[1]pp1p!$1:$3,3,0),0)+IFERROR(HLOOKUP(B1052,[1]pp3p1m!$1:$3,3,0),0)</f>
        <v>0</v>
      </c>
    </row>
    <row r="1053" spans="1:20" ht="22.2" hidden="1" customHeight="1">
      <c r="A1053" s="379"/>
      <c r="B1053" s="410" t="s">
        <v>235</v>
      </c>
      <c r="C1053" s="469" t="str">
        <f t="shared" si="189"/>
        <v xml:space="preserve"> </v>
      </c>
      <c r="D1053" s="439">
        <f>9.02*2*2</f>
        <v>36.08</v>
      </c>
      <c r="E1053" s="422"/>
      <c r="F1053" s="441" t="str">
        <f>VLOOKUP($B1053,[1]DG!A:D,[1]DG!$C$2,)</f>
        <v>Sắt góc L75 x75 x8</v>
      </c>
      <c r="G1053" s="422" t="str">
        <f>VLOOKUP($B1053,[1]DG!A:D,[1]DG!$D$2,)</f>
        <v>kg</v>
      </c>
      <c r="H1053" s="435">
        <f t="shared" ref="H1053:L1057" si="195">H$1052*$D1053</f>
        <v>0</v>
      </c>
      <c r="I1053" s="435">
        <f t="shared" si="195"/>
        <v>0</v>
      </c>
      <c r="J1053" s="435">
        <f t="shared" si="195"/>
        <v>0</v>
      </c>
      <c r="K1053" s="435">
        <f t="shared" si="195"/>
        <v>0</v>
      </c>
      <c r="L1053" s="435">
        <f t="shared" si="195"/>
        <v>0</v>
      </c>
      <c r="M1053" s="435"/>
      <c r="N1053" s="435"/>
      <c r="O1053" s="435"/>
      <c r="P1053" s="435"/>
      <c r="Q1053" s="442"/>
      <c r="R1053" s="442"/>
      <c r="S1053" s="442"/>
      <c r="T1053" s="432">
        <f t="shared" si="188"/>
        <v>0</v>
      </c>
    </row>
    <row r="1054" spans="1:20" ht="22.2" hidden="1" customHeight="1">
      <c r="A1054" s="379"/>
      <c r="B1054" s="410" t="s">
        <v>972</v>
      </c>
      <c r="C1054" s="469" t="str">
        <f t="shared" si="189"/>
        <v xml:space="preserve"> </v>
      </c>
      <c r="D1054" s="439">
        <v>2</v>
      </c>
      <c r="E1054" s="422"/>
      <c r="F1054" s="441" t="str">
        <f>VLOOKUP($B1054,[1]DG!A:D,[1]DG!$C$2,)</f>
        <v>Cổ dê  Ø 240-Fe 8x100</v>
      </c>
      <c r="G1054" s="422" t="str">
        <f>VLOOKUP($B1054,[1]DG!A:D,[1]DG!$D$2,)</f>
        <v>bộ</v>
      </c>
      <c r="H1054" s="435">
        <f t="shared" si="195"/>
        <v>0</v>
      </c>
      <c r="I1054" s="435">
        <f t="shared" si="195"/>
        <v>0</v>
      </c>
      <c r="J1054" s="435">
        <f t="shared" si="195"/>
        <v>0</v>
      </c>
      <c r="K1054" s="435">
        <f t="shared" si="195"/>
        <v>0</v>
      </c>
      <c r="L1054" s="435">
        <f t="shared" si="195"/>
        <v>0</v>
      </c>
      <c r="M1054" s="435"/>
      <c r="N1054" s="435"/>
      <c r="O1054" s="435"/>
      <c r="P1054" s="435"/>
      <c r="Q1054" s="442"/>
      <c r="R1054" s="442"/>
      <c r="S1054" s="442"/>
      <c r="T1054" s="432">
        <f t="shared" si="188"/>
        <v>0</v>
      </c>
    </row>
    <row r="1055" spans="1:20" ht="22.2" hidden="1" customHeight="1">
      <c r="A1055" s="379"/>
      <c r="B1055" s="410" t="s">
        <v>973</v>
      </c>
      <c r="C1055" s="469" t="str">
        <f t="shared" si="189"/>
        <v xml:space="preserve"> </v>
      </c>
      <c r="D1055" s="439">
        <v>2</v>
      </c>
      <c r="E1055" s="422"/>
      <c r="F1055" s="441" t="str">
        <f>VLOOKUP($B1055,[1]DG!A:D,[1]DG!$C$2,)</f>
        <v>Cổ dê Ø 250-Fe 8x100</v>
      </c>
      <c r="G1055" s="422" t="str">
        <f>VLOOKUP($B1055,[1]DG!A:D,[1]DG!$D$2,)</f>
        <v>bộ</v>
      </c>
      <c r="H1055" s="435">
        <f t="shared" si="195"/>
        <v>0</v>
      </c>
      <c r="I1055" s="435">
        <f t="shared" si="195"/>
        <v>0</v>
      </c>
      <c r="J1055" s="435">
        <f t="shared" si="195"/>
        <v>0</v>
      </c>
      <c r="K1055" s="435">
        <f t="shared" si="195"/>
        <v>0</v>
      </c>
      <c r="L1055" s="435">
        <f t="shared" si="195"/>
        <v>0</v>
      </c>
      <c r="M1055" s="435"/>
      <c r="N1055" s="435"/>
      <c r="O1055" s="435"/>
      <c r="P1055" s="435"/>
      <c r="Q1055" s="442"/>
      <c r="R1055" s="442"/>
      <c r="S1055" s="442"/>
      <c r="T1055" s="432">
        <f t="shared" si="188"/>
        <v>0</v>
      </c>
    </row>
    <row r="1056" spans="1:20" ht="22.2" hidden="1" customHeight="1">
      <c r="A1056" s="379"/>
      <c r="B1056" s="410" t="s">
        <v>231</v>
      </c>
      <c r="C1056" s="469" t="str">
        <f t="shared" si="189"/>
        <v xml:space="preserve"> </v>
      </c>
      <c r="D1056" s="440">
        <v>1</v>
      </c>
      <c r="E1056" s="422"/>
      <c r="F1056" s="441" t="str">
        <f>VLOOKUP($B1056,[1]DG!A:D,[1]DG!$C$2,)</f>
        <v>Boulon 16x50+ 2 long đền vuông D18-50x50x3/Zn</v>
      </c>
      <c r="G1056" s="422" t="str">
        <f>VLOOKUP($B1056,[1]DG!A:D,[1]DG!$D$2,)</f>
        <v>bộ</v>
      </c>
      <c r="H1056" s="435">
        <f t="shared" si="195"/>
        <v>0</v>
      </c>
      <c r="I1056" s="435">
        <f t="shared" si="195"/>
        <v>0</v>
      </c>
      <c r="J1056" s="435">
        <f t="shared" si="195"/>
        <v>0</v>
      </c>
      <c r="K1056" s="435">
        <f t="shared" si="195"/>
        <v>0</v>
      </c>
      <c r="L1056" s="435">
        <f t="shared" si="195"/>
        <v>0</v>
      </c>
      <c r="M1056" s="435"/>
      <c r="N1056" s="435"/>
      <c r="O1056" s="435"/>
      <c r="P1056" s="435"/>
      <c r="Q1056" s="442"/>
      <c r="R1056" s="442"/>
      <c r="S1056" s="442"/>
      <c r="T1056" s="432">
        <f t="shared" si="188"/>
        <v>0</v>
      </c>
    </row>
    <row r="1057" spans="1:20" ht="22.2" hidden="1" customHeight="1">
      <c r="A1057" s="379"/>
      <c r="B1057" s="410" t="s">
        <v>264</v>
      </c>
      <c r="C1057" s="469" t="str">
        <f t="shared" si="189"/>
        <v xml:space="preserve"> </v>
      </c>
      <c r="D1057" s="440">
        <v>8</v>
      </c>
      <c r="E1057" s="422"/>
      <c r="F1057" s="441" t="str">
        <f>VLOOKUP($B1057,[1]DG!A:D,[1]DG!$C$2,)</f>
        <v>Boulon 16x100+ 2 long đền vuông D18-50x50x3/Zn</v>
      </c>
      <c r="G1057" s="422" t="str">
        <f>VLOOKUP($B1057,[1]DG!A:D,[1]DG!$D$2,)</f>
        <v>bộ</v>
      </c>
      <c r="H1057" s="435">
        <f t="shared" si="195"/>
        <v>0</v>
      </c>
      <c r="I1057" s="435">
        <f t="shared" si="195"/>
        <v>0</v>
      </c>
      <c r="J1057" s="435">
        <f t="shared" si="195"/>
        <v>0</v>
      </c>
      <c r="K1057" s="435">
        <f t="shared" si="195"/>
        <v>0</v>
      </c>
      <c r="L1057" s="435">
        <f t="shared" si="195"/>
        <v>0</v>
      </c>
      <c r="M1057" s="435"/>
      <c r="N1057" s="435"/>
      <c r="O1057" s="435"/>
      <c r="P1057" s="435"/>
      <c r="Q1057" s="442"/>
      <c r="R1057" s="442"/>
      <c r="S1057" s="442"/>
      <c r="T1057" s="432">
        <f t="shared" si="188"/>
        <v>0</v>
      </c>
    </row>
    <row r="1058" spans="1:20" ht="22.2" hidden="1" customHeight="1">
      <c r="A1058" s="379"/>
      <c r="B1058" s="410" t="s">
        <v>363</v>
      </c>
      <c r="C1058" s="469" t="str">
        <f t="shared" si="189"/>
        <v xml:space="preserve"> </v>
      </c>
      <c r="D1058" s="440">
        <v>1</v>
      </c>
      <c r="E1058" s="422"/>
      <c r="F1058" s="434" t="str">
        <f>VLOOKUP($B1058,[1]DG!A:D,[1]DG!$C$2,)</f>
        <v>Lắp xà cột Pi loại ≤140kg/xà</v>
      </c>
      <c r="G1058" s="422" t="str">
        <f>VLOOKUP($B1058,[1]DG!A:D,[1]DG!$D$2,)</f>
        <v>bộ</v>
      </c>
      <c r="H1058" s="435"/>
      <c r="I1058" s="435"/>
      <c r="J1058" s="435"/>
      <c r="K1058" s="435"/>
      <c r="L1058" s="435"/>
      <c r="M1058" s="435"/>
      <c r="N1058" s="435"/>
      <c r="O1058" s="435"/>
      <c r="P1058" s="435"/>
      <c r="Q1058" s="442"/>
      <c r="R1058" s="442"/>
      <c r="S1058" s="442"/>
      <c r="T1058" s="432">
        <f t="shared" si="188"/>
        <v>0</v>
      </c>
    </row>
    <row r="1059" spans="1:20" ht="22.2" hidden="1" customHeight="1">
      <c r="A1059" s="379"/>
      <c r="B1059" s="410" t="s">
        <v>881</v>
      </c>
      <c r="C1059" s="469" t="str">
        <f t="shared" si="189"/>
        <v xml:space="preserve"> </v>
      </c>
      <c r="D1059" s="433">
        <f>D1060</f>
        <v>6.8000000000000005E-2</v>
      </c>
      <c r="E1059" s="422"/>
      <c r="F1059" s="434" t="str">
        <f>VLOOKUP($B1059,[1]DG!A:D,[1]DG!$C$2,)</f>
        <v>Bốc dỡ xà, thép thanh</v>
      </c>
      <c r="G1059" s="422" t="str">
        <f>VLOOKUP($B1059,[1]DG!A:D,[1]DG!$D$2,)</f>
        <v>tấn</v>
      </c>
      <c r="H1059" s="435"/>
      <c r="I1059" s="435"/>
      <c r="J1059" s="435"/>
      <c r="K1059" s="435"/>
      <c r="L1059" s="435"/>
      <c r="M1059" s="435"/>
      <c r="N1059" s="435"/>
      <c r="O1059" s="435"/>
      <c r="P1059" s="435"/>
      <c r="Q1059" s="442"/>
      <c r="R1059" s="442"/>
      <c r="S1059" s="442"/>
      <c r="T1059" s="432">
        <f t="shared" si="188"/>
        <v>0</v>
      </c>
    </row>
    <row r="1060" spans="1:20" ht="22.2" hidden="1" customHeight="1">
      <c r="A1060" s="379"/>
      <c r="B1060" s="438" t="s">
        <v>882</v>
      </c>
      <c r="C1060" s="469" t="str">
        <f t="shared" si="189"/>
        <v xml:space="preserve"> </v>
      </c>
      <c r="D1060" s="433">
        <f>ROUND(SUM(D1053:D1053)*1.05/1000,3)+ROUND(2*15.14/1000,3)</f>
        <v>6.8000000000000005E-2</v>
      </c>
      <c r="E1060" s="422" t="str">
        <f>VLOOKUP($B1060,[1]DG!A:C,2,)</f>
        <v>02.1361</v>
      </c>
      <c r="F1060" s="434" t="str">
        <f>VLOOKUP($B1060,[1]DG!A:C,3,)</f>
        <v>V/c xà vào vị trí (cư ly &lt;=100m)</v>
      </c>
      <c r="G1060" s="422" t="str">
        <f>VLOOKUP($B1060,[1]DG!A:D,4,0)</f>
        <v>tấn</v>
      </c>
      <c r="H1060" s="435"/>
      <c r="I1060" s="435"/>
      <c r="J1060" s="435"/>
      <c r="K1060" s="435"/>
      <c r="L1060" s="435"/>
      <c r="M1060" s="435"/>
      <c r="N1060" s="435"/>
      <c r="O1060" s="435"/>
      <c r="P1060" s="435"/>
      <c r="Q1060" s="437"/>
      <c r="R1060" s="437"/>
      <c r="S1060" s="437"/>
      <c r="T1060" s="432">
        <f t="shared" si="188"/>
        <v>0</v>
      </c>
    </row>
    <row r="1061" spans="1:20" ht="22.2" hidden="1" customHeight="1">
      <c r="A1061" s="379"/>
      <c r="B1061" s="438" t="s">
        <v>620</v>
      </c>
      <c r="C1061" s="469" t="str">
        <f t="shared" si="189"/>
        <v xml:space="preserve"> </v>
      </c>
      <c r="D1061" s="439">
        <v>0.05</v>
      </c>
      <c r="E1061" s="422" t="str">
        <f>VLOOKUP($B1061,[1]DG!A:C,2,)</f>
        <v>02.1482</v>
      </c>
      <c r="F1061" s="434" t="str">
        <f>VLOOKUP($B1061,[1]DG!A:C,3,)</f>
        <v>V/c dụng cụ thi công vào vị trí (cự ly &lt;=100m)</v>
      </c>
      <c r="G1061" s="422" t="str">
        <f>VLOOKUP($B1061,[1]DG!A:D,4,0)</f>
        <v>tấn</v>
      </c>
      <c r="H1061" s="435"/>
      <c r="I1061" s="435"/>
      <c r="J1061" s="435"/>
      <c r="K1061" s="435"/>
      <c r="L1061" s="435"/>
      <c r="M1061" s="435"/>
      <c r="N1061" s="435"/>
      <c r="O1061" s="435"/>
      <c r="P1061" s="435"/>
      <c r="Q1061" s="437"/>
      <c r="R1061" s="437"/>
      <c r="S1061" s="437"/>
      <c r="T1061" s="432">
        <f t="shared" si="188"/>
        <v>0</v>
      </c>
    </row>
    <row r="1062" spans="1:20" ht="22.2" hidden="1" customHeight="1">
      <c r="A1062" s="423" t="s">
        <v>974</v>
      </c>
      <c r="B1062" s="424" t="s">
        <v>974</v>
      </c>
      <c r="C1062" s="469" t="str">
        <f t="shared" si="189"/>
        <v xml:space="preserve"> </v>
      </c>
      <c r="D1062" s="426"/>
      <c r="E1062" s="427"/>
      <c r="F1062" s="428" t="s">
        <v>975</v>
      </c>
      <c r="G1062" s="349" t="s">
        <v>67</v>
      </c>
      <c r="H1062" s="429">
        <f>SUM(I1062:O1062)</f>
        <v>0</v>
      </c>
      <c r="I1062" s="430"/>
      <c r="J1062" s="430"/>
      <c r="K1062" s="430">
        <f>IFERROR(HLOOKUP(B1062,[1]pp3p1m!$1:$3,3,0),0)</f>
        <v>0</v>
      </c>
      <c r="L1062" s="430">
        <f>IFERROR(HLOOKUP(chitiet!B1062,[1]pp1p!$1:$3,3,0),0)</f>
        <v>0</v>
      </c>
      <c r="M1062" s="430"/>
      <c r="N1062" s="430"/>
      <c r="O1062" s="430"/>
      <c r="P1062" s="430">
        <f>H1062+Q1062-R1062</f>
        <v>0</v>
      </c>
      <c r="Q1062" s="431"/>
      <c r="R1062" s="431"/>
      <c r="S1062" s="431"/>
      <c r="T1062" s="432">
        <f>IFERROR(HLOOKUP(B1062,[1]pp1p!$1:$3,3,0),0)+IFERROR(HLOOKUP(B1062,[1]pp3p1m!$1:$3,3,0),0)</f>
        <v>0</v>
      </c>
    </row>
    <row r="1063" spans="1:20" ht="22.2" hidden="1" customHeight="1">
      <c r="A1063" s="379"/>
      <c r="B1063" s="410" t="s">
        <v>235</v>
      </c>
      <c r="C1063" s="469" t="str">
        <f t="shared" si="189"/>
        <v xml:space="preserve"> </v>
      </c>
      <c r="D1063" s="439">
        <f>9.02*2.3*2</f>
        <v>41.491999999999997</v>
      </c>
      <c r="E1063" s="422"/>
      <c r="F1063" s="441" t="str">
        <f>VLOOKUP($B1063,[1]DG!A:D,[1]DG!$C$2,)</f>
        <v>Sắt góc L75 x75 x8</v>
      </c>
      <c r="G1063" s="422" t="str">
        <f>VLOOKUP($B1063,[1]DG!A:D,[1]DG!$D$2,)</f>
        <v>kg</v>
      </c>
      <c r="H1063" s="435">
        <f t="shared" ref="H1063:L1067" si="196">H$1062*$D1063</f>
        <v>0</v>
      </c>
      <c r="I1063" s="435">
        <f t="shared" si="196"/>
        <v>0</v>
      </c>
      <c r="J1063" s="435">
        <f t="shared" si="196"/>
        <v>0</v>
      </c>
      <c r="K1063" s="435">
        <f t="shared" si="196"/>
        <v>0</v>
      </c>
      <c r="L1063" s="435">
        <f t="shared" si="196"/>
        <v>0</v>
      </c>
      <c r="M1063" s="435"/>
      <c r="N1063" s="435"/>
      <c r="O1063" s="435"/>
      <c r="P1063" s="435"/>
      <c r="Q1063" s="442"/>
      <c r="R1063" s="442"/>
      <c r="S1063" s="442"/>
      <c r="T1063" s="432">
        <f t="shared" si="188"/>
        <v>0</v>
      </c>
    </row>
    <row r="1064" spans="1:20" ht="22.2" hidden="1" customHeight="1">
      <c r="A1064" s="379"/>
      <c r="B1064" s="410" t="s">
        <v>976</v>
      </c>
      <c r="C1064" s="469" t="str">
        <f t="shared" si="189"/>
        <v xml:space="preserve"> </v>
      </c>
      <c r="D1064" s="439">
        <v>3.5</v>
      </c>
      <c r="E1064" s="422"/>
      <c r="F1064" s="441" t="str">
        <f>VLOOKUP($B1064,[1]DG!A:D,[1]DG!$C$2,)</f>
        <v>Ê KE 5x300x300\Zn</v>
      </c>
      <c r="G1064" s="422" t="str">
        <f>VLOOKUP($B1064,[1]DG!A:D,[1]DG!$D$2,)</f>
        <v>kg</v>
      </c>
      <c r="H1064" s="435">
        <f t="shared" si="196"/>
        <v>0</v>
      </c>
      <c r="I1064" s="435">
        <f t="shared" si="196"/>
        <v>0</v>
      </c>
      <c r="J1064" s="435">
        <f t="shared" si="196"/>
        <v>0</v>
      </c>
      <c r="K1064" s="435">
        <f t="shared" si="196"/>
        <v>0</v>
      </c>
      <c r="L1064" s="435">
        <f t="shared" si="196"/>
        <v>0</v>
      </c>
      <c r="M1064" s="435"/>
      <c r="N1064" s="435"/>
      <c r="O1064" s="435"/>
      <c r="P1064" s="435"/>
      <c r="Q1064" s="442"/>
      <c r="R1064" s="442"/>
      <c r="S1064" s="442"/>
      <c r="T1064" s="432">
        <f t="shared" ref="T1064:T1128" si="197">IFERROR(HLOOKUP(B1064,BangKeTru,3,0),0)</f>
        <v>0</v>
      </c>
    </row>
    <row r="1065" spans="1:20" ht="22.2" hidden="1" customHeight="1">
      <c r="A1065" s="379"/>
      <c r="B1065" s="410" t="s">
        <v>973</v>
      </c>
      <c r="C1065" s="469" t="str">
        <f t="shared" ref="C1065:C1143" si="198">IF(OR(P1065&lt;&gt;0,H1065&lt;&gt;0),"x"," ")</f>
        <v xml:space="preserve"> </v>
      </c>
      <c r="D1065" s="440">
        <v>4</v>
      </c>
      <c r="E1065" s="422"/>
      <c r="F1065" s="441" t="str">
        <f>VLOOKUP($B1065,[1]DG!A:D,[1]DG!$C$2,)</f>
        <v>Cổ dê Ø 250-Fe 8x100</v>
      </c>
      <c r="G1065" s="422" t="str">
        <f>VLOOKUP($B1065,[1]DG!A:D,[1]DG!$D$2,)</f>
        <v>bộ</v>
      </c>
      <c r="H1065" s="435">
        <f t="shared" si="196"/>
        <v>0</v>
      </c>
      <c r="I1065" s="435">
        <f t="shared" si="196"/>
        <v>0</v>
      </c>
      <c r="J1065" s="435">
        <f t="shared" si="196"/>
        <v>0</v>
      </c>
      <c r="K1065" s="435">
        <f t="shared" si="196"/>
        <v>0</v>
      </c>
      <c r="L1065" s="435">
        <f t="shared" si="196"/>
        <v>0</v>
      </c>
      <c r="M1065" s="435"/>
      <c r="N1065" s="435"/>
      <c r="O1065" s="435"/>
      <c r="P1065" s="435"/>
      <c r="Q1065" s="442"/>
      <c r="R1065" s="442"/>
      <c r="S1065" s="442"/>
      <c r="T1065" s="432">
        <f t="shared" si="197"/>
        <v>0</v>
      </c>
    </row>
    <row r="1066" spans="1:20" ht="22.2" hidden="1" customHeight="1">
      <c r="A1066" s="379"/>
      <c r="B1066" s="410" t="s">
        <v>231</v>
      </c>
      <c r="C1066" s="469" t="str">
        <f t="shared" si="198"/>
        <v xml:space="preserve"> </v>
      </c>
      <c r="D1066" s="440">
        <v>5</v>
      </c>
      <c r="E1066" s="422"/>
      <c r="F1066" s="441" t="str">
        <f>VLOOKUP($B1066,[1]DG!A:D,[1]DG!$C$2,)</f>
        <v>Boulon 16x50+ 2 long đền vuông D18-50x50x3/Zn</v>
      </c>
      <c r="G1066" s="422" t="str">
        <f>VLOOKUP($B1066,[1]DG!A:D,[1]DG!$D$2,)</f>
        <v>bộ</v>
      </c>
      <c r="H1066" s="435">
        <f t="shared" si="196"/>
        <v>0</v>
      </c>
      <c r="I1066" s="435">
        <f t="shared" si="196"/>
        <v>0</v>
      </c>
      <c r="J1066" s="435">
        <f t="shared" si="196"/>
        <v>0</v>
      </c>
      <c r="K1066" s="435">
        <f t="shared" si="196"/>
        <v>0</v>
      </c>
      <c r="L1066" s="435">
        <f t="shared" si="196"/>
        <v>0</v>
      </c>
      <c r="M1066" s="435"/>
      <c r="N1066" s="435"/>
      <c r="O1066" s="435"/>
      <c r="P1066" s="435"/>
      <c r="Q1066" s="442"/>
      <c r="R1066" s="442"/>
      <c r="S1066" s="442"/>
      <c r="T1066" s="432">
        <f t="shared" si="197"/>
        <v>0</v>
      </c>
    </row>
    <row r="1067" spans="1:20" ht="22.2" hidden="1" customHeight="1">
      <c r="A1067" s="379"/>
      <c r="B1067" s="410" t="s">
        <v>264</v>
      </c>
      <c r="C1067" s="469" t="str">
        <f t="shared" si="198"/>
        <v xml:space="preserve"> </v>
      </c>
      <c r="D1067" s="440">
        <v>8</v>
      </c>
      <c r="E1067" s="422"/>
      <c r="F1067" s="441" t="str">
        <f>VLOOKUP($B1067,[1]DG!A:D,[1]DG!$C$2,)</f>
        <v>Boulon 16x100+ 2 long đền vuông D18-50x50x3/Zn</v>
      </c>
      <c r="G1067" s="422" t="str">
        <f>VLOOKUP($B1067,[1]DG!A:D,[1]DG!$D$2,)</f>
        <v>bộ</v>
      </c>
      <c r="H1067" s="435">
        <f t="shared" si="196"/>
        <v>0</v>
      </c>
      <c r="I1067" s="435">
        <f t="shared" si="196"/>
        <v>0</v>
      </c>
      <c r="J1067" s="435">
        <f t="shared" si="196"/>
        <v>0</v>
      </c>
      <c r="K1067" s="435">
        <f t="shared" si="196"/>
        <v>0</v>
      </c>
      <c r="L1067" s="435">
        <f t="shared" si="196"/>
        <v>0</v>
      </c>
      <c r="M1067" s="435"/>
      <c r="N1067" s="435"/>
      <c r="O1067" s="435"/>
      <c r="P1067" s="435"/>
      <c r="Q1067" s="442"/>
      <c r="R1067" s="442"/>
      <c r="S1067" s="442"/>
      <c r="T1067" s="432">
        <f t="shared" si="197"/>
        <v>0</v>
      </c>
    </row>
    <row r="1068" spans="1:20" ht="22.2" hidden="1" customHeight="1">
      <c r="A1068" s="379"/>
      <c r="B1068" s="410" t="s">
        <v>363</v>
      </c>
      <c r="C1068" s="469" t="str">
        <f t="shared" si="198"/>
        <v xml:space="preserve"> </v>
      </c>
      <c r="D1068" s="440">
        <v>1</v>
      </c>
      <c r="E1068" s="422"/>
      <c r="F1068" s="434" t="str">
        <f>VLOOKUP($B1068,[1]DG!A:D,[1]DG!$C$2,)</f>
        <v>Lắp xà cột Pi loại ≤140kg/xà</v>
      </c>
      <c r="G1068" s="422" t="str">
        <f>VLOOKUP($B1068,[1]DG!A:D,[1]DG!$D$2,)</f>
        <v>bộ</v>
      </c>
      <c r="H1068" s="435"/>
      <c r="I1068" s="435"/>
      <c r="J1068" s="435"/>
      <c r="K1068" s="435"/>
      <c r="L1068" s="435"/>
      <c r="M1068" s="435"/>
      <c r="N1068" s="435"/>
      <c r="O1068" s="435"/>
      <c r="P1068" s="435"/>
      <c r="Q1068" s="442"/>
      <c r="R1068" s="442"/>
      <c r="S1068" s="442"/>
      <c r="T1068" s="432">
        <f t="shared" si="197"/>
        <v>0</v>
      </c>
    </row>
    <row r="1069" spans="1:20" ht="22.2" hidden="1" customHeight="1">
      <c r="A1069" s="379"/>
      <c r="B1069" s="410" t="s">
        <v>881</v>
      </c>
      <c r="C1069" s="469" t="str">
        <f t="shared" si="198"/>
        <v xml:space="preserve"> </v>
      </c>
      <c r="D1069" s="433">
        <f>D1070</f>
        <v>7.7499999999999999E-2</v>
      </c>
      <c r="E1069" s="422"/>
      <c r="F1069" s="434" t="str">
        <f>VLOOKUP($B1069,[1]DG!A:D,[1]DG!$C$2,)</f>
        <v>Bốc dỡ xà, thép thanh</v>
      </c>
      <c r="G1069" s="422" t="str">
        <f>VLOOKUP($B1069,[1]DG!A:D,[1]DG!$D$2,)</f>
        <v>tấn</v>
      </c>
      <c r="H1069" s="435"/>
      <c r="I1069" s="435"/>
      <c r="J1069" s="435"/>
      <c r="K1069" s="435"/>
      <c r="L1069" s="435"/>
      <c r="M1069" s="435"/>
      <c r="N1069" s="435"/>
      <c r="O1069" s="435"/>
      <c r="P1069" s="435"/>
      <c r="Q1069" s="442"/>
      <c r="R1069" s="442"/>
      <c r="S1069" s="442"/>
      <c r="T1069" s="432">
        <f t="shared" si="197"/>
        <v>0</v>
      </c>
    </row>
    <row r="1070" spans="1:20" ht="22.2" hidden="1" customHeight="1">
      <c r="A1070" s="379"/>
      <c r="B1070" s="438" t="s">
        <v>882</v>
      </c>
      <c r="C1070" s="469" t="str">
        <f t="shared" si="198"/>
        <v xml:space="preserve"> </v>
      </c>
      <c r="D1070" s="433">
        <f>ROUND(SUM(D1063:D1063)*1.05/1000,3)+ROUND(2*15.14/1000,3)+D1064/1000</f>
        <v>7.7499999999999999E-2</v>
      </c>
      <c r="E1070" s="422" t="str">
        <f>VLOOKUP($B1070,[1]DG!A:C,2,)</f>
        <v>02.1361</v>
      </c>
      <c r="F1070" s="434" t="str">
        <f>VLOOKUP($B1070,[1]DG!A:C,3,)</f>
        <v>V/c xà vào vị trí (cư ly &lt;=100m)</v>
      </c>
      <c r="G1070" s="422" t="str">
        <f>VLOOKUP($B1070,[1]DG!A:D,4,0)</f>
        <v>tấn</v>
      </c>
      <c r="H1070" s="435"/>
      <c r="I1070" s="435"/>
      <c r="J1070" s="435"/>
      <c r="K1070" s="435"/>
      <c r="L1070" s="435"/>
      <c r="M1070" s="435"/>
      <c r="N1070" s="435"/>
      <c r="O1070" s="435"/>
      <c r="P1070" s="435"/>
      <c r="Q1070" s="437"/>
      <c r="R1070" s="437"/>
      <c r="S1070" s="437"/>
      <c r="T1070" s="432">
        <f t="shared" si="197"/>
        <v>0</v>
      </c>
    </row>
    <row r="1071" spans="1:20" ht="22.2" hidden="1" customHeight="1">
      <c r="A1071" s="379"/>
      <c r="B1071" s="438" t="s">
        <v>620</v>
      </c>
      <c r="C1071" s="469" t="str">
        <f t="shared" si="198"/>
        <v xml:space="preserve"> </v>
      </c>
      <c r="D1071" s="439">
        <v>0.05</v>
      </c>
      <c r="E1071" s="422" t="str">
        <f>VLOOKUP($B1071,[1]DG!A:C,2,)</f>
        <v>02.1482</v>
      </c>
      <c r="F1071" s="434" t="str">
        <f>VLOOKUP($B1071,[1]DG!A:C,3,)</f>
        <v>V/c dụng cụ thi công vào vị trí (cự ly &lt;=100m)</v>
      </c>
      <c r="G1071" s="422" t="str">
        <f>VLOOKUP($B1071,[1]DG!A:D,4,0)</f>
        <v>tấn</v>
      </c>
      <c r="H1071" s="435"/>
      <c r="I1071" s="435"/>
      <c r="J1071" s="435"/>
      <c r="K1071" s="435"/>
      <c r="L1071" s="435"/>
      <c r="M1071" s="435"/>
      <c r="N1071" s="435"/>
      <c r="O1071" s="435"/>
      <c r="P1071" s="435"/>
      <c r="Q1071" s="437"/>
      <c r="R1071" s="437"/>
      <c r="S1071" s="437"/>
      <c r="T1071" s="432">
        <f t="shared" si="197"/>
        <v>0</v>
      </c>
    </row>
    <row r="1072" spans="1:20" ht="22.2" hidden="1" customHeight="1">
      <c r="A1072" s="423" t="s">
        <v>977</v>
      </c>
      <c r="B1072" s="424" t="s">
        <v>977</v>
      </c>
      <c r="C1072" s="469" t="str">
        <f t="shared" si="198"/>
        <v xml:space="preserve"> </v>
      </c>
      <c r="D1072" s="426"/>
      <c r="E1072" s="427"/>
      <c r="F1072" s="428" t="s">
        <v>978</v>
      </c>
      <c r="G1072" s="349" t="s">
        <v>67</v>
      </c>
      <c r="H1072" s="429">
        <f>SUM(I1072:O1072)</f>
        <v>0</v>
      </c>
      <c r="I1072" s="430"/>
      <c r="J1072" s="430"/>
      <c r="K1072" s="430">
        <f>IFERROR(HLOOKUP(B1072,[1]pp3p1m!$1:$3,3,0),0)</f>
        <v>0</v>
      </c>
      <c r="L1072" s="430">
        <f>IFERROR(HLOOKUP(chitiet!B1072,[1]pp1p!$1:$3,3,0),0)</f>
        <v>0</v>
      </c>
      <c r="M1072" s="430"/>
      <c r="N1072" s="430"/>
      <c r="O1072" s="430"/>
      <c r="P1072" s="430">
        <f>H1072+Q1072-R1072</f>
        <v>0</v>
      </c>
      <c r="Q1072" s="431"/>
      <c r="R1072" s="431"/>
      <c r="S1072" s="431"/>
      <c r="T1072" s="432">
        <f>IFERROR(HLOOKUP(B1072,[1]pp1p!$1:$3,3,0),0)+IFERROR(HLOOKUP(B1072,[1]pp3p1m!$1:$3,3,0),0)</f>
        <v>0</v>
      </c>
    </row>
    <row r="1073" spans="1:20" ht="22.2" hidden="1" customHeight="1">
      <c r="A1073" s="379"/>
      <c r="B1073" s="410" t="s">
        <v>236</v>
      </c>
      <c r="C1073" s="469" t="str">
        <f t="shared" si="198"/>
        <v xml:space="preserve"> </v>
      </c>
      <c r="D1073" s="439">
        <f>3.77*(0.72)*4</f>
        <v>10.8576</v>
      </c>
      <c r="E1073" s="422"/>
      <c r="F1073" s="441" t="str">
        <f>VLOOKUP($B1073,[1]DG!A:D,[1]DG!$C$2,)</f>
        <v>Sắt góc L50 x50 x5</v>
      </c>
      <c r="G1073" s="422" t="str">
        <f>VLOOKUP($B1073,[1]DG!A:D,[1]DG!$D$2,)</f>
        <v>kg</v>
      </c>
      <c r="H1073" s="435">
        <f t="shared" ref="H1073:L1075" si="199">H$1072*$D1073</f>
        <v>0</v>
      </c>
      <c r="I1073" s="435">
        <f t="shared" si="199"/>
        <v>0</v>
      </c>
      <c r="J1073" s="435">
        <f t="shared" si="199"/>
        <v>0</v>
      </c>
      <c r="K1073" s="435">
        <f t="shared" si="199"/>
        <v>0</v>
      </c>
      <c r="L1073" s="435">
        <f t="shared" si="199"/>
        <v>0</v>
      </c>
      <c r="M1073" s="435"/>
      <c r="N1073" s="435"/>
      <c r="O1073" s="435"/>
      <c r="P1073" s="435"/>
      <c r="Q1073" s="442"/>
      <c r="R1073" s="442"/>
      <c r="S1073" s="442"/>
      <c r="T1073" s="432">
        <f t="shared" si="197"/>
        <v>0</v>
      </c>
    </row>
    <row r="1074" spans="1:20" ht="22.2" hidden="1" customHeight="1">
      <c r="A1074" s="379"/>
      <c r="B1074" s="410" t="s">
        <v>123</v>
      </c>
      <c r="C1074" s="469" t="str">
        <f t="shared" si="198"/>
        <v xml:space="preserve"> </v>
      </c>
      <c r="D1074" s="440">
        <v>4</v>
      </c>
      <c r="E1074" s="422"/>
      <c r="F1074" s="441" t="str">
        <f>VLOOKUP($B1074,[1]DG!A:D,[1]DG!$C$2,)</f>
        <v>Boulon 16x350+ 2 long đền vuông D18-50x50x3/Zn</v>
      </c>
      <c r="G1074" s="422" t="str">
        <f>VLOOKUP($B1074,[1]DG!A:D,[1]DG!$D$2,)</f>
        <v>bộ</v>
      </c>
      <c r="H1074" s="435">
        <f t="shared" si="199"/>
        <v>0</v>
      </c>
      <c r="I1074" s="435">
        <f t="shared" si="199"/>
        <v>0</v>
      </c>
      <c r="J1074" s="435">
        <f t="shared" si="199"/>
        <v>0</v>
      </c>
      <c r="K1074" s="435">
        <f t="shared" si="199"/>
        <v>0</v>
      </c>
      <c r="L1074" s="435">
        <f t="shared" si="199"/>
        <v>0</v>
      </c>
      <c r="M1074" s="435"/>
      <c r="N1074" s="435"/>
      <c r="O1074" s="435"/>
      <c r="P1074" s="435"/>
      <c r="Q1074" s="442"/>
      <c r="R1074" s="442"/>
      <c r="S1074" s="442"/>
      <c r="T1074" s="432">
        <f t="shared" si="197"/>
        <v>0</v>
      </c>
    </row>
    <row r="1075" spans="1:20" ht="22.2" hidden="1" customHeight="1">
      <c r="A1075" s="379"/>
      <c r="B1075" s="410" t="s">
        <v>231</v>
      </c>
      <c r="C1075" s="469" t="str">
        <f t="shared" si="198"/>
        <v xml:space="preserve"> </v>
      </c>
      <c r="D1075" s="440">
        <v>2</v>
      </c>
      <c r="E1075" s="422"/>
      <c r="F1075" s="441" t="str">
        <f>VLOOKUP($B1075,[1]DG!A:D,[1]DG!$C$2,)</f>
        <v>Boulon 16x50+ 2 long đền vuông D18-50x50x3/Zn</v>
      </c>
      <c r="G1075" s="422" t="str">
        <f>VLOOKUP($B1075,[1]DG!A:D,[1]DG!$D$2,)</f>
        <v>bộ</v>
      </c>
      <c r="H1075" s="435">
        <f t="shared" si="199"/>
        <v>0</v>
      </c>
      <c r="I1075" s="435">
        <f t="shared" si="199"/>
        <v>0</v>
      </c>
      <c r="J1075" s="435">
        <f t="shared" si="199"/>
        <v>0</v>
      </c>
      <c r="K1075" s="435">
        <f t="shared" si="199"/>
        <v>0</v>
      </c>
      <c r="L1075" s="435">
        <f t="shared" si="199"/>
        <v>0</v>
      </c>
      <c r="M1075" s="435"/>
      <c r="N1075" s="435"/>
      <c r="O1075" s="435"/>
      <c r="P1075" s="435"/>
      <c r="Q1075" s="442"/>
      <c r="R1075" s="442"/>
      <c r="S1075" s="442"/>
      <c r="T1075" s="432">
        <f t="shared" si="197"/>
        <v>0</v>
      </c>
    </row>
    <row r="1076" spans="1:20" ht="22.2" hidden="1" customHeight="1">
      <c r="A1076" s="379"/>
      <c r="B1076" s="410" t="s">
        <v>126</v>
      </c>
      <c r="C1076" s="469" t="str">
        <f t="shared" si="198"/>
        <v xml:space="preserve"> </v>
      </c>
      <c r="D1076" s="440">
        <v>1</v>
      </c>
      <c r="E1076" s="422"/>
      <c r="F1076" s="434" t="str">
        <f>VLOOKUP($B1076,[1]DG!A:D,[1]DG!$C$2,)</f>
        <v>Lắp xà đỡ ≤ 25kg</v>
      </c>
      <c r="G1076" s="422" t="str">
        <f>VLOOKUP($B1076,[1]DG!A:D,[1]DG!$D$2,)</f>
        <v>bộ</v>
      </c>
      <c r="H1076" s="435"/>
      <c r="I1076" s="435"/>
      <c r="J1076" s="435"/>
      <c r="K1076" s="435"/>
      <c r="L1076" s="435"/>
      <c r="M1076" s="435"/>
      <c r="N1076" s="435"/>
      <c r="O1076" s="435"/>
      <c r="P1076" s="435"/>
      <c r="Q1076" s="442"/>
      <c r="R1076" s="442"/>
      <c r="S1076" s="442"/>
      <c r="T1076" s="432">
        <f t="shared" si="197"/>
        <v>0</v>
      </c>
    </row>
    <row r="1077" spans="1:20" ht="22.2" hidden="1" customHeight="1">
      <c r="A1077" s="379"/>
      <c r="B1077" s="410" t="s">
        <v>881</v>
      </c>
      <c r="C1077" s="469" t="str">
        <f t="shared" si="198"/>
        <v xml:space="preserve"> </v>
      </c>
      <c r="D1077" s="433"/>
      <c r="E1077" s="422"/>
      <c r="F1077" s="434" t="str">
        <f>VLOOKUP($B1077,[1]DG!A:D,[1]DG!$C$2,)</f>
        <v>Bốc dỡ xà, thép thanh</v>
      </c>
      <c r="G1077" s="422" t="str">
        <f>VLOOKUP($B1077,[1]DG!A:D,[1]DG!$D$2,)</f>
        <v>tấn</v>
      </c>
      <c r="H1077" s="435"/>
      <c r="I1077" s="435"/>
      <c r="J1077" s="435"/>
      <c r="K1077" s="435"/>
      <c r="L1077" s="435"/>
      <c r="M1077" s="435"/>
      <c r="N1077" s="435"/>
      <c r="O1077" s="435"/>
      <c r="P1077" s="435"/>
      <c r="Q1077" s="442"/>
      <c r="R1077" s="442"/>
      <c r="S1077" s="442"/>
      <c r="T1077" s="432">
        <f t="shared" si="197"/>
        <v>0</v>
      </c>
    </row>
    <row r="1078" spans="1:20" ht="22.2" hidden="1" customHeight="1">
      <c r="A1078" s="379"/>
      <c r="B1078" s="438" t="s">
        <v>882</v>
      </c>
      <c r="C1078" s="469" t="str">
        <f t="shared" si="198"/>
        <v xml:space="preserve"> </v>
      </c>
      <c r="D1078" s="433"/>
      <c r="E1078" s="422" t="str">
        <f>VLOOKUP($B1078,[1]DG!A:C,2,)</f>
        <v>02.1361</v>
      </c>
      <c r="F1078" s="434" t="str">
        <f>VLOOKUP($B1078,[1]DG!A:C,3,)</f>
        <v>V/c xà vào vị trí (cư ly &lt;=100m)</v>
      </c>
      <c r="G1078" s="422" t="str">
        <f>VLOOKUP($B1078,[1]DG!A:D,4,0)</f>
        <v>tấn</v>
      </c>
      <c r="H1078" s="435"/>
      <c r="I1078" s="435"/>
      <c r="J1078" s="435"/>
      <c r="K1078" s="435"/>
      <c r="L1078" s="435"/>
      <c r="M1078" s="435"/>
      <c r="N1078" s="435"/>
      <c r="O1078" s="435"/>
      <c r="P1078" s="435"/>
      <c r="Q1078" s="437"/>
      <c r="R1078" s="437"/>
      <c r="S1078" s="437"/>
      <c r="T1078" s="432">
        <f t="shared" si="197"/>
        <v>0</v>
      </c>
    </row>
    <row r="1079" spans="1:20" ht="22.2" hidden="1" customHeight="1">
      <c r="A1079" s="379"/>
      <c r="B1079" s="438" t="s">
        <v>620</v>
      </c>
      <c r="C1079" s="469" t="str">
        <f t="shared" si="198"/>
        <v xml:space="preserve"> </v>
      </c>
      <c r="D1079" s="439"/>
      <c r="E1079" s="422" t="str">
        <f>VLOOKUP($B1079,[1]DG!A:C,2,)</f>
        <v>02.1482</v>
      </c>
      <c r="F1079" s="434" t="str">
        <f>VLOOKUP($B1079,[1]DG!A:C,3,)</f>
        <v>V/c dụng cụ thi công vào vị trí (cự ly &lt;=100m)</v>
      </c>
      <c r="G1079" s="422" t="str">
        <f>VLOOKUP($B1079,[1]DG!A:D,4,0)</f>
        <v>tấn</v>
      </c>
      <c r="H1079" s="435"/>
      <c r="I1079" s="435"/>
      <c r="J1079" s="435"/>
      <c r="K1079" s="435"/>
      <c r="L1079" s="435"/>
      <c r="M1079" s="435"/>
      <c r="N1079" s="435"/>
      <c r="O1079" s="435"/>
      <c r="P1079" s="435"/>
      <c r="Q1079" s="437"/>
      <c r="R1079" s="437"/>
      <c r="S1079" s="437"/>
      <c r="T1079" s="432">
        <f t="shared" si="197"/>
        <v>0</v>
      </c>
    </row>
    <row r="1080" spans="1:20" ht="22.2" hidden="1" customHeight="1">
      <c r="A1080" s="423" t="s">
        <v>979</v>
      </c>
      <c r="B1080" s="424" t="s">
        <v>979</v>
      </c>
      <c r="C1080" s="469" t="str">
        <f t="shared" si="198"/>
        <v xml:space="preserve"> </v>
      </c>
      <c r="D1080" s="426"/>
      <c r="E1080" s="427"/>
      <c r="F1080" s="428" t="s">
        <v>980</v>
      </c>
      <c r="G1080" s="349" t="s">
        <v>67</v>
      </c>
      <c r="H1080" s="429">
        <f>SUM(I1080:O1080)</f>
        <v>0</v>
      </c>
      <c r="I1080" s="430"/>
      <c r="J1080" s="430"/>
      <c r="K1080" s="430">
        <f>IFERROR(HLOOKUP(B1080,[1]pp3p1m!$1:$3,3,0),0)</f>
        <v>0</v>
      </c>
      <c r="L1080" s="430">
        <f>IFERROR(HLOOKUP(chitiet!B1080,[1]pp1p!$1:$3,3,0),0)</f>
        <v>0</v>
      </c>
      <c r="M1080" s="430"/>
      <c r="N1080" s="430"/>
      <c r="O1080" s="430"/>
      <c r="P1080" s="430">
        <f>H1080+Q1080-R1080</f>
        <v>0</v>
      </c>
      <c r="Q1080" s="431"/>
      <c r="R1080" s="431"/>
      <c r="S1080" s="431"/>
      <c r="T1080" s="432">
        <f>IFERROR(HLOOKUP(B1080,[1]pp1p!$1:$3,3,0),0)+IFERROR(HLOOKUP(B1080,[1]pp3p1m!$1:$3,3,0),0)</f>
        <v>0</v>
      </c>
    </row>
    <row r="1081" spans="1:20" ht="22.2" hidden="1" customHeight="1">
      <c r="A1081" s="379"/>
      <c r="B1081" s="410" t="s">
        <v>972</v>
      </c>
      <c r="C1081" s="469" t="str">
        <f t="shared" si="198"/>
        <v xml:space="preserve"> </v>
      </c>
      <c r="D1081" s="440">
        <v>2</v>
      </c>
      <c r="E1081" s="422"/>
      <c r="F1081" s="441" t="str">
        <f>VLOOKUP($B1081,[1]DG!A:D,[1]DG!$C$2,)</f>
        <v>Cổ dê  Ø 240-Fe 8x100</v>
      </c>
      <c r="G1081" s="422" t="str">
        <f>VLOOKUP($B1081,[1]DG!A:D,[1]DG!$D$2,)</f>
        <v>bộ</v>
      </c>
      <c r="H1081" s="435">
        <f t="shared" ref="H1081:L1082" si="200">H$1080*$D1081</f>
        <v>0</v>
      </c>
      <c r="I1081" s="435">
        <f t="shared" si="200"/>
        <v>0</v>
      </c>
      <c r="J1081" s="435">
        <f t="shared" si="200"/>
        <v>0</v>
      </c>
      <c r="K1081" s="435">
        <f t="shared" si="200"/>
        <v>0</v>
      </c>
      <c r="L1081" s="435">
        <f t="shared" si="200"/>
        <v>0</v>
      </c>
      <c r="M1081" s="435"/>
      <c r="N1081" s="435"/>
      <c r="O1081" s="435"/>
      <c r="P1081" s="435"/>
      <c r="Q1081" s="442"/>
      <c r="R1081" s="442"/>
      <c r="S1081" s="442"/>
      <c r="T1081" s="432">
        <f t="shared" si="197"/>
        <v>0</v>
      </c>
    </row>
    <row r="1082" spans="1:20" ht="22.2" hidden="1" customHeight="1">
      <c r="A1082" s="379"/>
      <c r="B1082" s="410" t="s">
        <v>264</v>
      </c>
      <c r="C1082" s="469" t="str">
        <f t="shared" si="198"/>
        <v xml:space="preserve"> </v>
      </c>
      <c r="D1082" s="440">
        <v>2</v>
      </c>
      <c r="E1082" s="422"/>
      <c r="F1082" s="441" t="str">
        <f>VLOOKUP($B1082,[1]DG!A:D,[1]DG!$C$2,)</f>
        <v>Boulon 16x100+ 2 long đền vuông D18-50x50x3/Zn</v>
      </c>
      <c r="G1082" s="422" t="str">
        <f>VLOOKUP($B1082,[1]DG!A:D,[1]DG!$D$2,)</f>
        <v>bộ</v>
      </c>
      <c r="H1082" s="435">
        <f t="shared" si="200"/>
        <v>0</v>
      </c>
      <c r="I1082" s="435">
        <f t="shared" si="200"/>
        <v>0</v>
      </c>
      <c r="J1082" s="435">
        <f t="shared" si="200"/>
        <v>0</v>
      </c>
      <c r="K1082" s="435">
        <f t="shared" si="200"/>
        <v>0</v>
      </c>
      <c r="L1082" s="435">
        <f t="shared" si="200"/>
        <v>0</v>
      </c>
      <c r="M1082" s="435"/>
      <c r="N1082" s="435"/>
      <c r="O1082" s="435"/>
      <c r="P1082" s="435"/>
      <c r="Q1082" s="442"/>
      <c r="R1082" s="442"/>
      <c r="S1082" s="442"/>
      <c r="T1082" s="432">
        <f t="shared" si="197"/>
        <v>0</v>
      </c>
    </row>
    <row r="1083" spans="1:20" ht="22.2" hidden="1" customHeight="1">
      <c r="A1083" s="379"/>
      <c r="B1083" s="410" t="s">
        <v>126</v>
      </c>
      <c r="C1083" s="469" t="str">
        <f t="shared" si="198"/>
        <v xml:space="preserve"> </v>
      </c>
      <c r="D1083" s="440">
        <v>1</v>
      </c>
      <c r="E1083" s="422"/>
      <c r="F1083" s="434" t="str">
        <f>VLOOKUP($B1083,[1]DG!A:D,[1]DG!$C$2,)</f>
        <v>Lắp xà đỡ ≤ 25kg</v>
      </c>
      <c r="G1083" s="422" t="str">
        <f>VLOOKUP($B1083,[1]DG!A:D,[1]DG!$D$2,)</f>
        <v>bộ</v>
      </c>
      <c r="H1083" s="435"/>
      <c r="I1083" s="435"/>
      <c r="J1083" s="435"/>
      <c r="K1083" s="435"/>
      <c r="L1083" s="435"/>
      <c r="M1083" s="435"/>
      <c r="N1083" s="435"/>
      <c r="O1083" s="435"/>
      <c r="P1083" s="435"/>
      <c r="Q1083" s="442"/>
      <c r="R1083" s="442"/>
      <c r="S1083" s="442"/>
      <c r="T1083" s="432">
        <f t="shared" si="197"/>
        <v>0</v>
      </c>
    </row>
    <row r="1084" spans="1:20" ht="22.2" hidden="1" customHeight="1">
      <c r="A1084" s="379"/>
      <c r="B1084" s="410" t="s">
        <v>881</v>
      </c>
      <c r="C1084" s="469" t="str">
        <f t="shared" si="198"/>
        <v xml:space="preserve"> </v>
      </c>
      <c r="D1084" s="433">
        <f>D1085</f>
        <v>1.7000000000000001E-2</v>
      </c>
      <c r="E1084" s="422"/>
      <c r="F1084" s="434" t="str">
        <f>VLOOKUP($B1084,[1]DG!A:D,[1]DG!$C$2,)</f>
        <v>Bốc dỡ xà, thép thanh</v>
      </c>
      <c r="G1084" s="422" t="str">
        <f>VLOOKUP($B1084,[1]DG!A:D,[1]DG!$D$2,)</f>
        <v>tấn</v>
      </c>
      <c r="H1084" s="435"/>
      <c r="I1084" s="435"/>
      <c r="J1084" s="435"/>
      <c r="K1084" s="435"/>
      <c r="L1084" s="435"/>
      <c r="M1084" s="435"/>
      <c r="N1084" s="435"/>
      <c r="O1084" s="435"/>
      <c r="P1084" s="435"/>
      <c r="Q1084" s="442"/>
      <c r="R1084" s="442"/>
      <c r="S1084" s="442"/>
      <c r="T1084" s="432">
        <f t="shared" si="197"/>
        <v>0</v>
      </c>
    </row>
    <row r="1085" spans="1:20" ht="22.2" hidden="1" customHeight="1">
      <c r="A1085" s="379"/>
      <c r="B1085" s="438" t="s">
        <v>882</v>
      </c>
      <c r="C1085" s="469" t="str">
        <f t="shared" si="198"/>
        <v xml:space="preserve"> </v>
      </c>
      <c r="D1085" s="433">
        <f>ROUND((2*8+2*0.25)*1.05/1000,3)</f>
        <v>1.7000000000000001E-2</v>
      </c>
      <c r="E1085" s="422" t="str">
        <f>VLOOKUP($B1085,[1]DG!A:C,2,)</f>
        <v>02.1361</v>
      </c>
      <c r="F1085" s="434" t="str">
        <f>VLOOKUP($B1085,[1]DG!A:C,3,)</f>
        <v>V/c xà vào vị trí (cư ly &lt;=100m)</v>
      </c>
      <c r="G1085" s="422" t="str">
        <f>VLOOKUP($B1085,[1]DG!A:D,4,0)</f>
        <v>tấn</v>
      </c>
      <c r="H1085" s="435"/>
      <c r="I1085" s="435"/>
      <c r="J1085" s="435"/>
      <c r="K1085" s="435"/>
      <c r="L1085" s="435"/>
      <c r="M1085" s="435"/>
      <c r="N1085" s="435"/>
      <c r="O1085" s="435"/>
      <c r="P1085" s="435"/>
      <c r="Q1085" s="437"/>
      <c r="R1085" s="437"/>
      <c r="S1085" s="437"/>
      <c r="T1085" s="432">
        <f t="shared" si="197"/>
        <v>0</v>
      </c>
    </row>
    <row r="1086" spans="1:20" ht="22.2" hidden="1" customHeight="1">
      <c r="A1086" s="379"/>
      <c r="B1086" s="438" t="s">
        <v>620</v>
      </c>
      <c r="C1086" s="469" t="str">
        <f t="shared" si="198"/>
        <v xml:space="preserve"> </v>
      </c>
      <c r="D1086" s="439">
        <v>0.02</v>
      </c>
      <c r="E1086" s="422" t="str">
        <f>VLOOKUP($B1086,[1]DG!A:C,2,)</f>
        <v>02.1482</v>
      </c>
      <c r="F1086" s="434" t="str">
        <f>VLOOKUP($B1086,[1]DG!A:C,3,)</f>
        <v>V/c dụng cụ thi công vào vị trí (cự ly &lt;=100m)</v>
      </c>
      <c r="G1086" s="422" t="str">
        <f>VLOOKUP($B1086,[1]DG!A:D,4,0)</f>
        <v>tấn</v>
      </c>
      <c r="H1086" s="435"/>
      <c r="I1086" s="435"/>
      <c r="J1086" s="435"/>
      <c r="K1086" s="435"/>
      <c r="L1086" s="435"/>
      <c r="M1086" s="435"/>
      <c r="N1086" s="435"/>
      <c r="O1086" s="435"/>
      <c r="P1086" s="435"/>
      <c r="Q1086" s="437"/>
      <c r="R1086" s="437"/>
      <c r="S1086" s="437"/>
      <c r="T1086" s="432">
        <f t="shared" si="197"/>
        <v>0</v>
      </c>
    </row>
    <row r="1087" spans="1:20" ht="22.2" hidden="1" customHeight="1">
      <c r="A1087" s="451" t="s">
        <v>981</v>
      </c>
      <c r="B1087" s="424" t="s">
        <v>982</v>
      </c>
      <c r="C1087" s="465" t="str">
        <f t="shared" si="198"/>
        <v xml:space="preserve"> </v>
      </c>
      <c r="D1087" s="426"/>
      <c r="E1087" s="427"/>
      <c r="F1087" s="428" t="s">
        <v>983</v>
      </c>
      <c r="G1087" s="349" t="s">
        <v>67</v>
      </c>
      <c r="H1087" s="429">
        <f>SUM(I1087:O1087)</f>
        <v>0</v>
      </c>
      <c r="I1087" s="430"/>
      <c r="J1087" s="430"/>
      <c r="K1087" s="430">
        <f>IFERROR(HLOOKUP(B1087,[1]pp3p1m!$1:$3,3,0),0)</f>
        <v>0</v>
      </c>
      <c r="L1087" s="430">
        <f>IFERROR(HLOOKUP(chitiet!B1087,[1]pp1p!$1:$3,3,0),0)</f>
        <v>0</v>
      </c>
      <c r="M1087" s="430"/>
      <c r="N1087" s="430"/>
      <c r="O1087" s="430"/>
      <c r="P1087" s="429">
        <f>H1087+Q1087-R1087</f>
        <v>0</v>
      </c>
      <c r="Q1087" s="431"/>
      <c r="R1087" s="431"/>
      <c r="S1087" s="431"/>
      <c r="T1087" s="432">
        <f>IFERROR(HLOOKUP(B1087,[1]pp1p!$1:$3,3,0),0)+IFERROR(HLOOKUP(B1087,[1]pp3p1m!$1:$3,3,0),0)</f>
        <v>0</v>
      </c>
    </row>
    <row r="1088" spans="1:20" ht="22.2" hidden="1" customHeight="1">
      <c r="B1088" s="406" t="s">
        <v>984</v>
      </c>
      <c r="C1088" s="469" t="str">
        <f t="shared" si="198"/>
        <v xml:space="preserve"> </v>
      </c>
      <c r="D1088" s="440">
        <v>1</v>
      </c>
      <c r="E1088" s="422"/>
      <c r="F1088" s="441" t="str">
        <f>VLOOKUP($B1088,[1]DG!A:D,[1]DG!$C$2,)</f>
        <v>Đà composite 0,8m</v>
      </c>
      <c r="G1088" s="422" t="str">
        <f>VLOOKUP($B1088,[1]DG!A:D,[1]DG!$D$2,)</f>
        <v>cây</v>
      </c>
      <c r="H1088" s="435">
        <f>H$1087*$D1088</f>
        <v>0</v>
      </c>
      <c r="I1088" s="435">
        <f t="shared" ref="I1088:R1088" si="201">I$1087*$D1088</f>
        <v>0</v>
      </c>
      <c r="J1088" s="435">
        <f t="shared" si="201"/>
        <v>0</v>
      </c>
      <c r="K1088" s="435">
        <f t="shared" si="201"/>
        <v>0</v>
      </c>
      <c r="L1088" s="435">
        <f t="shared" si="201"/>
        <v>0</v>
      </c>
      <c r="M1088" s="435">
        <f t="shared" si="201"/>
        <v>0</v>
      </c>
      <c r="N1088" s="435">
        <f t="shared" si="201"/>
        <v>0</v>
      </c>
      <c r="O1088" s="435">
        <f t="shared" si="201"/>
        <v>0</v>
      </c>
      <c r="P1088" s="435">
        <f t="shared" si="201"/>
        <v>0</v>
      </c>
      <c r="Q1088" s="435">
        <f t="shared" si="201"/>
        <v>0</v>
      </c>
      <c r="R1088" s="435">
        <f t="shared" si="201"/>
        <v>0</v>
      </c>
      <c r="S1088" s="442"/>
      <c r="T1088" s="432">
        <f t="shared" si="197"/>
        <v>0</v>
      </c>
    </row>
    <row r="1089" spans="1:20" ht="22.2" hidden="1" customHeight="1">
      <c r="A1089" s="379"/>
      <c r="B1089" s="406" t="s">
        <v>262</v>
      </c>
      <c r="C1089" s="465" t="str">
        <f t="shared" si="198"/>
        <v xml:space="preserve"> </v>
      </c>
      <c r="D1089" s="453">
        <v>2.4</v>
      </c>
      <c r="E1089" s="422"/>
      <c r="F1089" s="441" t="str">
        <f>VLOOKUP($B1089,[1]DG!A:D,[1]DG!$C$2,)</f>
        <v>Chống composite 40x10x920</v>
      </c>
      <c r="G1089" s="422" t="str">
        <f>VLOOKUP($B1089,[1]DG!A:D,[1]DG!$D$2,)</f>
        <v>cái</v>
      </c>
      <c r="H1089" s="435">
        <f t="shared" ref="H1089:R1093" si="202">H$1087*$D1089</f>
        <v>0</v>
      </c>
      <c r="I1089" s="435">
        <f t="shared" si="202"/>
        <v>0</v>
      </c>
      <c r="J1089" s="435">
        <f t="shared" si="202"/>
        <v>0</v>
      </c>
      <c r="K1089" s="435">
        <f t="shared" si="202"/>
        <v>0</v>
      </c>
      <c r="L1089" s="435">
        <f t="shared" si="202"/>
        <v>0</v>
      </c>
      <c r="M1089" s="435">
        <f t="shared" si="202"/>
        <v>0</v>
      </c>
      <c r="N1089" s="435">
        <f t="shared" si="202"/>
        <v>0</v>
      </c>
      <c r="O1089" s="435">
        <f t="shared" si="202"/>
        <v>0</v>
      </c>
      <c r="P1089" s="435">
        <f t="shared" si="202"/>
        <v>0</v>
      </c>
      <c r="Q1089" s="435">
        <f t="shared" si="202"/>
        <v>0</v>
      </c>
      <c r="R1089" s="435">
        <f t="shared" si="202"/>
        <v>0</v>
      </c>
      <c r="S1089" s="442"/>
      <c r="T1089" s="432">
        <f t="shared" si="197"/>
        <v>0</v>
      </c>
    </row>
    <row r="1090" spans="1:20" ht="22.2" hidden="1" customHeight="1">
      <c r="B1090" s="406" t="s">
        <v>122</v>
      </c>
      <c r="C1090" s="465" t="str">
        <f t="shared" si="198"/>
        <v xml:space="preserve"> </v>
      </c>
      <c r="D1090" s="440">
        <v>2</v>
      </c>
      <c r="E1090" s="422"/>
      <c r="F1090" s="441" t="str">
        <f>VLOOKUP($B1090,[1]DG!A:D,[1]DG!$C$2,)</f>
        <v>Thanh chống Composite 10x40x720</v>
      </c>
      <c r="G1090" s="422" t="str">
        <f>VLOOKUP($B1090,[1]DG!A:D,[1]DG!$D$2,)</f>
        <v>cái</v>
      </c>
      <c r="H1090" s="435">
        <f t="shared" si="202"/>
        <v>0</v>
      </c>
      <c r="I1090" s="435">
        <f t="shared" si="202"/>
        <v>0</v>
      </c>
      <c r="J1090" s="435">
        <f t="shared" si="202"/>
        <v>0</v>
      </c>
      <c r="K1090" s="435">
        <f t="shared" si="202"/>
        <v>0</v>
      </c>
      <c r="L1090" s="435">
        <f t="shared" si="202"/>
        <v>0</v>
      </c>
      <c r="M1090" s="435">
        <f t="shared" si="202"/>
        <v>0</v>
      </c>
      <c r="N1090" s="435">
        <f t="shared" si="202"/>
        <v>0</v>
      </c>
      <c r="O1090" s="435">
        <f t="shared" si="202"/>
        <v>0</v>
      </c>
      <c r="P1090" s="435">
        <f t="shared" si="202"/>
        <v>0</v>
      </c>
      <c r="Q1090" s="435">
        <f t="shared" si="202"/>
        <v>0</v>
      </c>
      <c r="R1090" s="435">
        <f t="shared" si="202"/>
        <v>0</v>
      </c>
      <c r="S1090" s="442"/>
      <c r="T1090" s="432">
        <f t="shared" si="197"/>
        <v>0</v>
      </c>
    </row>
    <row r="1091" spans="1:20" ht="22.2" hidden="1" customHeight="1">
      <c r="B1091" s="406" t="s">
        <v>264</v>
      </c>
      <c r="C1091" s="465" t="str">
        <f t="shared" si="198"/>
        <v xml:space="preserve"> </v>
      </c>
      <c r="D1091" s="440">
        <v>2</v>
      </c>
      <c r="E1091" s="422"/>
      <c r="F1091" s="441" t="str">
        <f>VLOOKUP($B1091,[1]DG!A:D,[1]DG!$C$2,)</f>
        <v>Boulon 16x100+ 2 long đền vuông D18-50x50x3/Zn</v>
      </c>
      <c r="G1091" s="422" t="str">
        <f>VLOOKUP($B1091,[1]DG!A:D,[1]DG!$D$2,)</f>
        <v>bộ</v>
      </c>
      <c r="H1091" s="435">
        <f t="shared" si="202"/>
        <v>0</v>
      </c>
      <c r="I1091" s="435">
        <f t="shared" si="202"/>
        <v>0</v>
      </c>
      <c r="J1091" s="435">
        <f t="shared" si="202"/>
        <v>0</v>
      </c>
      <c r="K1091" s="435">
        <f t="shared" si="202"/>
        <v>0</v>
      </c>
      <c r="L1091" s="435">
        <f t="shared" si="202"/>
        <v>0</v>
      </c>
      <c r="M1091" s="435">
        <f t="shared" si="202"/>
        <v>0</v>
      </c>
      <c r="N1091" s="435">
        <f t="shared" si="202"/>
        <v>0</v>
      </c>
      <c r="O1091" s="435">
        <f t="shared" si="202"/>
        <v>0</v>
      </c>
      <c r="P1091" s="435">
        <f t="shared" si="202"/>
        <v>0</v>
      </c>
      <c r="Q1091" s="435">
        <f t="shared" si="202"/>
        <v>0</v>
      </c>
      <c r="R1091" s="435">
        <f t="shared" si="202"/>
        <v>0</v>
      </c>
      <c r="S1091" s="442"/>
      <c r="T1091" s="432">
        <f t="shared" si="197"/>
        <v>0</v>
      </c>
    </row>
    <row r="1092" spans="1:20" ht="22.2" hidden="1" customHeight="1">
      <c r="B1092" s="406" t="s">
        <v>265</v>
      </c>
      <c r="C1092" s="465" t="str">
        <f t="shared" si="198"/>
        <v xml:space="preserve"> </v>
      </c>
      <c r="D1092" s="440">
        <v>2</v>
      </c>
      <c r="E1092" s="422"/>
      <c r="F1092" s="441" t="str">
        <f>VLOOKUP($B1092,[1]DG!A:D,[1]DG!$C$2,)</f>
        <v>Boulon 16x400+ 2 long đền vuông D18-50x50x3/Zn</v>
      </c>
      <c r="G1092" s="422" t="str">
        <f>VLOOKUP($B1092,[1]DG!A:D,[1]DG!$D$2,)</f>
        <v>bộ</v>
      </c>
      <c r="H1092" s="435">
        <f t="shared" si="202"/>
        <v>0</v>
      </c>
      <c r="I1092" s="435">
        <f t="shared" si="202"/>
        <v>0</v>
      </c>
      <c r="J1092" s="435">
        <f t="shared" si="202"/>
        <v>0</v>
      </c>
      <c r="K1092" s="435">
        <f t="shared" si="202"/>
        <v>0</v>
      </c>
      <c r="L1092" s="435">
        <f t="shared" si="202"/>
        <v>0</v>
      </c>
      <c r="M1092" s="435">
        <f t="shared" si="202"/>
        <v>0</v>
      </c>
      <c r="N1092" s="435">
        <f t="shared" si="202"/>
        <v>0</v>
      </c>
      <c r="O1092" s="435">
        <f t="shared" si="202"/>
        <v>0</v>
      </c>
      <c r="P1092" s="435">
        <f t="shared" si="202"/>
        <v>0</v>
      </c>
      <c r="Q1092" s="435">
        <f t="shared" si="202"/>
        <v>0</v>
      </c>
      <c r="R1092" s="435">
        <f t="shared" si="202"/>
        <v>0</v>
      </c>
      <c r="S1092" s="442"/>
      <c r="T1092" s="432">
        <f t="shared" si="197"/>
        <v>0</v>
      </c>
    </row>
    <row r="1093" spans="1:20" ht="22.2" hidden="1" customHeight="1">
      <c r="B1093" s="406" t="s">
        <v>126</v>
      </c>
      <c r="C1093" s="465" t="str">
        <f t="shared" si="198"/>
        <v xml:space="preserve"> </v>
      </c>
      <c r="D1093" s="440">
        <v>1</v>
      </c>
      <c r="E1093" s="422"/>
      <c r="F1093" s="434" t="str">
        <f>VLOOKUP($B1093,[1]DG!A:D,[1]DG!$C$2,)</f>
        <v>Lắp xà đỡ ≤ 25kg</v>
      </c>
      <c r="G1093" s="422" t="str">
        <f>VLOOKUP($B1093,[1]DG!A:D,[1]DG!$D$2,)</f>
        <v>bộ</v>
      </c>
      <c r="H1093" s="435">
        <f t="shared" si="202"/>
        <v>0</v>
      </c>
      <c r="I1093" s="435">
        <f t="shared" si="202"/>
        <v>0</v>
      </c>
      <c r="J1093" s="435">
        <f t="shared" si="202"/>
        <v>0</v>
      </c>
      <c r="K1093" s="435">
        <f t="shared" si="202"/>
        <v>0</v>
      </c>
      <c r="L1093" s="435">
        <f t="shared" si="202"/>
        <v>0</v>
      </c>
      <c r="M1093" s="435">
        <f t="shared" si="202"/>
        <v>0</v>
      </c>
      <c r="N1093" s="435">
        <f t="shared" si="202"/>
        <v>0</v>
      </c>
      <c r="O1093" s="435">
        <f t="shared" si="202"/>
        <v>0</v>
      </c>
      <c r="P1093" s="435">
        <f t="shared" si="202"/>
        <v>0</v>
      </c>
      <c r="Q1093" s="435">
        <f t="shared" si="202"/>
        <v>0</v>
      </c>
      <c r="R1093" s="435">
        <f t="shared" si="202"/>
        <v>0</v>
      </c>
      <c r="S1093" s="442"/>
      <c r="T1093" s="432">
        <f t="shared" si="197"/>
        <v>0</v>
      </c>
    </row>
    <row r="1094" spans="1:20" ht="22.2" customHeight="1">
      <c r="A1094" s="451" t="s">
        <v>981</v>
      </c>
      <c r="B1094" s="424" t="s">
        <v>981</v>
      </c>
      <c r="C1094" s="465" t="str">
        <f t="shared" si="198"/>
        <v>x</v>
      </c>
      <c r="D1094" s="426"/>
      <c r="E1094" s="427"/>
      <c r="F1094" s="428" t="s">
        <v>985</v>
      </c>
      <c r="G1094" s="349" t="s">
        <v>67</v>
      </c>
      <c r="H1094" s="429">
        <f>SUM(I1094:O1094)</f>
        <v>1</v>
      </c>
      <c r="I1094" s="430"/>
      <c r="J1094" s="430"/>
      <c r="K1094" s="430">
        <f>IFERROR(HLOOKUP(B1094,[1]pp3p1m!$1:$3,3,0),0)</f>
        <v>1</v>
      </c>
      <c r="L1094" s="430">
        <f>IFERROR(HLOOKUP(chitiet!B1094,[1]pp1p!$1:$3,3,0),0)</f>
        <v>0</v>
      </c>
      <c r="M1094" s="430"/>
      <c r="N1094" s="430"/>
      <c r="O1094" s="430"/>
      <c r="P1094" s="429">
        <f>H1094+Q1094-R1094</f>
        <v>1</v>
      </c>
      <c r="Q1094" s="431"/>
      <c r="R1094" s="431"/>
      <c r="S1094" s="431"/>
      <c r="T1094" s="432">
        <f>IFERROR(HLOOKUP(B1094,[1]pp1p!$1:$3,3,0),0)+IFERROR(HLOOKUP(B1094,[1]pp3p1m!$1:$3,3,0),0)</f>
        <v>1</v>
      </c>
    </row>
    <row r="1095" spans="1:20" ht="22.2" hidden="1" customHeight="1">
      <c r="B1095" s="406" t="s">
        <v>314</v>
      </c>
      <c r="C1095" s="469" t="str">
        <f t="shared" si="198"/>
        <v>x</v>
      </c>
      <c r="D1095" s="440">
        <v>1</v>
      </c>
      <c r="E1095" s="422"/>
      <c r="F1095" s="441" t="str">
        <f>VLOOKUP($B1095,[1]DG!A:D,[1]DG!$C$2,)</f>
        <v>Xà composite 110x800x5 dài 2,4m</v>
      </c>
      <c r="G1095" s="422" t="str">
        <f>VLOOKUP($B1095,[1]DG!A:D,[1]DG!$D$2,)</f>
        <v>cái</v>
      </c>
      <c r="H1095" s="435">
        <f>$H$1094*$D1095</f>
        <v>1</v>
      </c>
      <c r="I1095" s="435">
        <f t="shared" ref="I1095:J1100" si="203">I$1042*$D1095</f>
        <v>0</v>
      </c>
      <c r="J1095" s="435">
        <f t="shared" si="203"/>
        <v>0</v>
      </c>
      <c r="K1095" s="435">
        <f t="shared" ref="K1095:K1100" si="204">K$1094*$D1095</f>
        <v>1</v>
      </c>
      <c r="L1095" s="435">
        <f t="shared" ref="L1095:L1100" si="205">L$1042*$D1095</f>
        <v>0</v>
      </c>
      <c r="M1095" s="435"/>
      <c r="N1095" s="435"/>
      <c r="O1095" s="435"/>
      <c r="P1095" s="435">
        <f t="shared" ref="P1095" si="206">$P$1094*D1095</f>
        <v>1</v>
      </c>
      <c r="Q1095" s="442"/>
      <c r="R1095" s="442"/>
      <c r="S1095" s="442"/>
      <c r="T1095" s="432">
        <f t="shared" si="197"/>
        <v>0</v>
      </c>
    </row>
    <row r="1096" spans="1:20" ht="22.2" hidden="1" customHeight="1">
      <c r="A1096" s="379"/>
      <c r="B1096" s="410" t="s">
        <v>261</v>
      </c>
      <c r="C1096" s="465" t="str">
        <f t="shared" si="198"/>
        <v xml:space="preserve"> </v>
      </c>
      <c r="D1096" s="453">
        <v>2.4</v>
      </c>
      <c r="E1096" s="422"/>
      <c r="F1096" s="441" t="str">
        <f>VLOOKUP($B1096,[1]DG!A:D,[1]DG!$C$2,)</f>
        <v>Xà composite 110x800x5</v>
      </c>
      <c r="G1096" s="422" t="str">
        <f>VLOOKUP($B1096,[1]DG!A:D,[1]DG!$D$2,)</f>
        <v>cái</v>
      </c>
      <c r="H1096" s="435"/>
      <c r="I1096" s="435">
        <f t="shared" si="203"/>
        <v>0</v>
      </c>
      <c r="J1096" s="435">
        <f t="shared" si="203"/>
        <v>0</v>
      </c>
      <c r="K1096" s="435">
        <f t="shared" si="204"/>
        <v>2.4</v>
      </c>
      <c r="L1096" s="435">
        <f t="shared" si="205"/>
        <v>0</v>
      </c>
      <c r="M1096" s="435"/>
      <c r="N1096" s="435"/>
      <c r="O1096" s="435"/>
      <c r="P1096" s="435"/>
      <c r="Q1096" s="442"/>
      <c r="R1096" s="442"/>
      <c r="S1096" s="442"/>
      <c r="T1096" s="432">
        <f t="shared" si="197"/>
        <v>0</v>
      </c>
    </row>
    <row r="1097" spans="1:20" ht="22.2" hidden="1" customHeight="1">
      <c r="B1097" s="406" t="s">
        <v>262</v>
      </c>
      <c r="C1097" s="465" t="str">
        <f t="shared" si="198"/>
        <v>x</v>
      </c>
      <c r="D1097" s="440">
        <v>2</v>
      </c>
      <c r="E1097" s="422"/>
      <c r="F1097" s="441" t="str">
        <f>VLOOKUP($B1097,[1]DG!A:D,[1]DG!$C$2,)</f>
        <v>Chống composite 40x10x920</v>
      </c>
      <c r="G1097" s="422" t="str">
        <f>VLOOKUP($B1097,[1]DG!A:D,[1]DG!$D$2,)</f>
        <v>cái</v>
      </c>
      <c r="H1097" s="435">
        <f>$H$1094*$D1097</f>
        <v>2</v>
      </c>
      <c r="I1097" s="435">
        <f t="shared" si="203"/>
        <v>0</v>
      </c>
      <c r="J1097" s="435">
        <f t="shared" si="203"/>
        <v>0</v>
      </c>
      <c r="K1097" s="435">
        <f t="shared" si="204"/>
        <v>2</v>
      </c>
      <c r="L1097" s="435">
        <f t="shared" si="205"/>
        <v>0</v>
      </c>
      <c r="M1097" s="435"/>
      <c r="N1097" s="435"/>
      <c r="O1097" s="435"/>
      <c r="P1097" s="435">
        <f t="shared" ref="P1097" si="207">$P$1094*D1097</f>
        <v>2</v>
      </c>
      <c r="Q1097" s="442"/>
      <c r="R1097" s="442"/>
      <c r="S1097" s="442"/>
      <c r="T1097" s="432">
        <f t="shared" si="197"/>
        <v>0</v>
      </c>
    </row>
    <row r="1098" spans="1:20" ht="22.2" hidden="1" customHeight="1">
      <c r="B1098" s="406" t="s">
        <v>287</v>
      </c>
      <c r="C1098" s="465" t="str">
        <f t="shared" si="198"/>
        <v>x</v>
      </c>
      <c r="D1098" s="440">
        <v>2</v>
      </c>
      <c r="E1098" s="422"/>
      <c r="F1098" s="441" t="str">
        <f>VLOOKUP($B1098,[1]DG!A:D,[1]DG!$C$2,)</f>
        <v>Boulon 16x150+ 2 long đền vuông D18-50x50x3/Zn</v>
      </c>
      <c r="G1098" s="422" t="str">
        <f>VLOOKUP($B1098,[1]DG!A:D,[1]DG!$D$2,)</f>
        <v>bộ</v>
      </c>
      <c r="H1098" s="435">
        <f>$H$1094*$D1098</f>
        <v>2</v>
      </c>
      <c r="I1098" s="435">
        <f t="shared" si="203"/>
        <v>0</v>
      </c>
      <c r="J1098" s="435">
        <f t="shared" si="203"/>
        <v>0</v>
      </c>
      <c r="K1098" s="435">
        <f t="shared" si="204"/>
        <v>2</v>
      </c>
      <c r="L1098" s="435">
        <f t="shared" si="205"/>
        <v>0</v>
      </c>
      <c r="M1098" s="435"/>
      <c r="N1098" s="435"/>
      <c r="O1098" s="435"/>
      <c r="P1098" s="435">
        <f>$P$1094*D1098</f>
        <v>2</v>
      </c>
      <c r="Q1098" s="442"/>
      <c r="R1098" s="442"/>
      <c r="S1098" s="442"/>
      <c r="T1098" s="432">
        <f t="shared" ref="T1098" si="208">IFERROR(HLOOKUP(B1098,BangKeTru,3,0),0)</f>
        <v>0</v>
      </c>
    </row>
    <row r="1099" spans="1:20" ht="22.2" hidden="1" customHeight="1">
      <c r="B1099" s="406" t="s">
        <v>237</v>
      </c>
      <c r="C1099" s="465" t="str">
        <f t="shared" si="198"/>
        <v>x</v>
      </c>
      <c r="D1099" s="440">
        <v>2</v>
      </c>
      <c r="E1099" s="422"/>
      <c r="F1099" s="441" t="str">
        <f>VLOOKUP($B1099,[1]DG!A:D,[1]DG!$C$2,)</f>
        <v>Boulon 16x250+ 2 long đền vuông D18-50x50x3/Zn</v>
      </c>
      <c r="G1099" s="422" t="str">
        <f>VLOOKUP($B1099,[1]DG!A:D,[1]DG!$D$2,)</f>
        <v>bộ</v>
      </c>
      <c r="H1099" s="435">
        <f>$H$1094*$D1099</f>
        <v>2</v>
      </c>
      <c r="I1099" s="435">
        <f t="shared" si="203"/>
        <v>0</v>
      </c>
      <c r="J1099" s="435">
        <f t="shared" si="203"/>
        <v>0</v>
      </c>
      <c r="K1099" s="435">
        <f t="shared" si="204"/>
        <v>2</v>
      </c>
      <c r="L1099" s="435">
        <f t="shared" si="205"/>
        <v>0</v>
      </c>
      <c r="M1099" s="435"/>
      <c r="N1099" s="435"/>
      <c r="O1099" s="435"/>
      <c r="P1099" s="435">
        <f>$P$1094*D1099</f>
        <v>2</v>
      </c>
      <c r="Q1099" s="442"/>
      <c r="R1099" s="442"/>
      <c r="S1099" s="442"/>
      <c r="T1099" s="432">
        <f t="shared" si="197"/>
        <v>0</v>
      </c>
    </row>
    <row r="1100" spans="1:20" ht="22.2" hidden="1" customHeight="1">
      <c r="B1100" s="406" t="s">
        <v>265</v>
      </c>
      <c r="C1100" s="465" t="str">
        <f t="shared" si="198"/>
        <v>x</v>
      </c>
      <c r="D1100" s="440">
        <v>2</v>
      </c>
      <c r="E1100" s="422"/>
      <c r="F1100" s="441" t="str">
        <f>VLOOKUP($B1100,[1]DG!A:D,[1]DG!$C$2,)</f>
        <v>Boulon 16x400+ 2 long đền vuông D18-50x50x3/Zn</v>
      </c>
      <c r="G1100" s="422" t="str">
        <f>VLOOKUP($B1100,[1]DG!A:D,[1]DG!$D$2,)</f>
        <v>bộ</v>
      </c>
      <c r="H1100" s="435">
        <f>$H$1094*$D1100</f>
        <v>2</v>
      </c>
      <c r="I1100" s="435">
        <f t="shared" si="203"/>
        <v>0</v>
      </c>
      <c r="J1100" s="435">
        <f t="shared" si="203"/>
        <v>0</v>
      </c>
      <c r="K1100" s="435">
        <f t="shared" si="204"/>
        <v>2</v>
      </c>
      <c r="L1100" s="435">
        <f t="shared" si="205"/>
        <v>0</v>
      </c>
      <c r="M1100" s="435"/>
      <c r="N1100" s="435"/>
      <c r="O1100" s="435"/>
      <c r="P1100" s="435">
        <f>$P$1094*D1100</f>
        <v>2</v>
      </c>
      <c r="Q1100" s="442"/>
      <c r="R1100" s="442"/>
      <c r="S1100" s="442"/>
      <c r="T1100" s="432">
        <f t="shared" si="197"/>
        <v>0</v>
      </c>
    </row>
    <row r="1101" spans="1:20" ht="22.2" hidden="1" customHeight="1">
      <c r="B1101" s="406" t="s">
        <v>126</v>
      </c>
      <c r="C1101" s="465" t="str">
        <f t="shared" si="198"/>
        <v>x</v>
      </c>
      <c r="D1101" s="440">
        <v>1</v>
      </c>
      <c r="E1101" s="422"/>
      <c r="F1101" s="434" t="str">
        <f>VLOOKUP($B1101,[1]DG!A:D,[1]DG!$C$2,)</f>
        <v>Lắp xà đỡ ≤ 25kg</v>
      </c>
      <c r="G1101" s="422" t="str">
        <f>VLOOKUP($B1101,[1]DG!A:D,[1]DG!$D$2,)</f>
        <v>bộ</v>
      </c>
      <c r="H1101" s="435">
        <f>$H$1094*$D1101</f>
        <v>1</v>
      </c>
      <c r="I1101" s="435"/>
      <c r="J1101" s="435"/>
      <c r="K1101" s="435"/>
      <c r="L1101" s="435"/>
      <c r="M1101" s="435"/>
      <c r="N1101" s="435"/>
      <c r="O1101" s="435"/>
      <c r="P1101" s="435">
        <f>$P$1094*D1101</f>
        <v>1</v>
      </c>
      <c r="Q1101" s="442"/>
      <c r="R1101" s="442"/>
      <c r="S1101" s="442"/>
      <c r="T1101" s="432">
        <f t="shared" si="197"/>
        <v>0</v>
      </c>
    </row>
    <row r="1102" spans="1:20" ht="22.2" hidden="1" customHeight="1" collapsed="1">
      <c r="A1102" s="458" t="s">
        <v>986</v>
      </c>
      <c r="B1102" s="424" t="s">
        <v>986</v>
      </c>
      <c r="C1102" s="469" t="str">
        <f t="shared" si="198"/>
        <v xml:space="preserve"> </v>
      </c>
      <c r="D1102" s="426"/>
      <c r="E1102" s="427"/>
      <c r="F1102" s="428" t="s">
        <v>987</v>
      </c>
      <c r="G1102" s="349" t="s">
        <v>67</v>
      </c>
      <c r="H1102" s="429">
        <f>SUM(I1102:O1102)</f>
        <v>0</v>
      </c>
      <c r="I1102" s="430"/>
      <c r="J1102" s="430"/>
      <c r="K1102" s="430">
        <f>IFERROR(HLOOKUP(B1102,[1]pp3p1m!$1:$3,3,0),0)</f>
        <v>0</v>
      </c>
      <c r="L1102" s="430">
        <f>IFERROR(HLOOKUP(chitiet!B1102,[1]pp1p!$1:$3,3,0),0)</f>
        <v>0</v>
      </c>
      <c r="M1102" s="430"/>
      <c r="N1102" s="430"/>
      <c r="O1102" s="430"/>
      <c r="P1102" s="430">
        <f>H1102+Q1102-R1102</f>
        <v>0</v>
      </c>
      <c r="Q1102" s="431"/>
      <c r="R1102" s="431"/>
      <c r="S1102" s="431"/>
      <c r="T1102" s="432">
        <f>IFERROR(HLOOKUP(B1102,[1]pp1p!$1:$3,3,0),0)+IFERROR(HLOOKUP(B1102,[1]pp3p1m!$1:$3,3,0),0)</f>
        <v>0</v>
      </c>
    </row>
    <row r="1103" spans="1:20" ht="22.2" hidden="1" customHeight="1">
      <c r="A1103" s="379"/>
      <c r="B1103" s="410" t="s">
        <v>482</v>
      </c>
      <c r="C1103" s="469" t="str">
        <f t="shared" si="198"/>
        <v xml:space="preserve"> </v>
      </c>
      <c r="D1103" s="440">
        <v>1</v>
      </c>
      <c r="E1103" s="422"/>
      <c r="F1103" s="441" t="str">
        <f>VLOOKUP($B1103,[1]DG!A:D,[1]DG!$C$2,)</f>
        <v>Boulon mắt 16x250+ 2 long đền vuông D18-50x50x3/Zn</v>
      </c>
      <c r="G1103" s="422" t="str">
        <f>VLOOKUP($B1103,[1]DG!A:D,[1]DG!$D$2,)</f>
        <v>bộ</v>
      </c>
      <c r="H1103" s="435">
        <f t="shared" ref="H1103:N1108" si="209">H$1102*$D1103</f>
        <v>0</v>
      </c>
      <c r="I1103" s="435">
        <f t="shared" si="209"/>
        <v>0</v>
      </c>
      <c r="J1103" s="435">
        <f t="shared" si="209"/>
        <v>0</v>
      </c>
      <c r="K1103" s="435">
        <f t="shared" si="209"/>
        <v>0</v>
      </c>
      <c r="L1103" s="435">
        <f t="shared" si="209"/>
        <v>0</v>
      </c>
      <c r="M1103" s="435">
        <f t="shared" si="209"/>
        <v>0</v>
      </c>
      <c r="N1103" s="435">
        <f t="shared" si="209"/>
        <v>0</v>
      </c>
      <c r="O1103" s="435"/>
      <c r="P1103" s="435">
        <f t="shared" ref="P1103:P1109" si="210">$P$1102*D1103</f>
        <v>0</v>
      </c>
      <c r="Q1103" s="442"/>
      <c r="R1103" s="442"/>
      <c r="S1103" s="442"/>
      <c r="T1103" s="432">
        <f t="shared" si="197"/>
        <v>0</v>
      </c>
    </row>
    <row r="1104" spans="1:20" ht="22.2" hidden="1" customHeight="1">
      <c r="A1104" s="379"/>
      <c r="B1104" s="410" t="s">
        <v>988</v>
      </c>
      <c r="C1104" s="469" t="str">
        <f t="shared" si="198"/>
        <v xml:space="preserve"> </v>
      </c>
      <c r="D1104" s="440">
        <v>1</v>
      </c>
      <c r="E1104" s="422"/>
      <c r="F1104" s="441" t="str">
        <f>VLOOKUP($B1104,[1]DG!A:D,[1]DG!$C$2,)</f>
        <v>Sứ chằng</v>
      </c>
      <c r="G1104" s="422" t="str">
        <f>VLOOKUP($B1104,[1]DG!A:D,[1]DG!$D$2,)</f>
        <v>cái</v>
      </c>
      <c r="H1104" s="435">
        <f t="shared" si="209"/>
        <v>0</v>
      </c>
      <c r="I1104" s="435">
        <f t="shared" si="209"/>
        <v>0</v>
      </c>
      <c r="J1104" s="435">
        <f t="shared" si="209"/>
        <v>0</v>
      </c>
      <c r="K1104" s="435">
        <f t="shared" si="209"/>
        <v>0</v>
      </c>
      <c r="L1104" s="435">
        <f t="shared" si="209"/>
        <v>0</v>
      </c>
      <c r="M1104" s="435">
        <f t="shared" si="209"/>
        <v>0</v>
      </c>
      <c r="N1104" s="435">
        <f t="shared" si="209"/>
        <v>0</v>
      </c>
      <c r="O1104" s="435"/>
      <c r="P1104" s="435">
        <f t="shared" si="210"/>
        <v>0</v>
      </c>
      <c r="Q1104" s="442"/>
      <c r="R1104" s="442"/>
      <c r="S1104" s="442"/>
      <c r="T1104" s="432">
        <f t="shared" si="197"/>
        <v>0</v>
      </c>
    </row>
    <row r="1105" spans="1:20" ht="22.2" hidden="1" customHeight="1">
      <c r="A1105" s="379"/>
      <c r="B1105" s="410" t="s">
        <v>989</v>
      </c>
      <c r="C1105" s="469" t="str">
        <f t="shared" si="198"/>
        <v xml:space="preserve"> </v>
      </c>
      <c r="D1105" s="440">
        <v>4</v>
      </c>
      <c r="E1105" s="422"/>
      <c r="F1105" s="441" t="str">
        <f>VLOOKUP($B1105,[1]DG!A:D,[1]DG!$C$2,)</f>
        <v>Kẹp cáp 3 boulon</v>
      </c>
      <c r="G1105" s="422" t="str">
        <f>VLOOKUP($B1105,[1]DG!A:D,[1]DG!$D$2,)</f>
        <v>cái</v>
      </c>
      <c r="H1105" s="435">
        <f t="shared" si="209"/>
        <v>0</v>
      </c>
      <c r="I1105" s="435">
        <f t="shared" si="209"/>
        <v>0</v>
      </c>
      <c r="J1105" s="435">
        <f t="shared" si="209"/>
        <v>0</v>
      </c>
      <c r="K1105" s="435">
        <f t="shared" si="209"/>
        <v>0</v>
      </c>
      <c r="L1105" s="435">
        <f t="shared" si="209"/>
        <v>0</v>
      </c>
      <c r="M1105" s="435">
        <f t="shared" si="209"/>
        <v>0</v>
      </c>
      <c r="N1105" s="435">
        <f t="shared" si="209"/>
        <v>0</v>
      </c>
      <c r="O1105" s="435"/>
      <c r="P1105" s="435">
        <f t="shared" si="210"/>
        <v>0</v>
      </c>
      <c r="Q1105" s="442"/>
      <c r="R1105" s="442"/>
      <c r="S1105" s="442"/>
      <c r="T1105" s="432">
        <f t="shared" si="197"/>
        <v>0</v>
      </c>
    </row>
    <row r="1106" spans="1:20" ht="22.2" hidden="1" customHeight="1">
      <c r="A1106" s="379"/>
      <c r="B1106" s="410" t="s">
        <v>990</v>
      </c>
      <c r="C1106" s="469" t="str">
        <f t="shared" si="198"/>
        <v xml:space="preserve"> </v>
      </c>
      <c r="D1106" s="439">
        <v>5.53</v>
      </c>
      <c r="E1106" s="422"/>
      <c r="F1106" s="441" t="str">
        <f>VLOOKUP($B1106,[1]DG!A:D,[1]DG!$C$2,)</f>
        <v>Cáp thép 3/8"</v>
      </c>
      <c r="G1106" s="422" t="str">
        <f>VLOOKUP($B1106,[1]DG!A:D,[1]DG!$D$2,)</f>
        <v>kg</v>
      </c>
      <c r="H1106" s="435">
        <f t="shared" si="209"/>
        <v>0</v>
      </c>
      <c r="I1106" s="435">
        <f t="shared" si="209"/>
        <v>0</v>
      </c>
      <c r="J1106" s="435">
        <f t="shared" si="209"/>
        <v>0</v>
      </c>
      <c r="K1106" s="435">
        <f t="shared" si="209"/>
        <v>0</v>
      </c>
      <c r="L1106" s="435">
        <f t="shared" si="209"/>
        <v>0</v>
      </c>
      <c r="M1106" s="435">
        <f t="shared" si="209"/>
        <v>0</v>
      </c>
      <c r="N1106" s="435">
        <f t="shared" si="209"/>
        <v>0</v>
      </c>
      <c r="O1106" s="435"/>
      <c r="P1106" s="435">
        <f t="shared" si="210"/>
        <v>0</v>
      </c>
      <c r="Q1106" s="442"/>
      <c r="R1106" s="442"/>
      <c r="S1106" s="442"/>
      <c r="T1106" s="432">
        <f t="shared" si="197"/>
        <v>0</v>
      </c>
    </row>
    <row r="1107" spans="1:20" ht="22.2" hidden="1" customHeight="1">
      <c r="A1107" s="379"/>
      <c r="B1107" s="410" t="s">
        <v>991</v>
      </c>
      <c r="C1107" s="469" t="str">
        <f t="shared" si="198"/>
        <v xml:space="preserve"> </v>
      </c>
      <c r="D1107" s="440">
        <v>2</v>
      </c>
      <c r="E1107" s="422"/>
      <c r="F1107" s="441" t="str">
        <f>VLOOKUP($B1107,[1]DG!A:D,[1]DG!$C$2,)</f>
        <v>Yếm cáp dày 2mm</v>
      </c>
      <c r="G1107" s="422" t="str">
        <f>VLOOKUP($B1107,[1]DG!A:D,[1]DG!$D$2,)</f>
        <v>cái</v>
      </c>
      <c r="H1107" s="435">
        <f t="shared" si="209"/>
        <v>0</v>
      </c>
      <c r="I1107" s="435">
        <f t="shared" si="209"/>
        <v>0</v>
      </c>
      <c r="J1107" s="435">
        <f t="shared" si="209"/>
        <v>0</v>
      </c>
      <c r="K1107" s="435">
        <f t="shared" si="209"/>
        <v>0</v>
      </c>
      <c r="L1107" s="435">
        <f t="shared" si="209"/>
        <v>0</v>
      </c>
      <c r="M1107" s="435">
        <f t="shared" si="209"/>
        <v>0</v>
      </c>
      <c r="N1107" s="435">
        <f t="shared" si="209"/>
        <v>0</v>
      </c>
      <c r="O1107" s="435"/>
      <c r="P1107" s="435">
        <f t="shared" si="210"/>
        <v>0</v>
      </c>
      <c r="Q1107" s="442"/>
      <c r="R1107" s="442"/>
      <c r="S1107" s="442"/>
      <c r="T1107" s="432">
        <f t="shared" si="197"/>
        <v>0</v>
      </c>
    </row>
    <row r="1108" spans="1:20" ht="22.2" hidden="1" customHeight="1">
      <c r="A1108" s="379"/>
      <c r="B1108" s="410" t="s">
        <v>992</v>
      </c>
      <c r="C1108" s="469" t="str">
        <f t="shared" si="198"/>
        <v xml:space="preserve"> </v>
      </c>
      <c r="D1108" s="440">
        <v>1</v>
      </c>
      <c r="E1108" s="422"/>
      <c r="F1108" s="441" t="str">
        <f>VLOOKUP($B1108,[1]DG!A:D,[1]DG!$C$2,)</f>
        <v>Máng che dây chằng dày 1,6mm</v>
      </c>
      <c r="G1108" s="422" t="str">
        <f>VLOOKUP($B1108,[1]DG!A:D,[1]DG!$D$2,)</f>
        <v>cái</v>
      </c>
      <c r="H1108" s="435">
        <f t="shared" si="209"/>
        <v>0</v>
      </c>
      <c r="I1108" s="435">
        <f t="shared" si="209"/>
        <v>0</v>
      </c>
      <c r="J1108" s="435">
        <f t="shared" si="209"/>
        <v>0</v>
      </c>
      <c r="K1108" s="435">
        <f t="shared" si="209"/>
        <v>0</v>
      </c>
      <c r="L1108" s="435">
        <f t="shared" si="209"/>
        <v>0</v>
      </c>
      <c r="M1108" s="435">
        <f t="shared" si="209"/>
        <v>0</v>
      </c>
      <c r="N1108" s="435">
        <f t="shared" si="209"/>
        <v>0</v>
      </c>
      <c r="O1108" s="435"/>
      <c r="P1108" s="435">
        <f t="shared" si="210"/>
        <v>0</v>
      </c>
      <c r="Q1108" s="442"/>
      <c r="R1108" s="442"/>
      <c r="S1108" s="442"/>
      <c r="T1108" s="432">
        <f t="shared" si="197"/>
        <v>0</v>
      </c>
    </row>
    <row r="1109" spans="1:20" ht="22.2" hidden="1" customHeight="1">
      <c r="A1109" s="379"/>
      <c r="B1109" s="410" t="s">
        <v>588</v>
      </c>
      <c r="C1109" s="469" t="str">
        <f t="shared" si="198"/>
        <v xml:space="preserve"> </v>
      </c>
      <c r="D1109" s="440">
        <f>D1103</f>
        <v>1</v>
      </c>
      <c r="E1109" s="422" t="str">
        <f>VLOOKUP($B1109,[1]DG!A:D,[1]DG!$B$2,)</f>
        <v>06.3241</v>
      </c>
      <c r="F1109" s="434" t="str">
        <f>VLOOKUP($B1109,[1]DG!A:D,[1]DG!$C$2,)</f>
        <v>Lắp bộ dây néo</v>
      </c>
      <c r="G1109" s="422" t="str">
        <f>VLOOKUP($B1109,[1]DG!A:D,[1]DG!$D$2,)</f>
        <v>bộ</v>
      </c>
      <c r="H1109" s="435">
        <f>H$1102*$D1109</f>
        <v>0</v>
      </c>
      <c r="I1109" s="435"/>
      <c r="J1109" s="435"/>
      <c r="K1109" s="435"/>
      <c r="L1109" s="435"/>
      <c r="M1109" s="435"/>
      <c r="N1109" s="435"/>
      <c r="O1109" s="435"/>
      <c r="P1109" s="435">
        <f t="shared" si="210"/>
        <v>0</v>
      </c>
      <c r="Q1109" s="437"/>
      <c r="R1109" s="437"/>
      <c r="S1109" s="437"/>
      <c r="T1109" s="432">
        <f t="shared" si="197"/>
        <v>0</v>
      </c>
    </row>
    <row r="1110" spans="1:20" ht="22.2" hidden="1" customHeight="1">
      <c r="A1110" s="379"/>
      <c r="B1110" s="438" t="s">
        <v>993</v>
      </c>
      <c r="C1110" s="469" t="str">
        <f t="shared" si="198"/>
        <v xml:space="preserve"> </v>
      </c>
      <c r="D1110" s="439"/>
      <c r="E1110" s="422" t="str">
        <f>VLOOKUP($B1110,[1]DG!A:C,2,)</f>
        <v>02.1421</v>
      </c>
      <c r="F1110" s="434" t="str">
        <f>VLOOKUP($B1110,[1]DG!A:C,3,)</f>
        <v>V/c phụ kiện vào vị trí (cự ly &lt;=100m)</v>
      </c>
      <c r="G1110" s="422" t="str">
        <f>VLOOKUP($B1110,[1]DG!A:D,4,0)</f>
        <v>tấn</v>
      </c>
      <c r="H1110" s="435"/>
      <c r="I1110" s="435"/>
      <c r="J1110" s="435"/>
      <c r="K1110" s="435"/>
      <c r="L1110" s="435"/>
      <c r="M1110" s="435"/>
      <c r="N1110" s="435"/>
      <c r="O1110" s="435"/>
      <c r="P1110" s="435"/>
      <c r="Q1110" s="437"/>
      <c r="R1110" s="437"/>
      <c r="S1110" s="437"/>
      <c r="T1110" s="432">
        <f t="shared" si="197"/>
        <v>0</v>
      </c>
    </row>
    <row r="1111" spans="1:20" ht="22.2" hidden="1" customHeight="1">
      <c r="A1111" s="458" t="s">
        <v>994</v>
      </c>
      <c r="B1111" s="424" t="s">
        <v>994</v>
      </c>
      <c r="C1111" s="469" t="str">
        <f t="shared" si="198"/>
        <v xml:space="preserve"> </v>
      </c>
      <c r="D1111" s="426"/>
      <c r="E1111" s="427"/>
      <c r="F1111" s="428" t="s">
        <v>995</v>
      </c>
      <c r="G1111" s="349" t="s">
        <v>67</v>
      </c>
      <c r="H1111" s="429">
        <f>SUM(I1111:O1111)</f>
        <v>0</v>
      </c>
      <c r="I1111" s="430"/>
      <c r="J1111" s="430"/>
      <c r="K1111" s="430">
        <f>IFERROR(HLOOKUP(B1111,[1]pp3p1m!$1:$3,3,0),0)</f>
        <v>0</v>
      </c>
      <c r="L1111" s="430">
        <f>IFERROR(HLOOKUP(chitiet!B1111,[1]pp1p!$1:$3,3,0),0)</f>
        <v>0</v>
      </c>
      <c r="M1111" s="430"/>
      <c r="N1111" s="430"/>
      <c r="O1111" s="430"/>
      <c r="P1111" s="430">
        <f>H1111+Q1111-R1111</f>
        <v>0</v>
      </c>
      <c r="Q1111" s="431"/>
      <c r="R1111" s="431"/>
      <c r="S1111" s="431"/>
      <c r="T1111" s="432">
        <f>IFERROR(HLOOKUP(B1111,[1]pp1p!$1:$3,3,0),0)+IFERROR(HLOOKUP(B1111,[1]pp3p1m!$1:$3,3,0),0)</f>
        <v>0</v>
      </c>
    </row>
    <row r="1112" spans="1:20" ht="22.2" hidden="1" customHeight="1">
      <c r="A1112" s="379"/>
      <c r="B1112" s="410" t="s">
        <v>588</v>
      </c>
      <c r="C1112" s="469" t="str">
        <f t="shared" si="198"/>
        <v xml:space="preserve"> </v>
      </c>
      <c r="D1112" s="440">
        <v>1</v>
      </c>
      <c r="E1112" s="422"/>
      <c r="F1112" s="434" t="s">
        <v>589</v>
      </c>
      <c r="G1112" s="422" t="str">
        <f>VLOOKUP($B1112,[1]DG!A:D,[1]DG!$D$2,)</f>
        <v>bộ</v>
      </c>
      <c r="H1112" s="435">
        <f t="shared" ref="H1112:N1114" si="211">H$1111*$D1112</f>
        <v>0</v>
      </c>
      <c r="I1112" s="435">
        <f t="shared" si="211"/>
        <v>0</v>
      </c>
      <c r="J1112" s="435">
        <f t="shared" si="211"/>
        <v>0</v>
      </c>
      <c r="K1112" s="435">
        <f t="shared" si="211"/>
        <v>0</v>
      </c>
      <c r="L1112" s="435">
        <f t="shared" si="211"/>
        <v>0</v>
      </c>
      <c r="M1112" s="435">
        <f t="shared" si="211"/>
        <v>0</v>
      </c>
      <c r="N1112" s="435">
        <f t="shared" si="211"/>
        <v>0</v>
      </c>
      <c r="O1112" s="435"/>
      <c r="P1112" s="435"/>
      <c r="Q1112" s="442"/>
      <c r="R1112" s="442"/>
      <c r="S1112" s="442"/>
      <c r="T1112" s="432">
        <f t="shared" si="197"/>
        <v>0</v>
      </c>
    </row>
    <row r="1113" spans="1:20" ht="22.2" hidden="1" customHeight="1">
      <c r="A1113" s="379"/>
      <c r="B1113" s="410" t="s">
        <v>454</v>
      </c>
      <c r="C1113" s="469" t="str">
        <f t="shared" si="198"/>
        <v xml:space="preserve"> </v>
      </c>
      <c r="D1113" s="440">
        <v>1</v>
      </c>
      <c r="E1113" s="422"/>
      <c r="F1113" s="434" t="s">
        <v>455</v>
      </c>
      <c r="G1113" s="422" t="str">
        <f>VLOOKUP($B1113,[1]DG!A:D,[1]DG!$D$2,)</f>
        <v>bộ</v>
      </c>
      <c r="H1113" s="435">
        <f t="shared" si="211"/>
        <v>0</v>
      </c>
      <c r="I1113" s="435">
        <f t="shared" si="211"/>
        <v>0</v>
      </c>
      <c r="J1113" s="435">
        <f t="shared" si="211"/>
        <v>0</v>
      </c>
      <c r="K1113" s="435">
        <f t="shared" si="211"/>
        <v>0</v>
      </c>
      <c r="L1113" s="435">
        <f t="shared" si="211"/>
        <v>0</v>
      </c>
      <c r="M1113" s="435">
        <f t="shared" si="211"/>
        <v>0</v>
      </c>
      <c r="N1113" s="435">
        <f t="shared" si="211"/>
        <v>0</v>
      </c>
      <c r="O1113" s="435"/>
      <c r="P1113" s="435"/>
      <c r="Q1113" s="442"/>
      <c r="R1113" s="442"/>
      <c r="S1113" s="442"/>
      <c r="T1113" s="432">
        <f t="shared" si="197"/>
        <v>0</v>
      </c>
    </row>
    <row r="1114" spans="1:20" ht="22.2" hidden="1" customHeight="1">
      <c r="A1114" s="379"/>
      <c r="B1114" s="438" t="s">
        <v>993</v>
      </c>
      <c r="C1114" s="469" t="str">
        <f t="shared" si="198"/>
        <v xml:space="preserve"> </v>
      </c>
      <c r="D1114" s="439">
        <v>0.01</v>
      </c>
      <c r="E1114" s="422" t="str">
        <f>VLOOKUP($B1114,[1]DG!A:C,2,)</f>
        <v>02.1421</v>
      </c>
      <c r="F1114" s="434" t="str">
        <f>VLOOKUP($B1114,[1]DG!A:C,3,)</f>
        <v>V/c phụ kiện vào vị trí (cự ly &lt;=100m)</v>
      </c>
      <c r="G1114" s="422" t="str">
        <f>VLOOKUP($B1114,[1]DG!A:D,4,0)</f>
        <v>tấn</v>
      </c>
      <c r="H1114" s="435">
        <f t="shared" si="211"/>
        <v>0</v>
      </c>
      <c r="I1114" s="435">
        <f t="shared" si="211"/>
        <v>0</v>
      </c>
      <c r="J1114" s="435">
        <f t="shared" si="211"/>
        <v>0</v>
      </c>
      <c r="K1114" s="435">
        <f t="shared" si="211"/>
        <v>0</v>
      </c>
      <c r="L1114" s="435">
        <f t="shared" si="211"/>
        <v>0</v>
      </c>
      <c r="M1114" s="435">
        <f t="shared" si="211"/>
        <v>0</v>
      </c>
      <c r="N1114" s="435">
        <f t="shared" si="211"/>
        <v>0</v>
      </c>
      <c r="O1114" s="435"/>
      <c r="P1114" s="435"/>
      <c r="Q1114" s="442"/>
      <c r="R1114" s="442"/>
      <c r="S1114" s="442"/>
      <c r="T1114" s="432">
        <f t="shared" si="197"/>
        <v>0</v>
      </c>
    </row>
    <row r="1115" spans="1:20" ht="22.2" hidden="1" customHeight="1">
      <c r="A1115" s="458" t="s">
        <v>996</v>
      </c>
      <c r="B1115" s="424" t="s">
        <v>996</v>
      </c>
      <c r="C1115" s="469" t="str">
        <f t="shared" si="198"/>
        <v xml:space="preserve"> </v>
      </c>
      <c r="D1115" s="426"/>
      <c r="E1115" s="427"/>
      <c r="F1115" s="428" t="s">
        <v>997</v>
      </c>
      <c r="G1115" s="349" t="s">
        <v>67</v>
      </c>
      <c r="H1115" s="429">
        <f>SUM(I1115:O1115)</f>
        <v>0</v>
      </c>
      <c r="I1115" s="430"/>
      <c r="J1115" s="430"/>
      <c r="K1115" s="430">
        <f>IFERROR(HLOOKUP(B1115,[1]pp3p1m!$1:$3,3,0),0)</f>
        <v>0</v>
      </c>
      <c r="L1115" s="430">
        <f>IFERROR(HLOOKUP(chitiet!B1115,[1]pp1p!$1:$3,3,0),0)</f>
        <v>0</v>
      </c>
      <c r="M1115" s="430"/>
      <c r="N1115" s="430"/>
      <c r="O1115" s="430"/>
      <c r="P1115" s="430">
        <f>H1115+Q1115-R1115</f>
        <v>0</v>
      </c>
      <c r="Q1115" s="431"/>
      <c r="R1115" s="431"/>
      <c r="S1115" s="431"/>
      <c r="T1115" s="432">
        <f>IFERROR(HLOOKUP(B1115,[1]pp1p!$1:$3,3,0),0)+IFERROR(HLOOKUP(B1115,[1]pp3p1m!$1:$3,3,0),0)</f>
        <v>0</v>
      </c>
    </row>
    <row r="1116" spans="1:20" ht="22.2" hidden="1" customHeight="1">
      <c r="A1116" s="379"/>
      <c r="B1116" s="410" t="s">
        <v>482</v>
      </c>
      <c r="C1116" s="469" t="str">
        <f t="shared" si="198"/>
        <v xml:space="preserve"> </v>
      </c>
      <c r="D1116" s="440">
        <v>1</v>
      </c>
      <c r="E1116" s="422"/>
      <c r="F1116" s="441" t="str">
        <f>VLOOKUP($B1116,[1]DG!A:D,[1]DG!$C$2,)</f>
        <v>Boulon mắt 16x250+ 2 long đền vuông D18-50x50x3/Zn</v>
      </c>
      <c r="G1116" s="422" t="str">
        <f>VLOOKUP($B1116,[1]DG!A:D,[1]DG!$D$2,)</f>
        <v>bộ</v>
      </c>
      <c r="H1116" s="435">
        <f t="shared" ref="H1116:N1122" si="212">H$1115*$D1116</f>
        <v>0</v>
      </c>
      <c r="I1116" s="435">
        <f t="shared" si="212"/>
        <v>0</v>
      </c>
      <c r="J1116" s="435">
        <f t="shared" si="212"/>
        <v>0</v>
      </c>
      <c r="K1116" s="435">
        <f t="shared" si="212"/>
        <v>0</v>
      </c>
      <c r="L1116" s="435">
        <f t="shared" si="212"/>
        <v>0</v>
      </c>
      <c r="M1116" s="435">
        <f t="shared" si="212"/>
        <v>0</v>
      </c>
      <c r="N1116" s="435">
        <f t="shared" si="212"/>
        <v>0</v>
      </c>
      <c r="O1116" s="435"/>
      <c r="P1116" s="435"/>
      <c r="Q1116" s="442"/>
      <c r="R1116" s="442"/>
      <c r="S1116" s="442"/>
      <c r="T1116" s="432">
        <f t="shared" si="197"/>
        <v>0</v>
      </c>
    </row>
    <row r="1117" spans="1:20" ht="22.2" hidden="1" customHeight="1">
      <c r="A1117" s="379"/>
      <c r="B1117" s="410" t="s">
        <v>988</v>
      </c>
      <c r="C1117" s="469" t="str">
        <f t="shared" si="198"/>
        <v xml:space="preserve"> </v>
      </c>
      <c r="D1117" s="440">
        <v>1</v>
      </c>
      <c r="E1117" s="422"/>
      <c r="F1117" s="441" t="str">
        <f>VLOOKUP($B1117,[1]DG!A:D,[1]DG!$C$2,)</f>
        <v>Sứ chằng</v>
      </c>
      <c r="G1117" s="422" t="str">
        <f>VLOOKUP($B1117,[1]DG!A:D,[1]DG!$D$2,)</f>
        <v>cái</v>
      </c>
      <c r="H1117" s="435">
        <f t="shared" si="212"/>
        <v>0</v>
      </c>
      <c r="I1117" s="435">
        <f t="shared" si="212"/>
        <v>0</v>
      </c>
      <c r="J1117" s="435">
        <f t="shared" si="212"/>
        <v>0</v>
      </c>
      <c r="K1117" s="435">
        <f t="shared" si="212"/>
        <v>0</v>
      </c>
      <c r="L1117" s="435">
        <f t="shared" si="212"/>
        <v>0</v>
      </c>
      <c r="M1117" s="435">
        <f t="shared" si="212"/>
        <v>0</v>
      </c>
      <c r="N1117" s="435">
        <f t="shared" si="212"/>
        <v>0</v>
      </c>
      <c r="O1117" s="435"/>
      <c r="P1117" s="435"/>
      <c r="Q1117" s="442"/>
      <c r="R1117" s="442"/>
      <c r="S1117" s="442"/>
      <c r="T1117" s="432">
        <f t="shared" si="197"/>
        <v>0</v>
      </c>
    </row>
    <row r="1118" spans="1:20" ht="22.2" hidden="1" customHeight="1">
      <c r="A1118" s="379"/>
      <c r="B1118" s="410" t="s">
        <v>989</v>
      </c>
      <c r="C1118" s="469" t="str">
        <f t="shared" si="198"/>
        <v xml:space="preserve"> </v>
      </c>
      <c r="D1118" s="440">
        <v>4</v>
      </c>
      <c r="E1118" s="422"/>
      <c r="F1118" s="441" t="str">
        <f>VLOOKUP($B1118,[1]DG!A:D,[1]DG!$C$2,)</f>
        <v>Kẹp cáp 3 boulon</v>
      </c>
      <c r="G1118" s="422" t="str">
        <f>VLOOKUP($B1118,[1]DG!A:D,[1]DG!$D$2,)</f>
        <v>cái</v>
      </c>
      <c r="H1118" s="435">
        <f t="shared" si="212"/>
        <v>0</v>
      </c>
      <c r="I1118" s="435">
        <f t="shared" si="212"/>
        <v>0</v>
      </c>
      <c r="J1118" s="435">
        <f t="shared" si="212"/>
        <v>0</v>
      </c>
      <c r="K1118" s="435">
        <f t="shared" si="212"/>
        <v>0</v>
      </c>
      <c r="L1118" s="435">
        <f t="shared" si="212"/>
        <v>0</v>
      </c>
      <c r="M1118" s="435">
        <f t="shared" si="212"/>
        <v>0</v>
      </c>
      <c r="N1118" s="435">
        <f t="shared" si="212"/>
        <v>0</v>
      </c>
      <c r="O1118" s="435"/>
      <c r="P1118" s="435"/>
      <c r="Q1118" s="442"/>
      <c r="R1118" s="442"/>
      <c r="S1118" s="442"/>
      <c r="T1118" s="432">
        <f t="shared" si="197"/>
        <v>0</v>
      </c>
    </row>
    <row r="1119" spans="1:20" ht="22.2" hidden="1" customHeight="1">
      <c r="A1119" s="379"/>
      <c r="B1119" s="410" t="s">
        <v>990</v>
      </c>
      <c r="C1119" s="469" t="str">
        <f t="shared" si="198"/>
        <v xml:space="preserve"> </v>
      </c>
      <c r="D1119" s="440">
        <f>15*0.38</f>
        <v>5.7</v>
      </c>
      <c r="E1119" s="422"/>
      <c r="F1119" s="441" t="str">
        <f>VLOOKUP($B1119,[1]DG!A:D,[1]DG!$C$2,)</f>
        <v>Cáp thép 3/8"</v>
      </c>
      <c r="G1119" s="422" t="str">
        <f>VLOOKUP($B1119,[1]DG!A:D,[1]DG!$D$2,)</f>
        <v>kg</v>
      </c>
      <c r="H1119" s="435">
        <f t="shared" si="212"/>
        <v>0</v>
      </c>
      <c r="I1119" s="435">
        <f t="shared" si="212"/>
        <v>0</v>
      </c>
      <c r="J1119" s="435">
        <f t="shared" si="212"/>
        <v>0</v>
      </c>
      <c r="K1119" s="435">
        <f t="shared" si="212"/>
        <v>0</v>
      </c>
      <c r="L1119" s="435">
        <f t="shared" si="212"/>
        <v>0</v>
      </c>
      <c r="M1119" s="435">
        <f t="shared" si="212"/>
        <v>0</v>
      </c>
      <c r="N1119" s="435">
        <f t="shared" si="212"/>
        <v>0</v>
      </c>
      <c r="O1119" s="435"/>
      <c r="P1119" s="435"/>
      <c r="Q1119" s="442"/>
      <c r="R1119" s="442"/>
      <c r="S1119" s="442"/>
      <c r="T1119" s="432">
        <f t="shared" si="197"/>
        <v>0</v>
      </c>
    </row>
    <row r="1120" spans="1:20" ht="22.2" hidden="1" customHeight="1">
      <c r="A1120" s="379"/>
      <c r="B1120" s="410" t="s">
        <v>998</v>
      </c>
      <c r="C1120" s="469" t="str">
        <f t="shared" si="198"/>
        <v xml:space="preserve"> </v>
      </c>
      <c r="D1120" s="440">
        <v>1</v>
      </c>
      <c r="E1120" s="422"/>
      <c r="F1120" s="441" t="str">
        <f>VLOOKUP($B1120,[1]DG!A:D,[1]DG!$C$2,)</f>
        <v>Bộ chống chằng hẹp Ø60/50x1200+2BL12x40+BL16x200/50</v>
      </c>
      <c r="G1120" s="422" t="str">
        <f>VLOOKUP($B1120,[1]DG!A:D,[1]DG!$D$2,)</f>
        <v>bộ</v>
      </c>
      <c r="H1120" s="435">
        <f t="shared" si="212"/>
        <v>0</v>
      </c>
      <c r="I1120" s="435">
        <f t="shared" si="212"/>
        <v>0</v>
      </c>
      <c r="J1120" s="435">
        <f t="shared" si="212"/>
        <v>0</v>
      </c>
      <c r="K1120" s="435">
        <f t="shared" si="212"/>
        <v>0</v>
      </c>
      <c r="L1120" s="435">
        <f t="shared" si="212"/>
        <v>0</v>
      </c>
      <c r="M1120" s="435">
        <f t="shared" si="212"/>
        <v>0</v>
      </c>
      <c r="N1120" s="435">
        <f t="shared" si="212"/>
        <v>0</v>
      </c>
      <c r="O1120" s="435"/>
      <c r="P1120" s="435"/>
      <c r="Q1120" s="442"/>
      <c r="R1120" s="442"/>
      <c r="S1120" s="442"/>
      <c r="T1120" s="432">
        <f t="shared" si="197"/>
        <v>0</v>
      </c>
    </row>
    <row r="1121" spans="1:20" ht="22.2" hidden="1" customHeight="1">
      <c r="A1121" s="379"/>
      <c r="B1121" s="410" t="s">
        <v>991</v>
      </c>
      <c r="C1121" s="469" t="str">
        <f t="shared" si="198"/>
        <v xml:space="preserve"> </v>
      </c>
      <c r="D1121" s="440">
        <v>2</v>
      </c>
      <c r="E1121" s="422"/>
      <c r="F1121" s="441" t="str">
        <f>VLOOKUP($B1121,[1]DG!A:D,[1]DG!$C$2,)</f>
        <v>Yếm cáp dày 2mm</v>
      </c>
      <c r="G1121" s="422" t="str">
        <f>VLOOKUP($B1121,[1]DG!A:D,[1]DG!$D$2,)</f>
        <v>cái</v>
      </c>
      <c r="H1121" s="435">
        <f t="shared" si="212"/>
        <v>0</v>
      </c>
      <c r="I1121" s="435">
        <f t="shared" si="212"/>
        <v>0</v>
      </c>
      <c r="J1121" s="435">
        <f t="shared" si="212"/>
        <v>0</v>
      </c>
      <c r="K1121" s="435">
        <f t="shared" si="212"/>
        <v>0</v>
      </c>
      <c r="L1121" s="435">
        <f t="shared" si="212"/>
        <v>0</v>
      </c>
      <c r="M1121" s="435">
        <f t="shared" si="212"/>
        <v>0</v>
      </c>
      <c r="N1121" s="435">
        <f t="shared" si="212"/>
        <v>0</v>
      </c>
      <c r="O1121" s="435"/>
      <c r="P1121" s="435"/>
      <c r="Q1121" s="442"/>
      <c r="R1121" s="442"/>
      <c r="S1121" s="442"/>
      <c r="T1121" s="432">
        <f t="shared" si="197"/>
        <v>0</v>
      </c>
    </row>
    <row r="1122" spans="1:20" ht="22.2" hidden="1" customHeight="1">
      <c r="A1122" s="379"/>
      <c r="B1122" s="410" t="s">
        <v>992</v>
      </c>
      <c r="C1122" s="469" t="str">
        <f t="shared" si="198"/>
        <v xml:space="preserve"> </v>
      </c>
      <c r="D1122" s="440">
        <v>1</v>
      </c>
      <c r="E1122" s="422"/>
      <c r="F1122" s="441" t="str">
        <f>VLOOKUP($B1122,[1]DG!A:D,[1]DG!$C$2,)</f>
        <v>Máng che dây chằng dày 1,6mm</v>
      </c>
      <c r="G1122" s="422" t="str">
        <f>VLOOKUP($B1122,[1]DG!A:D,[1]DG!$D$2,)</f>
        <v>cái</v>
      </c>
      <c r="H1122" s="435">
        <f t="shared" si="212"/>
        <v>0</v>
      </c>
      <c r="I1122" s="435">
        <f t="shared" si="212"/>
        <v>0</v>
      </c>
      <c r="J1122" s="435">
        <f t="shared" si="212"/>
        <v>0</v>
      </c>
      <c r="K1122" s="435">
        <f t="shared" si="212"/>
        <v>0</v>
      </c>
      <c r="L1122" s="435">
        <f t="shared" si="212"/>
        <v>0</v>
      </c>
      <c r="M1122" s="435">
        <f t="shared" si="212"/>
        <v>0</v>
      </c>
      <c r="N1122" s="435">
        <f t="shared" si="212"/>
        <v>0</v>
      </c>
      <c r="O1122" s="435"/>
      <c r="P1122" s="435"/>
      <c r="Q1122" s="442"/>
      <c r="R1122" s="442"/>
      <c r="S1122" s="442"/>
      <c r="T1122" s="432">
        <f t="shared" si="197"/>
        <v>0</v>
      </c>
    </row>
    <row r="1123" spans="1:20" ht="22.2" hidden="1" customHeight="1">
      <c r="A1123" s="379"/>
      <c r="B1123" s="410" t="s">
        <v>588</v>
      </c>
      <c r="C1123" s="469" t="str">
        <f t="shared" si="198"/>
        <v xml:space="preserve"> </v>
      </c>
      <c r="D1123" s="440">
        <f>D1116</f>
        <v>1</v>
      </c>
      <c r="E1123" s="422" t="str">
        <f>VLOOKUP($B1123,[1]DG!A:D,[1]DG!$B$2,)</f>
        <v>06.3241</v>
      </c>
      <c r="F1123" s="434" t="str">
        <f>VLOOKUP($B1123,[1]DG!A:D,[1]DG!$C$2,)</f>
        <v>Lắp bộ dây néo</v>
      </c>
      <c r="G1123" s="422" t="str">
        <f>VLOOKUP($B1123,[1]DG!A:D,[1]DG!$D$2,)</f>
        <v>bộ</v>
      </c>
      <c r="H1123" s="435"/>
      <c r="I1123" s="435"/>
      <c r="J1123" s="435"/>
      <c r="K1123" s="435"/>
      <c r="L1123" s="435"/>
      <c r="M1123" s="435"/>
      <c r="N1123" s="435"/>
      <c r="O1123" s="435"/>
      <c r="P1123" s="435"/>
      <c r="Q1123" s="437"/>
      <c r="R1123" s="437"/>
      <c r="S1123" s="437"/>
      <c r="T1123" s="432">
        <f t="shared" si="197"/>
        <v>0</v>
      </c>
    </row>
    <row r="1124" spans="1:20" ht="22.2" hidden="1" customHeight="1">
      <c r="A1124" s="379"/>
      <c r="B1124" s="410" t="s">
        <v>454</v>
      </c>
      <c r="C1124" s="469" t="str">
        <f t="shared" si="198"/>
        <v xml:space="preserve"> </v>
      </c>
      <c r="D1124" s="440"/>
      <c r="E1124" s="422" t="str">
        <f>VLOOKUP($B1124,[1]DG!A:D,[1]DG!$B$2,)</f>
        <v>05.6011</v>
      </c>
      <c r="F1124" s="434" t="str">
        <f>VLOOKUP($B1124,[1]DG!A:D,[1]DG!$C$2,)</f>
        <v>Lắp bộ chống lệch</v>
      </c>
      <c r="G1124" s="422" t="str">
        <f>VLOOKUP($B1124,[1]DG!A:D,[1]DG!$D$2,)</f>
        <v>bộ</v>
      </c>
      <c r="H1124" s="435"/>
      <c r="I1124" s="435"/>
      <c r="J1124" s="435"/>
      <c r="K1124" s="435"/>
      <c r="L1124" s="435"/>
      <c r="M1124" s="435"/>
      <c r="N1124" s="435"/>
      <c r="O1124" s="435"/>
      <c r="P1124" s="435"/>
      <c r="Q1124" s="437"/>
      <c r="R1124" s="437"/>
      <c r="S1124" s="437"/>
      <c r="T1124" s="432">
        <f t="shared" si="197"/>
        <v>0</v>
      </c>
    </row>
    <row r="1125" spans="1:20" ht="22.2" hidden="1" customHeight="1">
      <c r="A1125" s="379"/>
      <c r="B1125" s="438" t="s">
        <v>993</v>
      </c>
      <c r="C1125" s="469" t="str">
        <f t="shared" si="198"/>
        <v xml:space="preserve"> </v>
      </c>
      <c r="D1125" s="439"/>
      <c r="E1125" s="422" t="str">
        <f>VLOOKUP($B1125,[1]DG!A:C,2,)</f>
        <v>02.1421</v>
      </c>
      <c r="F1125" s="434" t="str">
        <f>VLOOKUP($B1125,[1]DG!A:C,3,)</f>
        <v>V/c phụ kiện vào vị trí (cự ly &lt;=100m)</v>
      </c>
      <c r="G1125" s="422" t="str">
        <f>VLOOKUP($B1125,[1]DG!A:D,4,0)</f>
        <v>tấn</v>
      </c>
      <c r="H1125" s="435"/>
      <c r="I1125" s="435"/>
      <c r="J1125" s="435"/>
      <c r="K1125" s="435"/>
      <c r="L1125" s="435"/>
      <c r="M1125" s="435"/>
      <c r="N1125" s="435"/>
      <c r="O1125" s="435"/>
      <c r="P1125" s="435"/>
      <c r="Q1125" s="437"/>
      <c r="R1125" s="437"/>
      <c r="S1125" s="437"/>
      <c r="T1125" s="432">
        <f t="shared" si="197"/>
        <v>0</v>
      </c>
    </row>
    <row r="1126" spans="1:20" ht="22.2" hidden="1" customHeight="1">
      <c r="A1126" s="423" t="s">
        <v>999</v>
      </c>
      <c r="B1126" s="424" t="s">
        <v>999</v>
      </c>
      <c r="C1126" s="469" t="str">
        <f t="shared" si="198"/>
        <v xml:space="preserve"> </v>
      </c>
      <c r="D1126" s="426"/>
      <c r="E1126" s="427"/>
      <c r="F1126" s="428" t="s">
        <v>1000</v>
      </c>
      <c r="G1126" s="349" t="s">
        <v>67</v>
      </c>
      <c r="H1126" s="429">
        <f>SUM(I1126:O1126)</f>
        <v>0</v>
      </c>
      <c r="I1126" s="430"/>
      <c r="J1126" s="430"/>
      <c r="K1126" s="430">
        <f>IFERROR(HLOOKUP(B1126,[1]pp3p1m!$1:$3,3,0),0)</f>
        <v>0</v>
      </c>
      <c r="L1126" s="430">
        <f>IFERROR(HLOOKUP(chitiet!B1126,[1]pp1p!$1:$3,3,0),0)</f>
        <v>0</v>
      </c>
      <c r="M1126" s="430"/>
      <c r="N1126" s="430"/>
      <c r="O1126" s="430"/>
      <c r="P1126" s="430">
        <f>H1126+Q1126-R1126</f>
        <v>0</v>
      </c>
      <c r="Q1126" s="431"/>
      <c r="R1126" s="431"/>
      <c r="S1126" s="431"/>
      <c r="T1126" s="432">
        <f>IFERROR(HLOOKUP(B1126,[1]pp1p!$1:$3,3,0),0)+IFERROR(HLOOKUP(B1126,[1]pp3p1m!$1:$3,3,0),0)</f>
        <v>0</v>
      </c>
    </row>
    <row r="1127" spans="1:20" ht="22.2" hidden="1" customHeight="1">
      <c r="A1127" s="379"/>
      <c r="B1127" s="410" t="s">
        <v>482</v>
      </c>
      <c r="C1127" s="469" t="str">
        <f t="shared" si="198"/>
        <v xml:space="preserve"> </v>
      </c>
      <c r="D1127" s="440">
        <v>1</v>
      </c>
      <c r="E1127" s="422"/>
      <c r="F1127" s="441" t="str">
        <f>VLOOKUP($B1127,[1]DG!A:D,[1]DG!$C$2,)</f>
        <v>Boulon mắt 16x250+ 2 long đền vuông D18-50x50x3/Zn</v>
      </c>
      <c r="G1127" s="422" t="str">
        <f>VLOOKUP($B1127,[1]DG!A:D,[1]DG!$D$2,)</f>
        <v>bộ</v>
      </c>
      <c r="H1127" s="435">
        <f t="shared" ref="H1127:N1132" si="213">H$1126*$D1127</f>
        <v>0</v>
      </c>
      <c r="I1127" s="435">
        <f t="shared" si="213"/>
        <v>0</v>
      </c>
      <c r="J1127" s="435">
        <f t="shared" si="213"/>
        <v>0</v>
      </c>
      <c r="K1127" s="435">
        <f t="shared" si="213"/>
        <v>0</v>
      </c>
      <c r="L1127" s="435">
        <f t="shared" si="213"/>
        <v>0</v>
      </c>
      <c r="M1127" s="435">
        <f t="shared" si="213"/>
        <v>0</v>
      </c>
      <c r="N1127" s="435">
        <f t="shared" si="213"/>
        <v>0</v>
      </c>
      <c r="O1127" s="435"/>
      <c r="P1127" s="435"/>
      <c r="Q1127" s="442"/>
      <c r="R1127" s="442"/>
      <c r="S1127" s="442"/>
      <c r="T1127" s="432">
        <f t="shared" si="197"/>
        <v>0</v>
      </c>
    </row>
    <row r="1128" spans="1:20" ht="22.2" hidden="1" customHeight="1">
      <c r="A1128" s="379"/>
      <c r="B1128" s="410" t="s">
        <v>988</v>
      </c>
      <c r="C1128" s="469" t="str">
        <f t="shared" si="198"/>
        <v xml:space="preserve"> </v>
      </c>
      <c r="D1128" s="440">
        <v>1</v>
      </c>
      <c r="E1128" s="422"/>
      <c r="F1128" s="441" t="str">
        <f>VLOOKUP($B1128,[1]DG!A:D,[1]DG!$C$2,)</f>
        <v>Sứ chằng</v>
      </c>
      <c r="G1128" s="422" t="str">
        <f>VLOOKUP($B1128,[1]DG!A:D,[1]DG!$D$2,)</f>
        <v>cái</v>
      </c>
      <c r="H1128" s="435">
        <f t="shared" si="213"/>
        <v>0</v>
      </c>
      <c r="I1128" s="435">
        <f t="shared" si="213"/>
        <v>0</v>
      </c>
      <c r="J1128" s="435">
        <f t="shared" si="213"/>
        <v>0</v>
      </c>
      <c r="K1128" s="435">
        <f t="shared" si="213"/>
        <v>0</v>
      </c>
      <c r="L1128" s="435">
        <f t="shared" si="213"/>
        <v>0</v>
      </c>
      <c r="M1128" s="435">
        <f t="shared" si="213"/>
        <v>0</v>
      </c>
      <c r="N1128" s="435">
        <f t="shared" si="213"/>
        <v>0</v>
      </c>
      <c r="O1128" s="435"/>
      <c r="P1128" s="435"/>
      <c r="Q1128" s="442"/>
      <c r="R1128" s="442"/>
      <c r="S1128" s="442"/>
      <c r="T1128" s="432">
        <f t="shared" si="197"/>
        <v>0</v>
      </c>
    </row>
    <row r="1129" spans="1:20" ht="22.2" hidden="1" customHeight="1">
      <c r="A1129" s="379"/>
      <c r="B1129" s="410" t="s">
        <v>989</v>
      </c>
      <c r="C1129" s="469" t="str">
        <f t="shared" si="198"/>
        <v xml:space="preserve"> </v>
      </c>
      <c r="D1129" s="440">
        <v>8</v>
      </c>
      <c r="E1129" s="422"/>
      <c r="F1129" s="441" t="str">
        <f>VLOOKUP($B1129,[1]DG!A:D,[1]DG!$C$2,)</f>
        <v>Kẹp cáp 3 boulon</v>
      </c>
      <c r="G1129" s="422" t="str">
        <f>VLOOKUP($B1129,[1]DG!A:D,[1]DG!$D$2,)</f>
        <v>cái</v>
      </c>
      <c r="H1129" s="435">
        <f t="shared" si="213"/>
        <v>0</v>
      </c>
      <c r="I1129" s="435">
        <f t="shared" si="213"/>
        <v>0</v>
      </c>
      <c r="J1129" s="435">
        <f t="shared" si="213"/>
        <v>0</v>
      </c>
      <c r="K1129" s="435">
        <f t="shared" si="213"/>
        <v>0</v>
      </c>
      <c r="L1129" s="435">
        <f t="shared" si="213"/>
        <v>0</v>
      </c>
      <c r="M1129" s="435">
        <f t="shared" si="213"/>
        <v>0</v>
      </c>
      <c r="N1129" s="435">
        <f t="shared" si="213"/>
        <v>0</v>
      </c>
      <c r="O1129" s="435"/>
      <c r="P1129" s="435"/>
      <c r="Q1129" s="442"/>
      <c r="R1129" s="442"/>
      <c r="S1129" s="442"/>
      <c r="T1129" s="432">
        <f t="shared" ref="T1129:T1194" si="214">IFERROR(HLOOKUP(B1129,BangKeTru,3,0),0)</f>
        <v>0</v>
      </c>
    </row>
    <row r="1130" spans="1:20" ht="22.2" hidden="1" customHeight="1">
      <c r="A1130" s="379"/>
      <c r="B1130" s="410" t="s">
        <v>990</v>
      </c>
      <c r="C1130" s="469" t="str">
        <f t="shared" si="198"/>
        <v xml:space="preserve"> </v>
      </c>
      <c r="D1130" s="440">
        <v>16</v>
      </c>
      <c r="E1130" s="422"/>
      <c r="F1130" s="441" t="str">
        <f>VLOOKUP($B1130,[1]DG!A:D,[1]DG!$C$2,)</f>
        <v>Cáp thép 3/8"</v>
      </c>
      <c r="G1130" s="422" t="str">
        <f>VLOOKUP($B1130,[1]DG!A:D,[1]DG!$D$2,)</f>
        <v>kg</v>
      </c>
      <c r="H1130" s="435">
        <f t="shared" si="213"/>
        <v>0</v>
      </c>
      <c r="I1130" s="435">
        <f t="shared" si="213"/>
        <v>0</v>
      </c>
      <c r="J1130" s="435">
        <f t="shared" si="213"/>
        <v>0</v>
      </c>
      <c r="K1130" s="435">
        <f t="shared" si="213"/>
        <v>0</v>
      </c>
      <c r="L1130" s="435">
        <f t="shared" si="213"/>
        <v>0</v>
      </c>
      <c r="M1130" s="435">
        <f t="shared" si="213"/>
        <v>0</v>
      </c>
      <c r="N1130" s="435">
        <f t="shared" si="213"/>
        <v>0</v>
      </c>
      <c r="O1130" s="435"/>
      <c r="P1130" s="435"/>
      <c r="Q1130" s="442"/>
      <c r="R1130" s="442"/>
      <c r="S1130" s="442"/>
      <c r="T1130" s="432">
        <f t="shared" si="214"/>
        <v>0</v>
      </c>
    </row>
    <row r="1131" spans="1:20" ht="22.2" hidden="1" customHeight="1">
      <c r="A1131" s="379"/>
      <c r="B1131" s="410" t="s">
        <v>991</v>
      </c>
      <c r="C1131" s="469" t="str">
        <f t="shared" si="198"/>
        <v xml:space="preserve"> </v>
      </c>
      <c r="D1131" s="440">
        <v>2</v>
      </c>
      <c r="E1131" s="422"/>
      <c r="F1131" s="441" t="str">
        <f>VLOOKUP($B1131,[1]DG!A:D,[1]DG!$C$2,)</f>
        <v>Yếm cáp dày 2mm</v>
      </c>
      <c r="G1131" s="422" t="str">
        <f>VLOOKUP($B1131,[1]DG!A:D,[1]DG!$D$2,)</f>
        <v>cái</v>
      </c>
      <c r="H1131" s="435">
        <f t="shared" si="213"/>
        <v>0</v>
      </c>
      <c r="I1131" s="435">
        <f t="shared" si="213"/>
        <v>0</v>
      </c>
      <c r="J1131" s="435">
        <f t="shared" si="213"/>
        <v>0</v>
      </c>
      <c r="K1131" s="435">
        <f t="shared" si="213"/>
        <v>0</v>
      </c>
      <c r="L1131" s="435">
        <f t="shared" si="213"/>
        <v>0</v>
      </c>
      <c r="M1131" s="435">
        <f t="shared" si="213"/>
        <v>0</v>
      </c>
      <c r="N1131" s="435">
        <f t="shared" si="213"/>
        <v>0</v>
      </c>
      <c r="O1131" s="435"/>
      <c r="P1131" s="435"/>
      <c r="Q1131" s="442"/>
      <c r="R1131" s="442"/>
      <c r="S1131" s="442"/>
      <c r="T1131" s="432">
        <f t="shared" si="214"/>
        <v>0</v>
      </c>
    </row>
    <row r="1132" spans="1:20" ht="22.2" hidden="1" customHeight="1">
      <c r="A1132" s="379"/>
      <c r="B1132" s="410" t="s">
        <v>992</v>
      </c>
      <c r="C1132" s="469" t="str">
        <f t="shared" si="198"/>
        <v xml:space="preserve"> </v>
      </c>
      <c r="D1132" s="440">
        <v>1</v>
      </c>
      <c r="E1132" s="422"/>
      <c r="F1132" s="441" t="str">
        <f>VLOOKUP($B1132,[1]DG!A:D,[1]DG!$C$2,)</f>
        <v>Máng che dây chằng dày 1,6mm</v>
      </c>
      <c r="G1132" s="422" t="str">
        <f>VLOOKUP($B1132,[1]DG!A:D,[1]DG!$D$2,)</f>
        <v>cái</v>
      </c>
      <c r="H1132" s="435">
        <f t="shared" si="213"/>
        <v>0</v>
      </c>
      <c r="I1132" s="435">
        <f t="shared" si="213"/>
        <v>0</v>
      </c>
      <c r="J1132" s="435">
        <f t="shared" si="213"/>
        <v>0</v>
      </c>
      <c r="K1132" s="435">
        <f t="shared" si="213"/>
        <v>0</v>
      </c>
      <c r="L1132" s="435">
        <f t="shared" si="213"/>
        <v>0</v>
      </c>
      <c r="M1132" s="435">
        <f t="shared" si="213"/>
        <v>0</v>
      </c>
      <c r="N1132" s="435">
        <f t="shared" si="213"/>
        <v>0</v>
      </c>
      <c r="O1132" s="435"/>
      <c r="P1132" s="435"/>
      <c r="Q1132" s="442"/>
      <c r="R1132" s="442"/>
      <c r="S1132" s="442"/>
      <c r="T1132" s="432">
        <f t="shared" si="214"/>
        <v>0</v>
      </c>
    </row>
    <row r="1133" spans="1:20" ht="22.2" hidden="1" customHeight="1">
      <c r="A1133" s="379"/>
      <c r="B1133" s="410" t="s">
        <v>588</v>
      </c>
      <c r="C1133" s="469" t="str">
        <f t="shared" si="198"/>
        <v xml:space="preserve"> </v>
      </c>
      <c r="D1133" s="440">
        <f>D1127</f>
        <v>1</v>
      </c>
      <c r="E1133" s="422" t="str">
        <f>VLOOKUP($B1133,[1]DG!A:D,[1]DG!$B$2,)</f>
        <v>06.3241</v>
      </c>
      <c r="F1133" s="434" t="str">
        <f>VLOOKUP($B1133,[1]DG!A:D,[1]DG!$C$2,)</f>
        <v>Lắp bộ dây néo</v>
      </c>
      <c r="G1133" s="422" t="str">
        <f>VLOOKUP($B1133,[1]DG!A:D,[1]DG!$D$2,)</f>
        <v>bộ</v>
      </c>
      <c r="H1133" s="435"/>
      <c r="I1133" s="435"/>
      <c r="J1133" s="435"/>
      <c r="K1133" s="435"/>
      <c r="L1133" s="435"/>
      <c r="M1133" s="435"/>
      <c r="N1133" s="435"/>
      <c r="O1133" s="435"/>
      <c r="P1133" s="435"/>
      <c r="Q1133" s="437"/>
      <c r="R1133" s="437"/>
      <c r="S1133" s="437"/>
      <c r="T1133" s="432">
        <f t="shared" si="214"/>
        <v>0</v>
      </c>
    </row>
    <row r="1134" spans="1:20" ht="22.2" hidden="1" customHeight="1">
      <c r="A1134" s="379"/>
      <c r="B1134" s="438" t="s">
        <v>993</v>
      </c>
      <c r="C1134" s="469" t="str">
        <f t="shared" si="198"/>
        <v xml:space="preserve"> </v>
      </c>
      <c r="D1134" s="439">
        <v>0.02</v>
      </c>
      <c r="E1134" s="422" t="str">
        <f>VLOOKUP($B1134,[1]DG!A:C,2,)</f>
        <v>02.1421</v>
      </c>
      <c r="F1134" s="434" t="str">
        <f>VLOOKUP($B1134,[1]DG!A:C,3,)</f>
        <v>V/c phụ kiện vào vị trí (cự ly &lt;=100m)</v>
      </c>
      <c r="G1134" s="422" t="str">
        <f>VLOOKUP($B1134,[1]DG!A:D,4,0)</f>
        <v>tấn</v>
      </c>
      <c r="H1134" s="435"/>
      <c r="I1134" s="435"/>
      <c r="J1134" s="435"/>
      <c r="K1134" s="435"/>
      <c r="L1134" s="435"/>
      <c r="M1134" s="435"/>
      <c r="N1134" s="435"/>
      <c r="O1134" s="435"/>
      <c r="P1134" s="435"/>
      <c r="Q1134" s="437"/>
      <c r="R1134" s="437"/>
      <c r="S1134" s="437"/>
      <c r="T1134" s="432">
        <f t="shared" si="214"/>
        <v>0</v>
      </c>
    </row>
    <row r="1135" spans="1:20" ht="22.2" hidden="1" customHeight="1">
      <c r="A1135" s="423" t="s">
        <v>1001</v>
      </c>
      <c r="B1135" s="424" t="s">
        <v>1001</v>
      </c>
      <c r="C1135" s="469" t="str">
        <f t="shared" si="198"/>
        <v xml:space="preserve"> </v>
      </c>
      <c r="D1135" s="426"/>
      <c r="E1135" s="427"/>
      <c r="F1135" s="428" t="s">
        <v>1002</v>
      </c>
      <c r="G1135" s="349" t="s">
        <v>67</v>
      </c>
      <c r="H1135" s="429">
        <f>SUM(I1135:O1135)</f>
        <v>0</v>
      </c>
      <c r="I1135" s="430"/>
      <c r="J1135" s="430"/>
      <c r="K1135" s="430">
        <f>IFERROR(HLOOKUP(B1135,[1]pp3p1m!$1:$3,3,0),0)</f>
        <v>0</v>
      </c>
      <c r="L1135" s="430">
        <f>IFERROR(HLOOKUP(chitiet!B1135,[1]pp1p!$1:$3,3,0),0)</f>
        <v>0</v>
      </c>
      <c r="M1135" s="430"/>
      <c r="N1135" s="430"/>
      <c r="O1135" s="430"/>
      <c r="P1135" s="430">
        <f>H1135+Q1135-R1135</f>
        <v>0</v>
      </c>
      <c r="Q1135" s="431"/>
      <c r="R1135" s="431"/>
      <c r="S1135" s="431"/>
      <c r="T1135" s="432">
        <f>IFERROR(HLOOKUP(B1135,[1]pp1p!$1:$3,3,0),0)+IFERROR(HLOOKUP(B1135,[1]pp3p1m!$1:$3,3,0),0)</f>
        <v>0</v>
      </c>
    </row>
    <row r="1136" spans="1:20" ht="22.2" hidden="1" customHeight="1">
      <c r="A1136" s="379"/>
      <c r="B1136" s="410" t="s">
        <v>483</v>
      </c>
      <c r="C1136" s="469" t="str">
        <f t="shared" si="198"/>
        <v xml:space="preserve"> </v>
      </c>
      <c r="D1136" s="440">
        <v>1</v>
      </c>
      <c r="E1136" s="422"/>
      <c r="F1136" s="441" t="str">
        <f>VLOOKUP($B1136,[1]DG!A:D,[1]DG!$C$2,)</f>
        <v>Boulon mắt 16x300+ 2 long đền vuông D18-50x50x3/Zn</v>
      </c>
      <c r="G1136" s="422" t="str">
        <f>VLOOKUP($B1136,[1]DG!A:D,[1]DG!$D$2,)</f>
        <v>bộ</v>
      </c>
      <c r="H1136" s="435">
        <f t="shared" ref="H1136:N1142" si="215">H$1135*$D1136</f>
        <v>0</v>
      </c>
      <c r="I1136" s="435">
        <f t="shared" si="215"/>
        <v>0</v>
      </c>
      <c r="J1136" s="435">
        <f t="shared" si="215"/>
        <v>0</v>
      </c>
      <c r="K1136" s="435">
        <f t="shared" si="215"/>
        <v>0</v>
      </c>
      <c r="L1136" s="435">
        <f t="shared" si="215"/>
        <v>0</v>
      </c>
      <c r="M1136" s="435">
        <f t="shared" si="215"/>
        <v>0</v>
      </c>
      <c r="N1136" s="435">
        <f t="shared" si="215"/>
        <v>0</v>
      </c>
      <c r="O1136" s="435"/>
      <c r="P1136" s="435"/>
      <c r="Q1136" s="442"/>
      <c r="R1136" s="442"/>
      <c r="S1136" s="442"/>
      <c r="T1136" s="432">
        <f t="shared" si="214"/>
        <v>0</v>
      </c>
    </row>
    <row r="1137" spans="1:20" ht="22.2" hidden="1" customHeight="1">
      <c r="A1137" s="379"/>
      <c r="B1137" s="410" t="s">
        <v>988</v>
      </c>
      <c r="C1137" s="469" t="str">
        <f t="shared" si="198"/>
        <v xml:space="preserve"> </v>
      </c>
      <c r="D1137" s="440">
        <v>1</v>
      </c>
      <c r="E1137" s="422"/>
      <c r="F1137" s="441" t="str">
        <f>VLOOKUP($B1137,[1]DG!A:D,[1]DG!$C$2,)</f>
        <v>Sứ chằng</v>
      </c>
      <c r="G1137" s="422" t="str">
        <f>VLOOKUP($B1137,[1]DG!A:D,[1]DG!$D$2,)</f>
        <v>cái</v>
      </c>
      <c r="H1137" s="435">
        <f t="shared" si="215"/>
        <v>0</v>
      </c>
      <c r="I1137" s="435">
        <f t="shared" si="215"/>
        <v>0</v>
      </c>
      <c r="J1137" s="435">
        <f t="shared" si="215"/>
        <v>0</v>
      </c>
      <c r="K1137" s="435">
        <f t="shared" si="215"/>
        <v>0</v>
      </c>
      <c r="L1137" s="435">
        <f t="shared" si="215"/>
        <v>0</v>
      </c>
      <c r="M1137" s="435">
        <f t="shared" si="215"/>
        <v>0</v>
      </c>
      <c r="N1137" s="435">
        <f t="shared" si="215"/>
        <v>0</v>
      </c>
      <c r="O1137" s="435"/>
      <c r="P1137" s="435"/>
      <c r="Q1137" s="442"/>
      <c r="R1137" s="442"/>
      <c r="S1137" s="442"/>
      <c r="T1137" s="432">
        <f t="shared" si="214"/>
        <v>0</v>
      </c>
    </row>
    <row r="1138" spans="1:20" ht="22.2" hidden="1" customHeight="1">
      <c r="A1138" s="379"/>
      <c r="B1138" s="410" t="s">
        <v>989</v>
      </c>
      <c r="C1138" s="469" t="str">
        <f t="shared" si="198"/>
        <v xml:space="preserve"> </v>
      </c>
      <c r="D1138" s="440">
        <v>8</v>
      </c>
      <c r="E1138" s="422"/>
      <c r="F1138" s="441" t="str">
        <f>VLOOKUP($B1138,[1]DG!A:D,[1]DG!$C$2,)</f>
        <v>Kẹp cáp 3 boulon</v>
      </c>
      <c r="G1138" s="422" t="str">
        <f>VLOOKUP($B1138,[1]DG!A:D,[1]DG!$D$2,)</f>
        <v>cái</v>
      </c>
      <c r="H1138" s="435">
        <f t="shared" si="215"/>
        <v>0</v>
      </c>
      <c r="I1138" s="435">
        <f t="shared" si="215"/>
        <v>0</v>
      </c>
      <c r="J1138" s="435">
        <f t="shared" si="215"/>
        <v>0</v>
      </c>
      <c r="K1138" s="435">
        <f t="shared" si="215"/>
        <v>0</v>
      </c>
      <c r="L1138" s="435">
        <f t="shared" si="215"/>
        <v>0</v>
      </c>
      <c r="M1138" s="435">
        <f t="shared" si="215"/>
        <v>0</v>
      </c>
      <c r="N1138" s="435">
        <f t="shared" si="215"/>
        <v>0</v>
      </c>
      <c r="O1138" s="435"/>
      <c r="P1138" s="435"/>
      <c r="Q1138" s="442"/>
      <c r="R1138" s="442"/>
      <c r="S1138" s="442"/>
      <c r="T1138" s="432">
        <f t="shared" si="214"/>
        <v>0</v>
      </c>
    </row>
    <row r="1139" spans="1:20" ht="22.2" hidden="1" customHeight="1">
      <c r="A1139" s="379"/>
      <c r="B1139" s="410" t="s">
        <v>990</v>
      </c>
      <c r="C1139" s="469" t="str">
        <f t="shared" si="198"/>
        <v xml:space="preserve"> </v>
      </c>
      <c r="D1139" s="440">
        <v>11</v>
      </c>
      <c r="E1139" s="422"/>
      <c r="F1139" s="441" t="str">
        <f>VLOOKUP($B1139,[1]DG!A:D,[1]DG!$C$2,)</f>
        <v>Cáp thép 3/8"</v>
      </c>
      <c r="G1139" s="422" t="str">
        <f>VLOOKUP($B1139,[1]DG!A:D,[1]DG!$D$2,)</f>
        <v>kg</v>
      </c>
      <c r="H1139" s="435">
        <f t="shared" si="215"/>
        <v>0</v>
      </c>
      <c r="I1139" s="435">
        <f t="shared" si="215"/>
        <v>0</v>
      </c>
      <c r="J1139" s="435">
        <f t="shared" si="215"/>
        <v>0</v>
      </c>
      <c r="K1139" s="435">
        <f t="shared" si="215"/>
        <v>0</v>
      </c>
      <c r="L1139" s="435">
        <f t="shared" si="215"/>
        <v>0</v>
      </c>
      <c r="M1139" s="435">
        <f t="shared" si="215"/>
        <v>0</v>
      </c>
      <c r="N1139" s="435">
        <f t="shared" si="215"/>
        <v>0</v>
      </c>
      <c r="O1139" s="435"/>
      <c r="P1139" s="435"/>
      <c r="Q1139" s="442"/>
      <c r="R1139" s="442"/>
      <c r="S1139" s="442"/>
      <c r="T1139" s="432">
        <f t="shared" si="214"/>
        <v>0</v>
      </c>
    </row>
    <row r="1140" spans="1:20" ht="22.2" hidden="1" customHeight="1">
      <c r="A1140" s="379"/>
      <c r="B1140" s="410" t="s">
        <v>1003</v>
      </c>
      <c r="C1140" s="469" t="str">
        <f t="shared" si="198"/>
        <v xml:space="preserve"> </v>
      </c>
      <c r="D1140" s="440">
        <v>1</v>
      </c>
      <c r="E1140" s="422"/>
      <c r="F1140" s="441" t="str">
        <f>VLOOKUP($B1140,[1]DG!A:D,[1]DG!$C$2,)</f>
        <v>Bộ chống chằng hẹp Ø60/50x1500+2BL12x40+BL16x250/80</v>
      </c>
      <c r="G1140" s="422" t="str">
        <f>VLOOKUP($B1140,[1]DG!A:D,[1]DG!$D$2,)</f>
        <v>bộ</v>
      </c>
      <c r="H1140" s="435">
        <f t="shared" si="215"/>
        <v>0</v>
      </c>
      <c r="I1140" s="435">
        <f t="shared" si="215"/>
        <v>0</v>
      </c>
      <c r="J1140" s="435">
        <f t="shared" si="215"/>
        <v>0</v>
      </c>
      <c r="K1140" s="435">
        <f t="shared" si="215"/>
        <v>0</v>
      </c>
      <c r="L1140" s="435">
        <f t="shared" si="215"/>
        <v>0</v>
      </c>
      <c r="M1140" s="435">
        <f t="shared" si="215"/>
        <v>0</v>
      </c>
      <c r="N1140" s="435">
        <f t="shared" si="215"/>
        <v>0</v>
      </c>
      <c r="O1140" s="435"/>
      <c r="P1140" s="435"/>
      <c r="Q1140" s="442"/>
      <c r="R1140" s="442"/>
      <c r="S1140" s="442"/>
      <c r="T1140" s="432">
        <f t="shared" si="214"/>
        <v>0</v>
      </c>
    </row>
    <row r="1141" spans="1:20" ht="22.2" hidden="1" customHeight="1">
      <c r="A1141" s="379"/>
      <c r="B1141" s="410" t="s">
        <v>991</v>
      </c>
      <c r="C1141" s="469" t="str">
        <f t="shared" si="198"/>
        <v xml:space="preserve"> </v>
      </c>
      <c r="D1141" s="440">
        <v>2</v>
      </c>
      <c r="E1141" s="422"/>
      <c r="F1141" s="441" t="str">
        <f>VLOOKUP($B1141,[1]DG!A:D,[1]DG!$C$2,)</f>
        <v>Yếm cáp dày 2mm</v>
      </c>
      <c r="G1141" s="422" t="str">
        <f>VLOOKUP($B1141,[1]DG!A:D,[1]DG!$D$2,)</f>
        <v>cái</v>
      </c>
      <c r="H1141" s="435">
        <f t="shared" si="215"/>
        <v>0</v>
      </c>
      <c r="I1141" s="435">
        <f t="shared" si="215"/>
        <v>0</v>
      </c>
      <c r="J1141" s="435">
        <f t="shared" si="215"/>
        <v>0</v>
      </c>
      <c r="K1141" s="435">
        <f t="shared" si="215"/>
        <v>0</v>
      </c>
      <c r="L1141" s="435">
        <f t="shared" si="215"/>
        <v>0</v>
      </c>
      <c r="M1141" s="435">
        <f t="shared" si="215"/>
        <v>0</v>
      </c>
      <c r="N1141" s="435">
        <f t="shared" si="215"/>
        <v>0</v>
      </c>
      <c r="O1141" s="435"/>
      <c r="P1141" s="435"/>
      <c r="Q1141" s="442"/>
      <c r="R1141" s="442"/>
      <c r="S1141" s="442"/>
      <c r="T1141" s="432">
        <f t="shared" si="214"/>
        <v>0</v>
      </c>
    </row>
    <row r="1142" spans="1:20" ht="22.2" hidden="1" customHeight="1">
      <c r="A1142" s="379"/>
      <c r="B1142" s="410" t="s">
        <v>992</v>
      </c>
      <c r="C1142" s="469" t="str">
        <f t="shared" si="198"/>
        <v xml:space="preserve"> </v>
      </c>
      <c r="D1142" s="440">
        <v>1</v>
      </c>
      <c r="E1142" s="422"/>
      <c r="F1142" s="441" t="str">
        <f>VLOOKUP($B1142,[1]DG!A:D,[1]DG!$C$2,)</f>
        <v>Máng che dây chằng dày 1,6mm</v>
      </c>
      <c r="G1142" s="422" t="str">
        <f>VLOOKUP($B1142,[1]DG!A:D,[1]DG!$D$2,)</f>
        <v>cái</v>
      </c>
      <c r="H1142" s="435">
        <f t="shared" si="215"/>
        <v>0</v>
      </c>
      <c r="I1142" s="435">
        <f t="shared" si="215"/>
        <v>0</v>
      </c>
      <c r="J1142" s="435">
        <f t="shared" si="215"/>
        <v>0</v>
      </c>
      <c r="K1142" s="435">
        <f t="shared" si="215"/>
        <v>0</v>
      </c>
      <c r="L1142" s="435">
        <f t="shared" si="215"/>
        <v>0</v>
      </c>
      <c r="M1142" s="435">
        <f t="shared" si="215"/>
        <v>0</v>
      </c>
      <c r="N1142" s="435">
        <f t="shared" si="215"/>
        <v>0</v>
      </c>
      <c r="O1142" s="435"/>
      <c r="P1142" s="435"/>
      <c r="Q1142" s="442"/>
      <c r="R1142" s="442"/>
      <c r="S1142" s="442"/>
      <c r="T1142" s="432">
        <f t="shared" si="214"/>
        <v>0</v>
      </c>
    </row>
    <row r="1143" spans="1:20" ht="22.2" hidden="1" customHeight="1">
      <c r="A1143" s="379"/>
      <c r="B1143" s="410" t="s">
        <v>588</v>
      </c>
      <c r="C1143" s="469" t="str">
        <f t="shared" si="198"/>
        <v xml:space="preserve"> </v>
      </c>
      <c r="D1143" s="440">
        <f>D1136</f>
        <v>1</v>
      </c>
      <c r="E1143" s="422" t="str">
        <f>VLOOKUP($B1143,[1]DG!A:D,[1]DG!$B$2,)</f>
        <v>06.3241</v>
      </c>
      <c r="F1143" s="434" t="str">
        <f>VLOOKUP($B1143,[1]DG!A:D,[1]DG!$C$2,)</f>
        <v>Lắp bộ dây néo</v>
      </c>
      <c r="G1143" s="422" t="str">
        <f>VLOOKUP($B1143,[1]DG!A:D,[1]DG!$D$2,)</f>
        <v>bộ</v>
      </c>
      <c r="H1143" s="435"/>
      <c r="I1143" s="435"/>
      <c r="J1143" s="435"/>
      <c r="K1143" s="435"/>
      <c r="L1143" s="435"/>
      <c r="M1143" s="435"/>
      <c r="N1143" s="435"/>
      <c r="O1143" s="435"/>
      <c r="P1143" s="435"/>
      <c r="Q1143" s="437"/>
      <c r="R1143" s="437"/>
      <c r="S1143" s="437"/>
      <c r="T1143" s="432">
        <f t="shared" si="214"/>
        <v>0</v>
      </c>
    </row>
    <row r="1144" spans="1:20" ht="22.2" hidden="1" customHeight="1">
      <c r="A1144" s="379"/>
      <c r="B1144" s="410" t="s">
        <v>454</v>
      </c>
      <c r="C1144" s="469" t="str">
        <f t="shared" ref="C1144:C1209" si="216">IF(OR(P1144&lt;&gt;0,H1144&lt;&gt;0),"x"," ")</f>
        <v xml:space="preserve"> </v>
      </c>
      <c r="D1144" s="440">
        <f>D1133</f>
        <v>1</v>
      </c>
      <c r="E1144" s="422" t="str">
        <f>VLOOKUP($B1144,[1]DG!A:D,[1]DG!$B$2,)</f>
        <v>05.6011</v>
      </c>
      <c r="F1144" s="434" t="str">
        <f>VLOOKUP($B1144,[1]DG!A:D,[1]DG!$C$2,)</f>
        <v>Lắp bộ chống lệch</v>
      </c>
      <c r="G1144" s="422" t="str">
        <f>VLOOKUP($B1144,[1]DG!A:D,[1]DG!$D$2,)</f>
        <v>bộ</v>
      </c>
      <c r="H1144" s="435"/>
      <c r="I1144" s="435"/>
      <c r="J1144" s="435"/>
      <c r="K1144" s="435"/>
      <c r="L1144" s="435"/>
      <c r="M1144" s="435"/>
      <c r="N1144" s="435"/>
      <c r="O1144" s="435"/>
      <c r="P1144" s="435"/>
      <c r="Q1144" s="437"/>
      <c r="R1144" s="437"/>
      <c r="S1144" s="437"/>
      <c r="T1144" s="432">
        <f t="shared" si="214"/>
        <v>0</v>
      </c>
    </row>
    <row r="1145" spans="1:20" ht="22.2" hidden="1" customHeight="1">
      <c r="A1145" s="379"/>
      <c r="B1145" s="438" t="s">
        <v>993</v>
      </c>
      <c r="C1145" s="469" t="str">
        <f t="shared" si="216"/>
        <v xml:space="preserve"> </v>
      </c>
      <c r="D1145" s="439">
        <v>0.02</v>
      </c>
      <c r="E1145" s="422" t="str">
        <f>VLOOKUP($B1145,[1]DG!A:C,2,)</f>
        <v>02.1421</v>
      </c>
      <c r="F1145" s="434" t="str">
        <f>VLOOKUP($B1145,[1]DG!A:C,3,)</f>
        <v>V/c phụ kiện vào vị trí (cự ly &lt;=100m)</v>
      </c>
      <c r="G1145" s="422" t="str">
        <f>VLOOKUP($B1145,[1]DG!A:D,4,0)</f>
        <v>tấn</v>
      </c>
      <c r="H1145" s="435"/>
      <c r="I1145" s="435"/>
      <c r="J1145" s="435"/>
      <c r="K1145" s="435"/>
      <c r="L1145" s="435"/>
      <c r="M1145" s="435"/>
      <c r="N1145" s="435"/>
      <c r="O1145" s="435"/>
      <c r="P1145" s="435"/>
      <c r="Q1145" s="437"/>
      <c r="R1145" s="437"/>
      <c r="S1145" s="437"/>
      <c r="T1145" s="432">
        <f t="shared" si="214"/>
        <v>0</v>
      </c>
    </row>
    <row r="1146" spans="1:20" ht="22.2" hidden="1" customHeight="1">
      <c r="A1146" s="423" t="s">
        <v>1004</v>
      </c>
      <c r="B1146" s="424" t="s">
        <v>1004</v>
      </c>
      <c r="C1146" s="469" t="str">
        <f t="shared" si="216"/>
        <v xml:space="preserve"> </v>
      </c>
      <c r="D1146" s="426"/>
      <c r="E1146" s="427"/>
      <c r="F1146" s="428" t="s">
        <v>1005</v>
      </c>
      <c r="G1146" s="349" t="s">
        <v>67</v>
      </c>
      <c r="H1146" s="429">
        <f>SUM(I1146:O1146)</f>
        <v>0</v>
      </c>
      <c r="I1146" s="430"/>
      <c r="J1146" s="430"/>
      <c r="K1146" s="430">
        <f>IFERROR(HLOOKUP(B1146,[1]pp3p1m!$1:$3,3,0),0)</f>
        <v>0</v>
      </c>
      <c r="L1146" s="430">
        <f>IFERROR(HLOOKUP(chitiet!B1146,[1]pp1p!$1:$3,3,0),0)</f>
        <v>0</v>
      </c>
      <c r="M1146" s="430"/>
      <c r="N1146" s="430"/>
      <c r="O1146" s="430"/>
      <c r="P1146" s="430">
        <f>H1146+Q1146-R1146</f>
        <v>0</v>
      </c>
      <c r="Q1146" s="431"/>
      <c r="R1146" s="431"/>
      <c r="S1146" s="431"/>
      <c r="T1146" s="432">
        <f>IFERROR(HLOOKUP(B1146,[1]pp1p!$1:$3,3,0),0)+IFERROR(HLOOKUP(B1146,[1]pp3p1m!$1:$3,3,0),0)</f>
        <v>0</v>
      </c>
    </row>
    <row r="1147" spans="1:20" ht="22.2" hidden="1" customHeight="1">
      <c r="A1147" s="379"/>
      <c r="B1147" s="410" t="s">
        <v>482</v>
      </c>
      <c r="C1147" s="469" t="str">
        <f t="shared" si="216"/>
        <v xml:space="preserve"> </v>
      </c>
      <c r="D1147" s="440">
        <v>2</v>
      </c>
      <c r="E1147" s="422"/>
      <c r="F1147" s="441" t="str">
        <f>VLOOKUP($B1147,[1]DG!A:D,[1]DG!$C$2,)</f>
        <v>Boulon mắt 16x250+ 2 long đền vuông D18-50x50x3/Zn</v>
      </c>
      <c r="G1147" s="422" t="str">
        <f>VLOOKUP($B1147,[1]DG!A:D,[1]DG!$D$2,)</f>
        <v>bộ</v>
      </c>
      <c r="H1147" s="435">
        <f t="shared" ref="H1147:N1152" si="217">H$1146*$D1147</f>
        <v>0</v>
      </c>
      <c r="I1147" s="435">
        <f t="shared" si="217"/>
        <v>0</v>
      </c>
      <c r="J1147" s="435">
        <f t="shared" si="217"/>
        <v>0</v>
      </c>
      <c r="K1147" s="435">
        <f t="shared" si="217"/>
        <v>0</v>
      </c>
      <c r="L1147" s="435">
        <f t="shared" si="217"/>
        <v>0</v>
      </c>
      <c r="M1147" s="435">
        <f t="shared" si="217"/>
        <v>0</v>
      </c>
      <c r="N1147" s="435">
        <f t="shared" si="217"/>
        <v>0</v>
      </c>
      <c r="O1147" s="435"/>
      <c r="P1147" s="435"/>
      <c r="Q1147" s="442"/>
      <c r="R1147" s="442"/>
      <c r="S1147" s="442"/>
      <c r="T1147" s="432">
        <f t="shared" si="214"/>
        <v>0</v>
      </c>
    </row>
    <row r="1148" spans="1:20" ht="22.2" hidden="1" customHeight="1">
      <c r="A1148" s="379"/>
      <c r="B1148" s="410" t="s">
        <v>988</v>
      </c>
      <c r="C1148" s="469" t="str">
        <f t="shared" si="216"/>
        <v xml:space="preserve"> </v>
      </c>
      <c r="D1148" s="440">
        <v>2</v>
      </c>
      <c r="E1148" s="422"/>
      <c r="F1148" s="441" t="str">
        <f>VLOOKUP($B1148,[1]DG!A:D,[1]DG!$C$2,)</f>
        <v>Sứ chằng</v>
      </c>
      <c r="G1148" s="422" t="str">
        <f>VLOOKUP($B1148,[1]DG!A:D,[1]DG!$D$2,)</f>
        <v>cái</v>
      </c>
      <c r="H1148" s="435">
        <f t="shared" si="217"/>
        <v>0</v>
      </c>
      <c r="I1148" s="435">
        <f t="shared" si="217"/>
        <v>0</v>
      </c>
      <c r="J1148" s="435">
        <f t="shared" si="217"/>
        <v>0</v>
      </c>
      <c r="K1148" s="435">
        <f t="shared" si="217"/>
        <v>0</v>
      </c>
      <c r="L1148" s="435">
        <f t="shared" si="217"/>
        <v>0</v>
      </c>
      <c r="M1148" s="435">
        <f t="shared" si="217"/>
        <v>0</v>
      </c>
      <c r="N1148" s="435">
        <f t="shared" si="217"/>
        <v>0</v>
      </c>
      <c r="O1148" s="435"/>
      <c r="P1148" s="435"/>
      <c r="Q1148" s="442"/>
      <c r="R1148" s="442"/>
      <c r="S1148" s="442"/>
      <c r="T1148" s="432">
        <f t="shared" si="214"/>
        <v>0</v>
      </c>
    </row>
    <row r="1149" spans="1:20" ht="22.2" hidden="1" customHeight="1">
      <c r="A1149" s="379"/>
      <c r="B1149" s="410" t="s">
        <v>989</v>
      </c>
      <c r="C1149" s="469" t="str">
        <f t="shared" si="216"/>
        <v xml:space="preserve"> </v>
      </c>
      <c r="D1149" s="440">
        <v>16</v>
      </c>
      <c r="E1149" s="422"/>
      <c r="F1149" s="441" t="str">
        <f>VLOOKUP($B1149,[1]DG!A:D,[1]DG!$C$2,)</f>
        <v>Kẹp cáp 3 boulon</v>
      </c>
      <c r="G1149" s="422" t="str">
        <f>VLOOKUP($B1149,[1]DG!A:D,[1]DG!$D$2,)</f>
        <v>cái</v>
      </c>
      <c r="H1149" s="435">
        <f t="shared" si="217"/>
        <v>0</v>
      </c>
      <c r="I1149" s="435">
        <f t="shared" si="217"/>
        <v>0</v>
      </c>
      <c r="J1149" s="435">
        <f t="shared" si="217"/>
        <v>0</v>
      </c>
      <c r="K1149" s="435">
        <f t="shared" si="217"/>
        <v>0</v>
      </c>
      <c r="L1149" s="435">
        <f t="shared" si="217"/>
        <v>0</v>
      </c>
      <c r="M1149" s="435">
        <f t="shared" si="217"/>
        <v>0</v>
      </c>
      <c r="N1149" s="435">
        <f t="shared" si="217"/>
        <v>0</v>
      </c>
      <c r="O1149" s="435"/>
      <c r="P1149" s="435"/>
      <c r="Q1149" s="442"/>
      <c r="R1149" s="442"/>
      <c r="S1149" s="442"/>
      <c r="T1149" s="432">
        <f t="shared" si="214"/>
        <v>0</v>
      </c>
    </row>
    <row r="1150" spans="1:20" ht="22.2" hidden="1" customHeight="1">
      <c r="A1150" s="379"/>
      <c r="B1150" s="410" t="s">
        <v>990</v>
      </c>
      <c r="C1150" s="469" t="str">
        <f t="shared" si="216"/>
        <v xml:space="preserve"> </v>
      </c>
      <c r="D1150" s="440">
        <v>31</v>
      </c>
      <c r="E1150" s="422"/>
      <c r="F1150" s="441" t="str">
        <f>VLOOKUP($B1150,[1]DG!A:D,[1]DG!$C$2,)</f>
        <v>Cáp thép 3/8"</v>
      </c>
      <c r="G1150" s="422" t="str">
        <f>VLOOKUP($B1150,[1]DG!A:D,[1]DG!$D$2,)</f>
        <v>kg</v>
      </c>
      <c r="H1150" s="435">
        <f t="shared" si="217"/>
        <v>0</v>
      </c>
      <c r="I1150" s="435">
        <f t="shared" si="217"/>
        <v>0</v>
      </c>
      <c r="J1150" s="435">
        <f t="shared" si="217"/>
        <v>0</v>
      </c>
      <c r="K1150" s="435">
        <f t="shared" si="217"/>
        <v>0</v>
      </c>
      <c r="L1150" s="435">
        <f t="shared" si="217"/>
        <v>0</v>
      </c>
      <c r="M1150" s="435">
        <f t="shared" si="217"/>
        <v>0</v>
      </c>
      <c r="N1150" s="435">
        <f t="shared" si="217"/>
        <v>0</v>
      </c>
      <c r="O1150" s="435"/>
      <c r="P1150" s="435"/>
      <c r="Q1150" s="442"/>
      <c r="R1150" s="442"/>
      <c r="S1150" s="442"/>
      <c r="T1150" s="432">
        <f t="shared" si="214"/>
        <v>0</v>
      </c>
    </row>
    <row r="1151" spans="1:20" ht="22.2" hidden="1" customHeight="1">
      <c r="A1151" s="379"/>
      <c r="B1151" s="410" t="s">
        <v>991</v>
      </c>
      <c r="C1151" s="469" t="str">
        <f t="shared" si="216"/>
        <v xml:space="preserve"> </v>
      </c>
      <c r="D1151" s="440">
        <v>4</v>
      </c>
      <c r="E1151" s="422"/>
      <c r="F1151" s="441" t="str">
        <f>VLOOKUP($B1151,[1]DG!A:D,[1]DG!$C$2,)</f>
        <v>Yếm cáp dày 2mm</v>
      </c>
      <c r="G1151" s="422" t="str">
        <f>VLOOKUP($B1151,[1]DG!A:D,[1]DG!$D$2,)</f>
        <v>cái</v>
      </c>
      <c r="H1151" s="435">
        <f t="shared" si="217"/>
        <v>0</v>
      </c>
      <c r="I1151" s="435">
        <f t="shared" si="217"/>
        <v>0</v>
      </c>
      <c r="J1151" s="435">
        <f t="shared" si="217"/>
        <v>0</v>
      </c>
      <c r="K1151" s="435">
        <f t="shared" si="217"/>
        <v>0</v>
      </c>
      <c r="L1151" s="435">
        <f t="shared" si="217"/>
        <v>0</v>
      </c>
      <c r="M1151" s="435">
        <f t="shared" si="217"/>
        <v>0</v>
      </c>
      <c r="N1151" s="435">
        <f t="shared" si="217"/>
        <v>0</v>
      </c>
      <c r="O1151" s="435"/>
      <c r="P1151" s="435"/>
      <c r="Q1151" s="442"/>
      <c r="R1151" s="442"/>
      <c r="S1151" s="442"/>
      <c r="T1151" s="432">
        <f t="shared" si="214"/>
        <v>0</v>
      </c>
    </row>
    <row r="1152" spans="1:20" ht="22.2" hidden="1" customHeight="1">
      <c r="A1152" s="379"/>
      <c r="B1152" s="410" t="s">
        <v>992</v>
      </c>
      <c r="C1152" s="469" t="str">
        <f t="shared" si="216"/>
        <v xml:space="preserve"> </v>
      </c>
      <c r="D1152" s="440">
        <v>2</v>
      </c>
      <c r="E1152" s="422"/>
      <c r="F1152" s="441" t="str">
        <f>VLOOKUP($B1152,[1]DG!A:D,[1]DG!$C$2,)</f>
        <v>Máng che dây chằng dày 1,6mm</v>
      </c>
      <c r="G1152" s="422" t="str">
        <f>VLOOKUP($B1152,[1]DG!A:D,[1]DG!$D$2,)</f>
        <v>cái</v>
      </c>
      <c r="H1152" s="435">
        <f t="shared" si="217"/>
        <v>0</v>
      </c>
      <c r="I1152" s="435">
        <f t="shared" si="217"/>
        <v>0</v>
      </c>
      <c r="J1152" s="435">
        <f t="shared" si="217"/>
        <v>0</v>
      </c>
      <c r="K1152" s="435">
        <f t="shared" si="217"/>
        <v>0</v>
      </c>
      <c r="L1152" s="435">
        <f t="shared" si="217"/>
        <v>0</v>
      </c>
      <c r="M1152" s="435">
        <f t="shared" si="217"/>
        <v>0</v>
      </c>
      <c r="N1152" s="435">
        <f t="shared" si="217"/>
        <v>0</v>
      </c>
      <c r="O1152" s="435"/>
      <c r="P1152" s="435"/>
      <c r="Q1152" s="442"/>
      <c r="R1152" s="442"/>
      <c r="S1152" s="442"/>
      <c r="T1152" s="432">
        <f t="shared" si="214"/>
        <v>0</v>
      </c>
    </row>
    <row r="1153" spans="1:20" ht="22.2" hidden="1" customHeight="1">
      <c r="A1153" s="379"/>
      <c r="B1153" s="410" t="s">
        <v>588</v>
      </c>
      <c r="C1153" s="469" t="str">
        <f t="shared" si="216"/>
        <v xml:space="preserve"> </v>
      </c>
      <c r="D1153" s="440">
        <f>D1147</f>
        <v>2</v>
      </c>
      <c r="E1153" s="422" t="str">
        <f>VLOOKUP($B1153,[1]DG!A:D,[1]DG!$B$2,)</f>
        <v>06.3241</v>
      </c>
      <c r="F1153" s="434" t="str">
        <f>VLOOKUP($B1153,[1]DG!A:D,[1]DG!$C$2,)</f>
        <v>Lắp bộ dây néo</v>
      </c>
      <c r="G1153" s="422" t="str">
        <f>VLOOKUP($B1153,[1]DG!A:D,[1]DG!$D$2,)</f>
        <v>bộ</v>
      </c>
      <c r="H1153" s="435"/>
      <c r="I1153" s="435"/>
      <c r="J1153" s="435"/>
      <c r="K1153" s="435"/>
      <c r="L1153" s="435"/>
      <c r="M1153" s="435"/>
      <c r="N1153" s="435"/>
      <c r="O1153" s="435"/>
      <c r="P1153" s="435"/>
      <c r="Q1153" s="437"/>
      <c r="R1153" s="437"/>
      <c r="S1153" s="437"/>
      <c r="T1153" s="432">
        <f t="shared" si="214"/>
        <v>0</v>
      </c>
    </row>
    <row r="1154" spans="1:20" ht="22.2" hidden="1" customHeight="1">
      <c r="A1154" s="379"/>
      <c r="B1154" s="438" t="s">
        <v>993</v>
      </c>
      <c r="C1154" s="469" t="str">
        <f t="shared" si="216"/>
        <v xml:space="preserve"> </v>
      </c>
      <c r="D1154" s="439">
        <v>0.02</v>
      </c>
      <c r="E1154" s="422" t="str">
        <f>VLOOKUP($B1154,[1]DG!A:C,2,)</f>
        <v>02.1421</v>
      </c>
      <c r="F1154" s="434" t="str">
        <f>VLOOKUP($B1154,[1]DG!A:C,3,)</f>
        <v>V/c phụ kiện vào vị trí (cự ly &lt;=100m)</v>
      </c>
      <c r="G1154" s="422" t="str">
        <f>VLOOKUP($B1154,[1]DG!A:D,4,0)</f>
        <v>tấn</v>
      </c>
      <c r="H1154" s="435"/>
      <c r="I1154" s="435"/>
      <c r="J1154" s="435"/>
      <c r="K1154" s="435"/>
      <c r="L1154" s="435"/>
      <c r="M1154" s="435"/>
      <c r="N1154" s="435"/>
      <c r="O1154" s="435"/>
      <c r="P1154" s="435"/>
      <c r="Q1154" s="437"/>
      <c r="R1154" s="437"/>
      <c r="S1154" s="437"/>
      <c r="T1154" s="432">
        <f t="shared" si="214"/>
        <v>0</v>
      </c>
    </row>
    <row r="1155" spans="1:20" ht="22.2" hidden="1" customHeight="1">
      <c r="A1155" s="423" t="s">
        <v>1006</v>
      </c>
      <c r="B1155" s="424" t="s">
        <v>1006</v>
      </c>
      <c r="C1155" s="469" t="str">
        <f t="shared" si="216"/>
        <v xml:space="preserve"> </v>
      </c>
      <c r="D1155" s="426"/>
      <c r="E1155" s="427"/>
      <c r="F1155" s="428" t="s">
        <v>1007</v>
      </c>
      <c r="G1155" s="349" t="s">
        <v>67</v>
      </c>
      <c r="H1155" s="429">
        <f>SUM(I1155:O1155)</f>
        <v>0</v>
      </c>
      <c r="I1155" s="430"/>
      <c r="J1155" s="430"/>
      <c r="K1155" s="430">
        <f>IFERROR(HLOOKUP(B1155,[1]pp3p1m!$1:$3,3,0),0)</f>
        <v>0</v>
      </c>
      <c r="L1155" s="430">
        <f>IFERROR(HLOOKUP(chitiet!B1155,[1]pp1p!$1:$3,3,0),0)</f>
        <v>0</v>
      </c>
      <c r="M1155" s="430"/>
      <c r="N1155" s="430"/>
      <c r="O1155" s="430"/>
      <c r="P1155" s="430">
        <f>H1155+Q1155-R1155</f>
        <v>0</v>
      </c>
      <c r="Q1155" s="431"/>
      <c r="R1155" s="431"/>
      <c r="S1155" s="431"/>
      <c r="T1155" s="432">
        <f>IFERROR(HLOOKUP(B1155,[1]pp1p!$1:$3,3,0),0)+IFERROR(HLOOKUP(B1155,[1]pp3p1m!$1:$3,3,0),0)</f>
        <v>0</v>
      </c>
    </row>
    <row r="1156" spans="1:20" ht="22.2" hidden="1" customHeight="1">
      <c r="A1156" s="379"/>
      <c r="B1156" s="410" t="s">
        <v>588</v>
      </c>
      <c r="C1156" s="469" t="str">
        <f t="shared" si="216"/>
        <v xml:space="preserve"> </v>
      </c>
      <c r="D1156" s="440">
        <v>1</v>
      </c>
      <c r="E1156" s="422"/>
      <c r="F1156" s="434" t="s">
        <v>589</v>
      </c>
      <c r="G1156" s="422" t="str">
        <f>VLOOKUP($B1156,[1]DG!A:D,[1]DG!$D$2,)</f>
        <v>bộ</v>
      </c>
      <c r="H1156" s="435">
        <f t="shared" ref="H1156:N1157" si="218">H$1155*$D1156</f>
        <v>0</v>
      </c>
      <c r="I1156" s="435">
        <f t="shared" si="218"/>
        <v>0</v>
      </c>
      <c r="J1156" s="435">
        <f t="shared" si="218"/>
        <v>0</v>
      </c>
      <c r="K1156" s="435">
        <f t="shared" si="218"/>
        <v>0</v>
      </c>
      <c r="L1156" s="435">
        <f t="shared" si="218"/>
        <v>0</v>
      </c>
      <c r="M1156" s="435">
        <f t="shared" si="218"/>
        <v>0</v>
      </c>
      <c r="N1156" s="435">
        <f t="shared" si="218"/>
        <v>0</v>
      </c>
      <c r="O1156" s="435"/>
      <c r="P1156" s="435"/>
      <c r="Q1156" s="442"/>
      <c r="R1156" s="442"/>
      <c r="S1156" s="442"/>
      <c r="T1156" s="432">
        <f t="shared" si="214"/>
        <v>0</v>
      </c>
    </row>
    <row r="1157" spans="1:20" ht="22.2" hidden="1" customHeight="1">
      <c r="A1157" s="379"/>
      <c r="B1157" s="438" t="s">
        <v>993</v>
      </c>
      <c r="C1157" s="469" t="str">
        <f t="shared" si="216"/>
        <v xml:space="preserve"> </v>
      </c>
      <c r="D1157" s="439">
        <v>0.02</v>
      </c>
      <c r="E1157" s="422" t="str">
        <f>VLOOKUP($B1157,[1]DG!A:C,2,)</f>
        <v>02.1421</v>
      </c>
      <c r="F1157" s="434" t="str">
        <f>VLOOKUP($B1157,[1]DG!A:C,3,)</f>
        <v>V/c phụ kiện vào vị trí (cự ly &lt;=100m)</v>
      </c>
      <c r="G1157" s="422" t="str">
        <f>VLOOKUP($B1157,[1]DG!A:D,4,0)</f>
        <v>tấn</v>
      </c>
      <c r="H1157" s="435">
        <f t="shared" si="218"/>
        <v>0</v>
      </c>
      <c r="I1157" s="435">
        <f t="shared" si="218"/>
        <v>0</v>
      </c>
      <c r="J1157" s="435">
        <f t="shared" si="218"/>
        <v>0</v>
      </c>
      <c r="K1157" s="435">
        <f t="shared" si="218"/>
        <v>0</v>
      </c>
      <c r="L1157" s="435">
        <f t="shared" si="218"/>
        <v>0</v>
      </c>
      <c r="M1157" s="435">
        <f t="shared" si="218"/>
        <v>0</v>
      </c>
      <c r="N1157" s="435">
        <f t="shared" si="218"/>
        <v>0</v>
      </c>
      <c r="O1157" s="435"/>
      <c r="P1157" s="435"/>
      <c r="Q1157" s="442"/>
      <c r="R1157" s="442"/>
      <c r="S1157" s="442"/>
      <c r="T1157" s="432">
        <f t="shared" si="214"/>
        <v>0</v>
      </c>
    </row>
    <row r="1158" spans="1:20" ht="22.2" hidden="1" customHeight="1" collapsed="1">
      <c r="A1158" s="451" t="s">
        <v>1008</v>
      </c>
      <c r="B1158" s="424" t="s">
        <v>1008</v>
      </c>
      <c r="C1158" s="465" t="str">
        <f t="shared" si="216"/>
        <v xml:space="preserve"> </v>
      </c>
      <c r="D1158" s="426"/>
      <c r="E1158" s="427"/>
      <c r="F1158" s="428" t="s">
        <v>1009</v>
      </c>
      <c r="G1158" s="349" t="s">
        <v>67</v>
      </c>
      <c r="H1158" s="429">
        <f>SUM(I1158:O1158)</f>
        <v>0</v>
      </c>
      <c r="I1158" s="430"/>
      <c r="J1158" s="430"/>
      <c r="K1158" s="430">
        <f>IFERROR(HLOOKUP(B1158,[1]pp3p1m!$1:$3,3,0),0)</f>
        <v>0</v>
      </c>
      <c r="L1158" s="430">
        <f>IFERROR(HLOOKUP(chitiet!B1158,[1]pp1p!$1:$3,3,0),0)</f>
        <v>0</v>
      </c>
      <c r="M1158" s="430"/>
      <c r="N1158" s="430"/>
      <c r="O1158" s="430"/>
      <c r="P1158" s="429">
        <f>H1158+Q1158-R1158</f>
        <v>0</v>
      </c>
      <c r="Q1158" s="431"/>
      <c r="R1158" s="431"/>
      <c r="S1158" s="431"/>
      <c r="T1158" s="432">
        <f>IFERROR(HLOOKUP(B1158,[1]pp1p!$1:$3,3,0),0)+IFERROR(HLOOKUP(B1158,[1]pp3p1m!$1:$3,3,0),0)</f>
        <v>0</v>
      </c>
    </row>
    <row r="1159" spans="1:20" ht="22.2" hidden="1" customHeight="1">
      <c r="B1159" s="406" t="s">
        <v>483</v>
      </c>
      <c r="C1159" s="465" t="str">
        <f t="shared" si="216"/>
        <v xml:space="preserve"> </v>
      </c>
      <c r="D1159" s="440">
        <v>1</v>
      </c>
      <c r="E1159" s="422"/>
      <c r="F1159" s="441" t="str">
        <f>VLOOKUP($B1159,[1]DG!A:D,[1]DG!$C$2,)</f>
        <v>Boulon mắt 16x300+ 2 long đền vuông D18-50x50x3/Zn</v>
      </c>
      <c r="G1159" s="422" t="str">
        <f>VLOOKUP($B1159,[1]DG!A:D,[1]DG!$D$2,)</f>
        <v>bộ</v>
      </c>
      <c r="H1159" s="435">
        <f t="shared" ref="H1159:N1165" si="219">H$1158*$D1159</f>
        <v>0</v>
      </c>
      <c r="I1159" s="435">
        <f t="shared" si="219"/>
        <v>0</v>
      </c>
      <c r="J1159" s="435">
        <f t="shared" si="219"/>
        <v>0</v>
      </c>
      <c r="K1159" s="435">
        <f t="shared" si="219"/>
        <v>0</v>
      </c>
      <c r="L1159" s="435">
        <f t="shared" si="219"/>
        <v>0</v>
      </c>
      <c r="M1159" s="435">
        <f t="shared" si="219"/>
        <v>0</v>
      </c>
      <c r="N1159" s="435">
        <f t="shared" si="219"/>
        <v>0</v>
      </c>
      <c r="O1159" s="435"/>
      <c r="P1159" s="435">
        <f t="shared" ref="P1159:P1166" si="220">$P$1158*D1159</f>
        <v>0</v>
      </c>
      <c r="Q1159" s="442"/>
      <c r="R1159" s="442">
        <f t="shared" ref="R1159:R1167" si="221">$R$1158*D1159</f>
        <v>0</v>
      </c>
      <c r="S1159" s="442"/>
      <c r="T1159" s="432">
        <f t="shared" si="214"/>
        <v>0</v>
      </c>
    </row>
    <row r="1160" spans="1:20" ht="22.2" hidden="1" customHeight="1">
      <c r="B1160" s="406" t="s">
        <v>988</v>
      </c>
      <c r="C1160" s="465" t="str">
        <f t="shared" si="216"/>
        <v xml:space="preserve"> </v>
      </c>
      <c r="D1160" s="440">
        <v>1</v>
      </c>
      <c r="E1160" s="422"/>
      <c r="F1160" s="441" t="str">
        <f>VLOOKUP($B1160,[1]DG!A:D,[1]DG!$C$2,)</f>
        <v>Sứ chằng</v>
      </c>
      <c r="G1160" s="422" t="str">
        <f>VLOOKUP($B1160,[1]DG!A:D,[1]DG!$D$2,)</f>
        <v>cái</v>
      </c>
      <c r="H1160" s="435">
        <f t="shared" si="219"/>
        <v>0</v>
      </c>
      <c r="I1160" s="435">
        <f t="shared" si="219"/>
        <v>0</v>
      </c>
      <c r="J1160" s="435">
        <f t="shared" si="219"/>
        <v>0</v>
      </c>
      <c r="K1160" s="435">
        <f t="shared" si="219"/>
        <v>0</v>
      </c>
      <c r="L1160" s="435">
        <f t="shared" si="219"/>
        <v>0</v>
      </c>
      <c r="M1160" s="435">
        <f t="shared" si="219"/>
        <v>0</v>
      </c>
      <c r="N1160" s="435">
        <f t="shared" si="219"/>
        <v>0</v>
      </c>
      <c r="O1160" s="435"/>
      <c r="P1160" s="435">
        <f t="shared" si="220"/>
        <v>0</v>
      </c>
      <c r="Q1160" s="442"/>
      <c r="R1160" s="442">
        <f t="shared" si="221"/>
        <v>0</v>
      </c>
      <c r="S1160" s="442"/>
      <c r="T1160" s="432">
        <f t="shared" si="214"/>
        <v>0</v>
      </c>
    </row>
    <row r="1161" spans="1:20" ht="22.2" hidden="1" customHeight="1">
      <c r="B1161" s="406" t="s">
        <v>989</v>
      </c>
      <c r="C1161" s="465" t="str">
        <f t="shared" si="216"/>
        <v xml:space="preserve"> </v>
      </c>
      <c r="D1161" s="440">
        <v>8</v>
      </c>
      <c r="E1161" s="422"/>
      <c r="F1161" s="441" t="str">
        <f>VLOOKUP($B1161,[1]DG!A:D,[1]DG!$C$2,)</f>
        <v>Kẹp cáp 3 boulon</v>
      </c>
      <c r="G1161" s="422" t="str">
        <f>VLOOKUP($B1161,[1]DG!A:D,[1]DG!$D$2,)</f>
        <v>cái</v>
      </c>
      <c r="H1161" s="435">
        <f t="shared" si="219"/>
        <v>0</v>
      </c>
      <c r="I1161" s="435">
        <f t="shared" si="219"/>
        <v>0</v>
      </c>
      <c r="J1161" s="435">
        <f t="shared" si="219"/>
        <v>0</v>
      </c>
      <c r="K1161" s="435">
        <f t="shared" si="219"/>
        <v>0</v>
      </c>
      <c r="L1161" s="435">
        <f t="shared" si="219"/>
        <v>0</v>
      </c>
      <c r="M1161" s="435">
        <f t="shared" si="219"/>
        <v>0</v>
      </c>
      <c r="N1161" s="435">
        <f t="shared" si="219"/>
        <v>0</v>
      </c>
      <c r="O1161" s="435"/>
      <c r="P1161" s="435">
        <f t="shared" si="220"/>
        <v>0</v>
      </c>
      <c r="Q1161" s="442"/>
      <c r="R1161" s="442">
        <f t="shared" si="221"/>
        <v>0</v>
      </c>
      <c r="S1161" s="442"/>
      <c r="T1161" s="432">
        <f t="shared" si="214"/>
        <v>0</v>
      </c>
    </row>
    <row r="1162" spans="1:20" ht="22.2" hidden="1" customHeight="1">
      <c r="B1162" s="406" t="s">
        <v>1010</v>
      </c>
      <c r="C1162" s="469" t="str">
        <f t="shared" si="216"/>
        <v xml:space="preserve"> </v>
      </c>
      <c r="D1162" s="439"/>
      <c r="E1162" s="422"/>
      <c r="F1162" s="441" t="str">
        <f>VLOOKUP($B1162,[1]DG!A:D,[1]DG!$C$2,)</f>
        <v>Cáp thép 5/8"</v>
      </c>
      <c r="G1162" s="422" t="str">
        <f>VLOOKUP($B1162,[1]DG!A:D,[1]DG!$D$2,)</f>
        <v>kg</v>
      </c>
      <c r="H1162" s="435">
        <f t="shared" ref="H1162:N1162" si="222">H$1172*$D1162</f>
        <v>0</v>
      </c>
      <c r="I1162" s="435">
        <f t="shared" si="222"/>
        <v>0</v>
      </c>
      <c r="J1162" s="435">
        <f t="shared" si="222"/>
        <v>0</v>
      </c>
      <c r="K1162" s="435">
        <f t="shared" si="222"/>
        <v>0</v>
      </c>
      <c r="L1162" s="435">
        <f t="shared" si="222"/>
        <v>0</v>
      </c>
      <c r="M1162" s="435">
        <f t="shared" si="222"/>
        <v>0</v>
      </c>
      <c r="N1162" s="435">
        <f t="shared" si="222"/>
        <v>0</v>
      </c>
      <c r="O1162" s="435"/>
      <c r="P1162" s="435">
        <f t="shared" ref="P1162" si="223">$P$1172*D1162</f>
        <v>0</v>
      </c>
      <c r="Q1162" s="437">
        <f t="shared" ref="Q1162" si="224">$Q$1172*D1162</f>
        <v>0</v>
      </c>
      <c r="R1162" s="442"/>
      <c r="S1162" s="442"/>
      <c r="T1162" s="432">
        <f t="shared" ref="T1162" si="225">IFERROR(HLOOKUP(B1162,BangKeTru,3,0),0)</f>
        <v>0</v>
      </c>
    </row>
    <row r="1163" spans="1:20" ht="22.2" hidden="1" customHeight="1">
      <c r="B1163" s="406" t="s">
        <v>1011</v>
      </c>
      <c r="C1163" s="465" t="str">
        <f t="shared" si="216"/>
        <v xml:space="preserve"> </v>
      </c>
      <c r="D1163" s="439">
        <v>14</v>
      </c>
      <c r="E1163" s="422"/>
      <c r="F1163" s="441" t="str">
        <f>VLOOKUP($B1163,[1]DG!A:D,[1]DG!$C$2,)</f>
        <v>Cáp thép 5/8"</v>
      </c>
      <c r="G1163" s="422" t="str">
        <f>VLOOKUP($B1163,[1]DG!A:D,[1]DG!$D$2,)</f>
        <v>mét</v>
      </c>
      <c r="H1163" s="435">
        <f t="shared" si="219"/>
        <v>0</v>
      </c>
      <c r="I1163" s="435">
        <f t="shared" si="219"/>
        <v>0</v>
      </c>
      <c r="J1163" s="435">
        <f t="shared" si="219"/>
        <v>0</v>
      </c>
      <c r="K1163" s="435">
        <f t="shared" si="219"/>
        <v>0</v>
      </c>
      <c r="L1163" s="435">
        <f t="shared" si="219"/>
        <v>0</v>
      </c>
      <c r="M1163" s="435">
        <f t="shared" si="219"/>
        <v>0</v>
      </c>
      <c r="N1163" s="435">
        <f t="shared" si="219"/>
        <v>0</v>
      </c>
      <c r="O1163" s="435"/>
      <c r="P1163" s="435">
        <f t="shared" si="220"/>
        <v>0</v>
      </c>
      <c r="Q1163" s="437"/>
      <c r="R1163" s="442">
        <f t="shared" si="221"/>
        <v>0</v>
      </c>
      <c r="S1163" s="442"/>
      <c r="T1163" s="432">
        <f t="shared" si="214"/>
        <v>0</v>
      </c>
    </row>
    <row r="1164" spans="1:20" ht="22.2" hidden="1" customHeight="1">
      <c r="B1164" s="406" t="s">
        <v>991</v>
      </c>
      <c r="C1164" s="465" t="str">
        <f t="shared" si="216"/>
        <v xml:space="preserve"> </v>
      </c>
      <c r="D1164" s="440">
        <v>2</v>
      </c>
      <c r="E1164" s="422"/>
      <c r="F1164" s="441" t="str">
        <f>VLOOKUP($B1164,[1]DG!A:D,[1]DG!$C$2,)</f>
        <v>Yếm cáp dày 2mm</v>
      </c>
      <c r="G1164" s="422" t="str">
        <f>VLOOKUP($B1164,[1]DG!A:D,[1]DG!$D$2,)</f>
        <v>cái</v>
      </c>
      <c r="H1164" s="435">
        <f t="shared" si="219"/>
        <v>0</v>
      </c>
      <c r="I1164" s="435">
        <f t="shared" si="219"/>
        <v>0</v>
      </c>
      <c r="J1164" s="435">
        <f t="shared" si="219"/>
        <v>0</v>
      </c>
      <c r="K1164" s="435">
        <f t="shared" si="219"/>
        <v>0</v>
      </c>
      <c r="L1164" s="435">
        <f t="shared" si="219"/>
        <v>0</v>
      </c>
      <c r="M1164" s="435">
        <f t="shared" si="219"/>
        <v>0</v>
      </c>
      <c r="N1164" s="435">
        <f t="shared" si="219"/>
        <v>0</v>
      </c>
      <c r="O1164" s="435"/>
      <c r="P1164" s="435">
        <f t="shared" si="220"/>
        <v>0</v>
      </c>
      <c r="Q1164" s="442"/>
      <c r="R1164" s="442">
        <f t="shared" si="221"/>
        <v>0</v>
      </c>
      <c r="S1164" s="442"/>
      <c r="T1164" s="432">
        <f t="shared" si="214"/>
        <v>0</v>
      </c>
    </row>
    <row r="1165" spans="1:20" ht="22.2" hidden="1" customHeight="1">
      <c r="B1165" s="406" t="s">
        <v>992</v>
      </c>
      <c r="C1165" s="465" t="str">
        <f t="shared" si="216"/>
        <v xml:space="preserve"> </v>
      </c>
      <c r="D1165" s="440">
        <v>1</v>
      </c>
      <c r="E1165" s="422"/>
      <c r="F1165" s="441" t="str">
        <f>VLOOKUP($B1165,[1]DG!A:D,[1]DG!$C$2,)</f>
        <v>Máng che dây chằng dày 1,6mm</v>
      </c>
      <c r="G1165" s="422" t="str">
        <f>VLOOKUP($B1165,[1]DG!A:D,[1]DG!$D$2,)</f>
        <v>cái</v>
      </c>
      <c r="H1165" s="435">
        <f t="shared" si="219"/>
        <v>0</v>
      </c>
      <c r="I1165" s="435">
        <f t="shared" si="219"/>
        <v>0</v>
      </c>
      <c r="J1165" s="435">
        <f t="shared" si="219"/>
        <v>0</v>
      </c>
      <c r="K1165" s="435">
        <f t="shared" si="219"/>
        <v>0</v>
      </c>
      <c r="L1165" s="435">
        <f t="shared" si="219"/>
        <v>0</v>
      </c>
      <c r="M1165" s="435">
        <f t="shared" si="219"/>
        <v>0</v>
      </c>
      <c r="N1165" s="435">
        <f t="shared" si="219"/>
        <v>0</v>
      </c>
      <c r="O1165" s="435"/>
      <c r="P1165" s="435">
        <f t="shared" si="220"/>
        <v>0</v>
      </c>
      <c r="Q1165" s="442"/>
      <c r="R1165" s="442">
        <f t="shared" si="221"/>
        <v>0</v>
      </c>
      <c r="S1165" s="442"/>
      <c r="T1165" s="432">
        <f t="shared" si="214"/>
        <v>0</v>
      </c>
    </row>
    <row r="1166" spans="1:20" ht="22.2" hidden="1" customHeight="1">
      <c r="B1166" s="406" t="s">
        <v>588</v>
      </c>
      <c r="C1166" s="465" t="str">
        <f t="shared" si="216"/>
        <v xml:space="preserve"> </v>
      </c>
      <c r="D1166" s="440">
        <f>D1159</f>
        <v>1</v>
      </c>
      <c r="E1166" s="422" t="str">
        <f>VLOOKUP($B1166,[1]DG!A:D,[1]DG!$B$2,)</f>
        <v>06.3241</v>
      </c>
      <c r="F1166" s="434" t="str">
        <f>VLOOKUP($B1166,[1]DG!A:D,[1]DG!$C$2,)</f>
        <v>Lắp bộ dây néo</v>
      </c>
      <c r="G1166" s="422" t="str">
        <f>VLOOKUP($B1166,[1]DG!A:D,[1]DG!$D$2,)</f>
        <v>bộ</v>
      </c>
      <c r="H1166" s="435">
        <f>H$1158*$D1166</f>
        <v>0</v>
      </c>
      <c r="I1166" s="435"/>
      <c r="J1166" s="435"/>
      <c r="K1166" s="435"/>
      <c r="L1166" s="435"/>
      <c r="M1166" s="435"/>
      <c r="N1166" s="435"/>
      <c r="O1166" s="435"/>
      <c r="P1166" s="435">
        <f t="shared" si="220"/>
        <v>0</v>
      </c>
      <c r="Q1166" s="437"/>
      <c r="R1166" s="442">
        <f t="shared" si="221"/>
        <v>0</v>
      </c>
      <c r="S1166" s="437"/>
      <c r="T1166" s="432">
        <f t="shared" si="214"/>
        <v>0</v>
      </c>
    </row>
    <row r="1167" spans="1:20" ht="22.2" hidden="1" customHeight="1">
      <c r="B1167" s="410" t="s">
        <v>588</v>
      </c>
      <c r="C1167" s="469" t="str">
        <f t="shared" si="216"/>
        <v xml:space="preserve"> </v>
      </c>
      <c r="D1167" s="440"/>
      <c r="E1167" s="422" t="str">
        <f>VLOOKUP($B1167,[1]DG!A:D,[1]DG!$B$2,)</f>
        <v>06.3241</v>
      </c>
      <c r="F1167" s="434" t="s">
        <v>1012</v>
      </c>
      <c r="G1167" s="422" t="str">
        <f>VLOOKUP($B1167,[1]DG!A:D,[1]DG!$D$2,)</f>
        <v>bộ</v>
      </c>
      <c r="H1167" s="435"/>
      <c r="I1167" s="435"/>
      <c r="J1167" s="435"/>
      <c r="K1167" s="435"/>
      <c r="L1167" s="435"/>
      <c r="M1167" s="435"/>
      <c r="N1167" s="435"/>
      <c r="O1167" s="435"/>
      <c r="P1167" s="435"/>
      <c r="Q1167" s="437"/>
      <c r="R1167" s="442">
        <f t="shared" si="221"/>
        <v>0</v>
      </c>
      <c r="S1167" s="437"/>
      <c r="T1167" s="432">
        <f t="shared" si="214"/>
        <v>0</v>
      </c>
    </row>
    <row r="1168" spans="1:20" ht="22.2" hidden="1" customHeight="1">
      <c r="A1168" s="423" t="s">
        <v>1013</v>
      </c>
      <c r="B1168" s="424" t="s">
        <v>1013</v>
      </c>
      <c r="C1168" s="469" t="str">
        <f t="shared" si="216"/>
        <v xml:space="preserve"> </v>
      </c>
      <c r="D1168" s="426"/>
      <c r="E1168" s="427"/>
      <c r="F1168" s="428" t="s">
        <v>1014</v>
      </c>
      <c r="G1168" s="349" t="s">
        <v>67</v>
      </c>
      <c r="H1168" s="429">
        <f>SUM(I1168:O1168)</f>
        <v>0</v>
      </c>
      <c r="I1168" s="430"/>
      <c r="J1168" s="430"/>
      <c r="K1168" s="430">
        <f>IFERROR(HLOOKUP(B1168,[1]pp3p1m!$1:$3,3,0),0)</f>
        <v>0</v>
      </c>
      <c r="L1168" s="430">
        <f>IFERROR(HLOOKUP(chitiet!B1168,[1]pp1p!$1:$3,3,0),0)</f>
        <v>0</v>
      </c>
      <c r="M1168" s="430"/>
      <c r="N1168" s="430"/>
      <c r="O1168" s="430"/>
      <c r="P1168" s="430">
        <f>H1168+Q1168-R1168</f>
        <v>0</v>
      </c>
      <c r="Q1168" s="431"/>
      <c r="R1168" s="431"/>
      <c r="S1168" s="431"/>
      <c r="T1168" s="432">
        <f>IFERROR(HLOOKUP(B1168,[1]pp1p!$1:$3,3,0),0)+IFERROR(HLOOKUP(B1168,[1]pp3p1m!$1:$3,3,0),0)</f>
        <v>0</v>
      </c>
    </row>
    <row r="1169" spans="1:20" ht="22.2" hidden="1" customHeight="1">
      <c r="A1169" s="379"/>
      <c r="B1169" s="410" t="s">
        <v>588</v>
      </c>
      <c r="C1169" s="469" t="str">
        <f t="shared" si="216"/>
        <v xml:space="preserve"> </v>
      </c>
      <c r="D1169" s="440">
        <v>1</v>
      </c>
      <c r="E1169" s="422"/>
      <c r="F1169" s="434" t="s">
        <v>589</v>
      </c>
      <c r="G1169" s="422" t="str">
        <f>VLOOKUP($B1169,[1]DG!A:D,[1]DG!$D$2,)</f>
        <v>bộ</v>
      </c>
      <c r="H1169" s="435">
        <f t="shared" ref="H1169:N1171" si="226">H$1168*$D1169</f>
        <v>0</v>
      </c>
      <c r="I1169" s="435">
        <f t="shared" si="226"/>
        <v>0</v>
      </c>
      <c r="J1169" s="435">
        <f t="shared" si="226"/>
        <v>0</v>
      </c>
      <c r="K1169" s="435">
        <f t="shared" si="226"/>
        <v>0</v>
      </c>
      <c r="L1169" s="435">
        <f t="shared" si="226"/>
        <v>0</v>
      </c>
      <c r="M1169" s="435">
        <f t="shared" si="226"/>
        <v>0</v>
      </c>
      <c r="N1169" s="435">
        <f t="shared" si="226"/>
        <v>0</v>
      </c>
      <c r="O1169" s="435"/>
      <c r="P1169" s="435"/>
      <c r="Q1169" s="442"/>
      <c r="R1169" s="442"/>
      <c r="S1169" s="442"/>
      <c r="T1169" s="432">
        <f t="shared" si="214"/>
        <v>0</v>
      </c>
    </row>
    <row r="1170" spans="1:20" ht="22.2" hidden="1" customHeight="1">
      <c r="A1170" s="379"/>
      <c r="B1170" s="410" t="s">
        <v>454</v>
      </c>
      <c r="C1170" s="469" t="str">
        <f t="shared" si="216"/>
        <v xml:space="preserve"> </v>
      </c>
      <c r="D1170" s="440">
        <v>1</v>
      </c>
      <c r="E1170" s="422"/>
      <c r="F1170" s="434" t="s">
        <v>455</v>
      </c>
      <c r="G1170" s="422" t="str">
        <f>VLOOKUP($B1170,[1]DG!A:D,[1]DG!$D$2,)</f>
        <v>bộ</v>
      </c>
      <c r="H1170" s="435">
        <f t="shared" si="226"/>
        <v>0</v>
      </c>
      <c r="I1170" s="435">
        <f t="shared" si="226"/>
        <v>0</v>
      </c>
      <c r="J1170" s="435">
        <f t="shared" si="226"/>
        <v>0</v>
      </c>
      <c r="K1170" s="435">
        <f t="shared" si="226"/>
        <v>0</v>
      </c>
      <c r="L1170" s="435">
        <f t="shared" si="226"/>
        <v>0</v>
      </c>
      <c r="M1170" s="435">
        <f t="shared" si="226"/>
        <v>0</v>
      </c>
      <c r="N1170" s="435">
        <f t="shared" si="226"/>
        <v>0</v>
      </c>
      <c r="O1170" s="435"/>
      <c r="P1170" s="435"/>
      <c r="Q1170" s="442"/>
      <c r="R1170" s="442"/>
      <c r="S1170" s="442"/>
      <c r="T1170" s="432">
        <f t="shared" si="214"/>
        <v>0</v>
      </c>
    </row>
    <row r="1171" spans="1:20" ht="22.2" hidden="1" customHeight="1">
      <c r="A1171" s="379"/>
      <c r="B1171" s="438" t="s">
        <v>993</v>
      </c>
      <c r="C1171" s="469" t="str">
        <f t="shared" si="216"/>
        <v xml:space="preserve"> </v>
      </c>
      <c r="D1171" s="439">
        <v>0.02</v>
      </c>
      <c r="E1171" s="422" t="str">
        <f>VLOOKUP($B1171,[1]DG!A:C,2,)</f>
        <v>02.1421</v>
      </c>
      <c r="F1171" s="434" t="str">
        <f>VLOOKUP($B1171,[1]DG!A:C,3,)</f>
        <v>V/c phụ kiện vào vị trí (cự ly &lt;=100m)</v>
      </c>
      <c r="G1171" s="422" t="str">
        <f>VLOOKUP($B1171,[1]DG!A:D,4,0)</f>
        <v>tấn</v>
      </c>
      <c r="H1171" s="435">
        <f t="shared" si="226"/>
        <v>0</v>
      </c>
      <c r="I1171" s="435">
        <f t="shared" si="226"/>
        <v>0</v>
      </c>
      <c r="J1171" s="435">
        <f t="shared" si="226"/>
        <v>0</v>
      </c>
      <c r="K1171" s="435">
        <f t="shared" si="226"/>
        <v>0</v>
      </c>
      <c r="L1171" s="435">
        <f t="shared" si="226"/>
        <v>0</v>
      </c>
      <c r="M1171" s="435">
        <f t="shared" si="226"/>
        <v>0</v>
      </c>
      <c r="N1171" s="435">
        <f t="shared" si="226"/>
        <v>0</v>
      </c>
      <c r="O1171" s="435"/>
      <c r="P1171" s="435"/>
      <c r="Q1171" s="442"/>
      <c r="R1171" s="442"/>
      <c r="S1171" s="442"/>
      <c r="T1171" s="432">
        <f t="shared" si="214"/>
        <v>0</v>
      </c>
    </row>
    <row r="1172" spans="1:20" ht="22.2" customHeight="1">
      <c r="A1172" s="451" t="s">
        <v>1015</v>
      </c>
      <c r="B1172" s="424" t="s">
        <v>1015</v>
      </c>
      <c r="C1172" s="469" t="str">
        <f t="shared" si="216"/>
        <v>x</v>
      </c>
      <c r="D1172" s="426"/>
      <c r="E1172" s="427"/>
      <c r="F1172" s="428" t="s">
        <v>1016</v>
      </c>
      <c r="G1172" s="349" t="s">
        <v>67</v>
      </c>
      <c r="H1172" s="429">
        <f>SUM(I1172:O1172)</f>
        <v>1</v>
      </c>
      <c r="I1172" s="430"/>
      <c r="J1172" s="430"/>
      <c r="K1172" s="430">
        <f>IFERROR(HLOOKUP(B1172,[1]pp3p1m!$1:$3,3,0),0)</f>
        <v>1</v>
      </c>
      <c r="L1172" s="430">
        <f>IFERROR(HLOOKUP(chitiet!B1172,[1]pp1p!$1:$3,3,0),0)</f>
        <v>0</v>
      </c>
      <c r="M1172" s="430"/>
      <c r="N1172" s="430"/>
      <c r="O1172" s="430"/>
      <c r="P1172" s="430">
        <f>H1172+Q1172-R1172</f>
        <v>1</v>
      </c>
      <c r="Q1172" s="431"/>
      <c r="R1172" s="431"/>
      <c r="S1172" s="431"/>
      <c r="T1172" s="432">
        <f>IFERROR(HLOOKUP(B1172,[1]pp1p!$1:$3,3,0),0)+IFERROR(HLOOKUP(B1172,[1]pp3p1m!$1:$3,3,0),0)</f>
        <v>1</v>
      </c>
    </row>
    <row r="1173" spans="1:20" ht="22.2" hidden="1" customHeight="1">
      <c r="B1173" s="406" t="s">
        <v>483</v>
      </c>
      <c r="C1173" s="469" t="str">
        <f t="shared" si="216"/>
        <v>x</v>
      </c>
      <c r="D1173" s="440">
        <v>1</v>
      </c>
      <c r="E1173" s="422"/>
      <c r="F1173" s="441" t="str">
        <f>VLOOKUP($B1173,[1]DG!A:D,[1]DG!$C$2,)</f>
        <v>Boulon mắt 16x300+ 2 long đền vuông D18-50x50x3/Zn</v>
      </c>
      <c r="G1173" s="422" t="str">
        <f>VLOOKUP($B1173,[1]DG!A:D,[1]DG!$D$2,)</f>
        <v>bộ</v>
      </c>
      <c r="H1173" s="435">
        <f t="shared" ref="H1173:N1180" si="227">H$1172*$D1173</f>
        <v>1</v>
      </c>
      <c r="I1173" s="435">
        <f t="shared" si="227"/>
        <v>0</v>
      </c>
      <c r="J1173" s="435">
        <f t="shared" si="227"/>
        <v>0</v>
      </c>
      <c r="K1173" s="435">
        <f t="shared" si="227"/>
        <v>1</v>
      </c>
      <c r="L1173" s="435">
        <f t="shared" si="227"/>
        <v>0</v>
      </c>
      <c r="M1173" s="435">
        <f t="shared" si="227"/>
        <v>0</v>
      </c>
      <c r="N1173" s="435">
        <f t="shared" si="227"/>
        <v>0</v>
      </c>
      <c r="O1173" s="435"/>
      <c r="P1173" s="435">
        <f t="shared" ref="P1173:P1181" si="228">$P$1172*D1173</f>
        <v>1</v>
      </c>
      <c r="Q1173" s="442">
        <f t="shared" ref="Q1173:Q1182" si="229">$Q$1172*D1173</f>
        <v>0</v>
      </c>
      <c r="R1173" s="442"/>
      <c r="S1173" s="442"/>
      <c r="T1173" s="432">
        <f t="shared" si="214"/>
        <v>0</v>
      </c>
    </row>
    <row r="1174" spans="1:20" ht="22.2" hidden="1" customHeight="1">
      <c r="B1174" s="406" t="s">
        <v>988</v>
      </c>
      <c r="C1174" s="469" t="str">
        <f t="shared" si="216"/>
        <v>x</v>
      </c>
      <c r="D1174" s="440">
        <v>1</v>
      </c>
      <c r="E1174" s="422"/>
      <c r="F1174" s="441" t="str">
        <f>VLOOKUP($B1174,[1]DG!A:D,[1]DG!$C$2,)</f>
        <v>Sứ chằng</v>
      </c>
      <c r="G1174" s="422" t="str">
        <f>VLOOKUP($B1174,[1]DG!A:D,[1]DG!$D$2,)</f>
        <v>cái</v>
      </c>
      <c r="H1174" s="435">
        <f t="shared" si="227"/>
        <v>1</v>
      </c>
      <c r="I1174" s="435">
        <f t="shared" si="227"/>
        <v>0</v>
      </c>
      <c r="J1174" s="435">
        <f t="shared" si="227"/>
        <v>0</v>
      </c>
      <c r="K1174" s="435">
        <f t="shared" si="227"/>
        <v>1</v>
      </c>
      <c r="L1174" s="435">
        <f t="shared" si="227"/>
        <v>0</v>
      </c>
      <c r="M1174" s="435">
        <f t="shared" si="227"/>
        <v>0</v>
      </c>
      <c r="N1174" s="435">
        <f t="shared" si="227"/>
        <v>0</v>
      </c>
      <c r="O1174" s="435"/>
      <c r="P1174" s="435">
        <f t="shared" si="228"/>
        <v>1</v>
      </c>
      <c r="Q1174" s="442">
        <f t="shared" si="229"/>
        <v>0</v>
      </c>
      <c r="R1174" s="442"/>
      <c r="S1174" s="442"/>
      <c r="T1174" s="432">
        <f t="shared" si="214"/>
        <v>0</v>
      </c>
    </row>
    <row r="1175" spans="1:20" ht="22.2" hidden="1" customHeight="1">
      <c r="B1175" s="406" t="s">
        <v>989</v>
      </c>
      <c r="C1175" s="469" t="str">
        <f t="shared" si="216"/>
        <v>x</v>
      </c>
      <c r="D1175" s="440">
        <v>8</v>
      </c>
      <c r="E1175" s="422"/>
      <c r="F1175" s="441" t="str">
        <f>VLOOKUP($B1175,[1]DG!A:D,[1]DG!$C$2,)</f>
        <v>Kẹp cáp 3 boulon</v>
      </c>
      <c r="G1175" s="422" t="str">
        <f>VLOOKUP($B1175,[1]DG!A:D,[1]DG!$D$2,)</f>
        <v>cái</v>
      </c>
      <c r="H1175" s="435">
        <f t="shared" si="227"/>
        <v>8</v>
      </c>
      <c r="I1175" s="435">
        <f t="shared" si="227"/>
        <v>0</v>
      </c>
      <c r="J1175" s="435">
        <f t="shared" si="227"/>
        <v>0</v>
      </c>
      <c r="K1175" s="435">
        <f t="shared" si="227"/>
        <v>8</v>
      </c>
      <c r="L1175" s="435">
        <f t="shared" si="227"/>
        <v>0</v>
      </c>
      <c r="M1175" s="435">
        <f t="shared" si="227"/>
        <v>0</v>
      </c>
      <c r="N1175" s="435">
        <f t="shared" si="227"/>
        <v>0</v>
      </c>
      <c r="O1175" s="435"/>
      <c r="P1175" s="435">
        <f t="shared" si="228"/>
        <v>8</v>
      </c>
      <c r="Q1175" s="442">
        <f t="shared" si="229"/>
        <v>0</v>
      </c>
      <c r="R1175" s="442"/>
      <c r="S1175" s="442"/>
      <c r="T1175" s="432">
        <f t="shared" si="214"/>
        <v>0</v>
      </c>
    </row>
    <row r="1176" spans="1:20" ht="22.2" hidden="1" customHeight="1">
      <c r="B1176" s="406" t="s">
        <v>1010</v>
      </c>
      <c r="C1176" s="469" t="str">
        <f t="shared" si="216"/>
        <v xml:space="preserve"> </v>
      </c>
      <c r="D1176" s="439"/>
      <c r="E1176" s="422"/>
      <c r="F1176" s="441" t="str">
        <f>VLOOKUP($B1176,[1]DG!A:D,[1]DG!$C$2,)</f>
        <v>Cáp thép 5/8"</v>
      </c>
      <c r="G1176" s="422" t="str">
        <f>VLOOKUP($B1176,[1]DG!A:D,[1]DG!$D$2,)</f>
        <v>kg</v>
      </c>
      <c r="H1176" s="435">
        <f t="shared" si="227"/>
        <v>0</v>
      </c>
      <c r="I1176" s="435">
        <f t="shared" si="227"/>
        <v>0</v>
      </c>
      <c r="J1176" s="435">
        <f t="shared" si="227"/>
        <v>0</v>
      </c>
      <c r="K1176" s="435">
        <f t="shared" si="227"/>
        <v>0</v>
      </c>
      <c r="L1176" s="435">
        <f t="shared" si="227"/>
        <v>0</v>
      </c>
      <c r="M1176" s="435">
        <f t="shared" si="227"/>
        <v>0</v>
      </c>
      <c r="N1176" s="435">
        <f t="shared" si="227"/>
        <v>0</v>
      </c>
      <c r="O1176" s="435"/>
      <c r="P1176" s="435">
        <f t="shared" si="228"/>
        <v>0</v>
      </c>
      <c r="Q1176" s="437">
        <f t="shared" si="229"/>
        <v>0</v>
      </c>
      <c r="R1176" s="442"/>
      <c r="S1176" s="442"/>
      <c r="T1176" s="432">
        <f t="shared" ref="T1176" si="230">IFERROR(HLOOKUP(B1176,BangKeTru,3,0),0)</f>
        <v>0</v>
      </c>
    </row>
    <row r="1177" spans="1:20" ht="22.2" hidden="1" customHeight="1">
      <c r="B1177" s="406" t="s">
        <v>1011</v>
      </c>
      <c r="C1177" s="469" t="str">
        <f t="shared" si="216"/>
        <v>x</v>
      </c>
      <c r="D1177" s="439">
        <v>14</v>
      </c>
      <c r="E1177" s="422"/>
      <c r="F1177" s="441" t="str">
        <f>VLOOKUP($B1177,[1]DG!A:D,[1]DG!$C$2,)</f>
        <v>Cáp thép 5/8"</v>
      </c>
      <c r="G1177" s="422" t="str">
        <f>VLOOKUP($B1177,[1]DG!A:D,[1]DG!$D$2,)</f>
        <v>mét</v>
      </c>
      <c r="H1177" s="435">
        <f t="shared" si="227"/>
        <v>14</v>
      </c>
      <c r="I1177" s="435">
        <f t="shared" si="227"/>
        <v>0</v>
      </c>
      <c r="J1177" s="435">
        <f t="shared" si="227"/>
        <v>0</v>
      </c>
      <c r="K1177" s="435">
        <f t="shared" si="227"/>
        <v>14</v>
      </c>
      <c r="L1177" s="435">
        <f t="shared" si="227"/>
        <v>0</v>
      </c>
      <c r="M1177" s="435">
        <f t="shared" si="227"/>
        <v>0</v>
      </c>
      <c r="N1177" s="435">
        <f t="shared" si="227"/>
        <v>0</v>
      </c>
      <c r="O1177" s="435"/>
      <c r="P1177" s="435">
        <f t="shared" si="228"/>
        <v>14</v>
      </c>
      <c r="Q1177" s="437">
        <f t="shared" si="229"/>
        <v>0</v>
      </c>
      <c r="R1177" s="442"/>
      <c r="S1177" s="442"/>
      <c r="T1177" s="432">
        <f t="shared" si="214"/>
        <v>0</v>
      </c>
    </row>
    <row r="1178" spans="1:20" ht="22.2" hidden="1" customHeight="1">
      <c r="B1178" s="406" t="s">
        <v>1003</v>
      </c>
      <c r="C1178" s="469" t="str">
        <f t="shared" si="216"/>
        <v>x</v>
      </c>
      <c r="D1178" s="440">
        <v>1</v>
      </c>
      <c r="E1178" s="422"/>
      <c r="F1178" s="441" t="str">
        <f>VLOOKUP($B1178,[1]DG!A:D,[1]DG!$C$2,)</f>
        <v>Bộ chống chằng hẹp Ø60/50x1500+2BL12x40+BL16x250/80</v>
      </c>
      <c r="G1178" s="422" t="str">
        <f>VLOOKUP($B1178,[1]DG!A:D,[1]DG!$D$2,)</f>
        <v>bộ</v>
      </c>
      <c r="H1178" s="435">
        <f t="shared" si="227"/>
        <v>1</v>
      </c>
      <c r="I1178" s="435">
        <f t="shared" si="227"/>
        <v>0</v>
      </c>
      <c r="J1178" s="435">
        <f t="shared" si="227"/>
        <v>0</v>
      </c>
      <c r="K1178" s="435">
        <f t="shared" si="227"/>
        <v>1</v>
      </c>
      <c r="L1178" s="435">
        <f t="shared" si="227"/>
        <v>0</v>
      </c>
      <c r="M1178" s="435">
        <f t="shared" si="227"/>
        <v>0</v>
      </c>
      <c r="N1178" s="435">
        <f t="shared" si="227"/>
        <v>0</v>
      </c>
      <c r="O1178" s="435"/>
      <c r="P1178" s="435">
        <f t="shared" si="228"/>
        <v>1</v>
      </c>
      <c r="Q1178" s="442">
        <f t="shared" si="229"/>
        <v>0</v>
      </c>
      <c r="R1178" s="442"/>
      <c r="S1178" s="442"/>
      <c r="T1178" s="432">
        <f t="shared" si="214"/>
        <v>0</v>
      </c>
    </row>
    <row r="1179" spans="1:20" ht="22.2" hidden="1" customHeight="1">
      <c r="B1179" s="406" t="s">
        <v>991</v>
      </c>
      <c r="C1179" s="469" t="str">
        <f t="shared" si="216"/>
        <v>x</v>
      </c>
      <c r="D1179" s="440">
        <v>2</v>
      </c>
      <c r="E1179" s="422"/>
      <c r="F1179" s="441" t="str">
        <f>VLOOKUP($B1179,[1]DG!A:D,[1]DG!$C$2,)</f>
        <v>Yếm cáp dày 2mm</v>
      </c>
      <c r="G1179" s="422" t="str">
        <f>VLOOKUP($B1179,[1]DG!A:D,[1]DG!$D$2,)</f>
        <v>cái</v>
      </c>
      <c r="H1179" s="435">
        <f t="shared" si="227"/>
        <v>2</v>
      </c>
      <c r="I1179" s="435">
        <f t="shared" si="227"/>
        <v>0</v>
      </c>
      <c r="J1179" s="435">
        <f t="shared" si="227"/>
        <v>0</v>
      </c>
      <c r="K1179" s="435">
        <f t="shared" si="227"/>
        <v>2</v>
      </c>
      <c r="L1179" s="435">
        <f t="shared" si="227"/>
        <v>0</v>
      </c>
      <c r="M1179" s="435">
        <f t="shared" si="227"/>
        <v>0</v>
      </c>
      <c r="N1179" s="435">
        <f t="shared" si="227"/>
        <v>0</v>
      </c>
      <c r="O1179" s="435"/>
      <c r="P1179" s="435">
        <f t="shared" si="228"/>
        <v>2</v>
      </c>
      <c r="Q1179" s="442">
        <f t="shared" si="229"/>
        <v>0</v>
      </c>
      <c r="R1179" s="442"/>
      <c r="S1179" s="442"/>
      <c r="T1179" s="432">
        <f t="shared" si="214"/>
        <v>0</v>
      </c>
    </row>
    <row r="1180" spans="1:20" ht="22.2" hidden="1" customHeight="1">
      <c r="B1180" s="406" t="s">
        <v>992</v>
      </c>
      <c r="C1180" s="469" t="str">
        <f t="shared" si="216"/>
        <v>x</v>
      </c>
      <c r="D1180" s="440">
        <v>1</v>
      </c>
      <c r="E1180" s="422"/>
      <c r="F1180" s="441" t="str">
        <f>VLOOKUP($B1180,[1]DG!A:D,[1]DG!$C$2,)</f>
        <v>Máng che dây chằng dày 1,6mm</v>
      </c>
      <c r="G1180" s="422" t="str">
        <f>VLOOKUP($B1180,[1]DG!A:D,[1]DG!$D$2,)</f>
        <v>cái</v>
      </c>
      <c r="H1180" s="435">
        <f t="shared" si="227"/>
        <v>1</v>
      </c>
      <c r="I1180" s="435">
        <f t="shared" si="227"/>
        <v>0</v>
      </c>
      <c r="J1180" s="435">
        <f t="shared" si="227"/>
        <v>0</v>
      </c>
      <c r="K1180" s="435">
        <f t="shared" si="227"/>
        <v>1</v>
      </c>
      <c r="L1180" s="435">
        <f t="shared" si="227"/>
        <v>0</v>
      </c>
      <c r="M1180" s="435">
        <f t="shared" si="227"/>
        <v>0</v>
      </c>
      <c r="N1180" s="435">
        <f t="shared" si="227"/>
        <v>0</v>
      </c>
      <c r="O1180" s="435"/>
      <c r="P1180" s="435">
        <f t="shared" si="228"/>
        <v>1</v>
      </c>
      <c r="Q1180" s="442">
        <f t="shared" si="229"/>
        <v>0</v>
      </c>
      <c r="R1180" s="442"/>
      <c r="S1180" s="442"/>
      <c r="T1180" s="432">
        <f t="shared" si="214"/>
        <v>0</v>
      </c>
    </row>
    <row r="1181" spans="1:20" ht="22.2" hidden="1" customHeight="1">
      <c r="B1181" s="406" t="s">
        <v>588</v>
      </c>
      <c r="C1181" s="469" t="str">
        <f t="shared" si="216"/>
        <v>x</v>
      </c>
      <c r="D1181" s="440">
        <v>1</v>
      </c>
      <c r="E1181" s="422" t="str">
        <f>VLOOKUP($B1181,[1]DG!A:D,[1]DG!$B$2,)</f>
        <v>06.3241</v>
      </c>
      <c r="F1181" s="434" t="str">
        <f>VLOOKUP($B1181,[1]DG!A:D,[1]DG!$C$2,)</f>
        <v>Lắp bộ dây néo</v>
      </c>
      <c r="G1181" s="422" t="str">
        <f>VLOOKUP($B1181,[1]DG!A:D,[1]DG!$D$2,)</f>
        <v>bộ</v>
      </c>
      <c r="H1181" s="435">
        <f>H$1172*$D1181</f>
        <v>1</v>
      </c>
      <c r="I1181" s="435"/>
      <c r="J1181" s="435"/>
      <c r="K1181" s="435"/>
      <c r="L1181" s="435"/>
      <c r="M1181" s="435"/>
      <c r="N1181" s="435"/>
      <c r="O1181" s="435"/>
      <c r="P1181" s="435">
        <f t="shared" si="228"/>
        <v>1</v>
      </c>
      <c r="Q1181" s="442">
        <f t="shared" si="229"/>
        <v>0</v>
      </c>
      <c r="R1181" s="437"/>
      <c r="S1181" s="437"/>
      <c r="T1181" s="432">
        <f t="shared" si="214"/>
        <v>0</v>
      </c>
    </row>
    <row r="1182" spans="1:20" ht="22.2" hidden="1" customHeight="1">
      <c r="A1182" s="379"/>
      <c r="B1182" s="406" t="s">
        <v>454</v>
      </c>
      <c r="C1182" s="469" t="str">
        <f t="shared" si="216"/>
        <v xml:space="preserve"> </v>
      </c>
      <c r="D1182" s="440">
        <v>1</v>
      </c>
      <c r="E1182" s="422" t="str">
        <f>VLOOKUP($B1182,[1]DG!A:D,[1]DG!$B$2,)</f>
        <v>05.6011</v>
      </c>
      <c r="F1182" s="434" t="str">
        <f>VLOOKUP($B1182,[1]DG!A:D,[1]DG!$C$2,)</f>
        <v>Lắp bộ chống lệch</v>
      </c>
      <c r="G1182" s="422" t="str">
        <f>VLOOKUP($B1182,[1]DG!A:D,[1]DG!$D$2,)</f>
        <v>bộ</v>
      </c>
      <c r="H1182" s="435"/>
      <c r="I1182" s="435"/>
      <c r="J1182" s="435"/>
      <c r="K1182" s="435"/>
      <c r="L1182" s="435"/>
      <c r="M1182" s="435"/>
      <c r="N1182" s="435"/>
      <c r="O1182" s="435"/>
      <c r="P1182" s="435"/>
      <c r="Q1182" s="442">
        <f t="shared" si="229"/>
        <v>0</v>
      </c>
      <c r="R1182" s="437"/>
      <c r="S1182" s="437"/>
      <c r="T1182" s="432">
        <f t="shared" si="214"/>
        <v>0</v>
      </c>
    </row>
    <row r="1183" spans="1:20" ht="22.2" hidden="1" customHeight="1">
      <c r="A1183" s="379"/>
      <c r="B1183" s="438" t="s">
        <v>993</v>
      </c>
      <c r="C1183" s="469" t="str">
        <f t="shared" si="216"/>
        <v xml:space="preserve"> </v>
      </c>
      <c r="D1183" s="439"/>
      <c r="E1183" s="422" t="str">
        <f>VLOOKUP($B1183,[1]DG!A:C,2,)</f>
        <v>02.1421</v>
      </c>
      <c r="F1183" s="434" t="str">
        <f>VLOOKUP($B1183,[1]DG!A:C,3,)</f>
        <v>V/c phụ kiện vào vị trí (cự ly &lt;=100m)</v>
      </c>
      <c r="G1183" s="422" t="str">
        <f>VLOOKUP($B1183,[1]DG!A:D,4,0)</f>
        <v>tấn</v>
      </c>
      <c r="H1183" s="435"/>
      <c r="I1183" s="435"/>
      <c r="J1183" s="435"/>
      <c r="K1183" s="435"/>
      <c r="L1183" s="435"/>
      <c r="M1183" s="435"/>
      <c r="N1183" s="435"/>
      <c r="O1183" s="435"/>
      <c r="P1183" s="435"/>
      <c r="Q1183" s="437"/>
      <c r="R1183" s="437"/>
      <c r="S1183" s="437"/>
      <c r="T1183" s="432">
        <f t="shared" si="214"/>
        <v>0</v>
      </c>
    </row>
    <row r="1184" spans="1:20" ht="22.2" hidden="1" customHeight="1">
      <c r="A1184" s="423" t="s">
        <v>1017</v>
      </c>
      <c r="B1184" s="424" t="s">
        <v>1017</v>
      </c>
      <c r="C1184" s="469" t="str">
        <f t="shared" si="216"/>
        <v xml:space="preserve"> </v>
      </c>
      <c r="D1184" s="426"/>
      <c r="E1184" s="427"/>
      <c r="F1184" s="428" t="s">
        <v>1018</v>
      </c>
      <c r="G1184" s="349" t="s">
        <v>67</v>
      </c>
      <c r="H1184" s="429">
        <f>SUM(I1184:O1184)</f>
        <v>0</v>
      </c>
      <c r="I1184" s="430"/>
      <c r="J1184" s="430"/>
      <c r="K1184" s="430">
        <f>IFERROR(HLOOKUP(B1184,[1]pp3p1m!$1:$3,3,0),0)</f>
        <v>0</v>
      </c>
      <c r="L1184" s="430">
        <f>IFERROR(HLOOKUP(chitiet!B1184,[1]pp1p!$1:$3,3,0),0)</f>
        <v>0</v>
      </c>
      <c r="M1184" s="430"/>
      <c r="N1184" s="430"/>
      <c r="O1184" s="430"/>
      <c r="P1184" s="430">
        <f>H1184+Q1184-R1184</f>
        <v>0</v>
      </c>
      <c r="Q1184" s="431"/>
      <c r="R1184" s="431"/>
      <c r="S1184" s="431"/>
      <c r="T1184" s="432">
        <f>IFERROR(HLOOKUP(B1184,[1]pp1p!$1:$3,3,0),0)+IFERROR(HLOOKUP(B1184,[1]pp3p1m!$1:$3,3,0),0)</f>
        <v>0</v>
      </c>
    </row>
    <row r="1185" spans="1:20" ht="22.2" hidden="1" customHeight="1">
      <c r="A1185" s="379"/>
      <c r="B1185" s="410" t="s">
        <v>482</v>
      </c>
      <c r="C1185" s="469" t="str">
        <f t="shared" si="216"/>
        <v xml:space="preserve"> </v>
      </c>
      <c r="D1185" s="440">
        <v>2</v>
      </c>
      <c r="E1185" s="422"/>
      <c r="F1185" s="441" t="str">
        <f>VLOOKUP($B1185,[1]DG!A:D,[1]DG!$C$2,)</f>
        <v>Boulon mắt 16x250+ 2 long đền vuông D18-50x50x3/Zn</v>
      </c>
      <c r="G1185" s="422" t="str">
        <f>VLOOKUP($B1185,[1]DG!A:D,[1]DG!$D$2,)</f>
        <v>bộ</v>
      </c>
      <c r="H1185" s="435">
        <f t="shared" ref="H1185:N1190" si="231">H$1184*$D1185</f>
        <v>0</v>
      </c>
      <c r="I1185" s="435">
        <f t="shared" si="231"/>
        <v>0</v>
      </c>
      <c r="J1185" s="435">
        <f t="shared" si="231"/>
        <v>0</v>
      </c>
      <c r="K1185" s="435">
        <f t="shared" si="231"/>
        <v>0</v>
      </c>
      <c r="L1185" s="435">
        <f t="shared" si="231"/>
        <v>0</v>
      </c>
      <c r="M1185" s="435">
        <f t="shared" si="231"/>
        <v>0</v>
      </c>
      <c r="N1185" s="435">
        <f t="shared" si="231"/>
        <v>0</v>
      </c>
      <c r="O1185" s="435"/>
      <c r="P1185" s="435"/>
      <c r="Q1185" s="442"/>
      <c r="R1185" s="442"/>
      <c r="S1185" s="442"/>
      <c r="T1185" s="432">
        <f t="shared" si="214"/>
        <v>0</v>
      </c>
    </row>
    <row r="1186" spans="1:20" ht="22.2" hidden="1" customHeight="1">
      <c r="A1186" s="379"/>
      <c r="B1186" s="410" t="s">
        <v>988</v>
      </c>
      <c r="C1186" s="469" t="str">
        <f t="shared" si="216"/>
        <v xml:space="preserve"> </v>
      </c>
      <c r="D1186" s="440">
        <v>2</v>
      </c>
      <c r="E1186" s="422"/>
      <c r="F1186" s="441" t="str">
        <f>VLOOKUP($B1186,[1]DG!A:D,[1]DG!$C$2,)</f>
        <v>Sứ chằng</v>
      </c>
      <c r="G1186" s="422" t="str">
        <f>VLOOKUP($B1186,[1]DG!A:D,[1]DG!$D$2,)</f>
        <v>cái</v>
      </c>
      <c r="H1186" s="435">
        <f t="shared" si="231"/>
        <v>0</v>
      </c>
      <c r="I1186" s="435">
        <f t="shared" si="231"/>
        <v>0</v>
      </c>
      <c r="J1186" s="435">
        <f t="shared" si="231"/>
        <v>0</v>
      </c>
      <c r="K1186" s="435">
        <f t="shared" si="231"/>
        <v>0</v>
      </c>
      <c r="L1186" s="435">
        <f t="shared" si="231"/>
        <v>0</v>
      </c>
      <c r="M1186" s="435">
        <f t="shared" si="231"/>
        <v>0</v>
      </c>
      <c r="N1186" s="435">
        <f t="shared" si="231"/>
        <v>0</v>
      </c>
      <c r="O1186" s="435"/>
      <c r="P1186" s="435"/>
      <c r="Q1186" s="442"/>
      <c r="R1186" s="442"/>
      <c r="S1186" s="442"/>
      <c r="T1186" s="432">
        <f t="shared" si="214"/>
        <v>0</v>
      </c>
    </row>
    <row r="1187" spans="1:20" ht="22.2" hidden="1" customHeight="1">
      <c r="A1187" s="379"/>
      <c r="B1187" s="410" t="s">
        <v>989</v>
      </c>
      <c r="C1187" s="469" t="str">
        <f t="shared" si="216"/>
        <v xml:space="preserve"> </v>
      </c>
      <c r="D1187" s="440">
        <v>16</v>
      </c>
      <c r="E1187" s="422"/>
      <c r="F1187" s="441" t="str">
        <f>VLOOKUP($B1187,[1]DG!A:D,[1]DG!$C$2,)</f>
        <v>Kẹp cáp 3 boulon</v>
      </c>
      <c r="G1187" s="422" t="str">
        <f>VLOOKUP($B1187,[1]DG!A:D,[1]DG!$D$2,)</f>
        <v>cái</v>
      </c>
      <c r="H1187" s="435">
        <f t="shared" si="231"/>
        <v>0</v>
      </c>
      <c r="I1187" s="435">
        <f t="shared" si="231"/>
        <v>0</v>
      </c>
      <c r="J1187" s="435">
        <f t="shared" si="231"/>
        <v>0</v>
      </c>
      <c r="K1187" s="435">
        <f t="shared" si="231"/>
        <v>0</v>
      </c>
      <c r="L1187" s="435">
        <f t="shared" si="231"/>
        <v>0</v>
      </c>
      <c r="M1187" s="435">
        <f t="shared" si="231"/>
        <v>0</v>
      </c>
      <c r="N1187" s="435">
        <f t="shared" si="231"/>
        <v>0</v>
      </c>
      <c r="O1187" s="435"/>
      <c r="P1187" s="435"/>
      <c r="Q1187" s="442"/>
      <c r="R1187" s="442"/>
      <c r="S1187" s="442"/>
      <c r="T1187" s="432">
        <f t="shared" si="214"/>
        <v>0</v>
      </c>
    </row>
    <row r="1188" spans="1:20" ht="22.2" hidden="1" customHeight="1">
      <c r="A1188" s="379"/>
      <c r="B1188" s="410" t="s">
        <v>1010</v>
      </c>
      <c r="C1188" s="469" t="str">
        <f t="shared" si="216"/>
        <v xml:space="preserve"> </v>
      </c>
      <c r="D1188" s="440">
        <v>35</v>
      </c>
      <c r="E1188" s="422"/>
      <c r="F1188" s="441" t="str">
        <f>VLOOKUP($B1188,[1]DG!A:D,[1]DG!$C$2,)</f>
        <v>Cáp thép 5/8"</v>
      </c>
      <c r="G1188" s="422" t="str">
        <f>VLOOKUP($B1188,[1]DG!A:D,[1]DG!$D$2,)</f>
        <v>kg</v>
      </c>
      <c r="H1188" s="435">
        <f t="shared" si="231"/>
        <v>0</v>
      </c>
      <c r="I1188" s="435">
        <f t="shared" si="231"/>
        <v>0</v>
      </c>
      <c r="J1188" s="435">
        <f t="shared" si="231"/>
        <v>0</v>
      </c>
      <c r="K1188" s="435">
        <f t="shared" si="231"/>
        <v>0</v>
      </c>
      <c r="L1188" s="435">
        <f t="shared" si="231"/>
        <v>0</v>
      </c>
      <c r="M1188" s="435">
        <f t="shared" si="231"/>
        <v>0</v>
      </c>
      <c r="N1188" s="435">
        <f t="shared" si="231"/>
        <v>0</v>
      </c>
      <c r="O1188" s="435"/>
      <c r="P1188" s="435"/>
      <c r="Q1188" s="442"/>
      <c r="R1188" s="442"/>
      <c r="S1188" s="442"/>
      <c r="T1188" s="432">
        <f t="shared" si="214"/>
        <v>0</v>
      </c>
    </row>
    <row r="1189" spans="1:20" ht="22.2" hidden="1" customHeight="1">
      <c r="A1189" s="379"/>
      <c r="B1189" s="410" t="s">
        <v>991</v>
      </c>
      <c r="C1189" s="469" t="str">
        <f t="shared" si="216"/>
        <v xml:space="preserve"> </v>
      </c>
      <c r="D1189" s="440">
        <v>4</v>
      </c>
      <c r="E1189" s="422"/>
      <c r="F1189" s="441" t="str">
        <f>VLOOKUP($B1189,[1]DG!A:D,[1]DG!$C$2,)</f>
        <v>Yếm cáp dày 2mm</v>
      </c>
      <c r="G1189" s="422" t="str">
        <f>VLOOKUP($B1189,[1]DG!A:D,[1]DG!$D$2,)</f>
        <v>cái</v>
      </c>
      <c r="H1189" s="435">
        <f t="shared" si="231"/>
        <v>0</v>
      </c>
      <c r="I1189" s="435">
        <f t="shared" si="231"/>
        <v>0</v>
      </c>
      <c r="J1189" s="435">
        <f t="shared" si="231"/>
        <v>0</v>
      </c>
      <c r="K1189" s="435">
        <f t="shared" si="231"/>
        <v>0</v>
      </c>
      <c r="L1189" s="435">
        <f t="shared" si="231"/>
        <v>0</v>
      </c>
      <c r="M1189" s="435">
        <f t="shared" si="231"/>
        <v>0</v>
      </c>
      <c r="N1189" s="435">
        <f t="shared" si="231"/>
        <v>0</v>
      </c>
      <c r="O1189" s="435"/>
      <c r="P1189" s="435"/>
      <c r="Q1189" s="442"/>
      <c r="R1189" s="442"/>
      <c r="S1189" s="442"/>
      <c r="T1189" s="432">
        <f t="shared" si="214"/>
        <v>0</v>
      </c>
    </row>
    <row r="1190" spans="1:20" ht="22.2" hidden="1" customHeight="1">
      <c r="A1190" s="379"/>
      <c r="B1190" s="410" t="s">
        <v>992</v>
      </c>
      <c r="C1190" s="469" t="str">
        <f t="shared" si="216"/>
        <v xml:space="preserve"> </v>
      </c>
      <c r="D1190" s="440">
        <v>2</v>
      </c>
      <c r="E1190" s="422"/>
      <c r="F1190" s="441" t="str">
        <f>VLOOKUP($B1190,[1]DG!A:D,[1]DG!$C$2,)</f>
        <v>Máng che dây chằng dày 1,6mm</v>
      </c>
      <c r="G1190" s="422" t="str">
        <f>VLOOKUP($B1190,[1]DG!A:D,[1]DG!$D$2,)</f>
        <v>cái</v>
      </c>
      <c r="H1190" s="435">
        <f t="shared" si="231"/>
        <v>0</v>
      </c>
      <c r="I1190" s="435">
        <f t="shared" si="231"/>
        <v>0</v>
      </c>
      <c r="J1190" s="435">
        <f t="shared" si="231"/>
        <v>0</v>
      </c>
      <c r="K1190" s="435">
        <f t="shared" si="231"/>
        <v>0</v>
      </c>
      <c r="L1190" s="435">
        <f t="shared" si="231"/>
        <v>0</v>
      </c>
      <c r="M1190" s="435">
        <f t="shared" si="231"/>
        <v>0</v>
      </c>
      <c r="N1190" s="435">
        <f t="shared" si="231"/>
        <v>0</v>
      </c>
      <c r="O1190" s="435"/>
      <c r="P1190" s="435"/>
      <c r="Q1190" s="442"/>
      <c r="R1190" s="442"/>
      <c r="S1190" s="442"/>
      <c r="T1190" s="432">
        <f t="shared" si="214"/>
        <v>0</v>
      </c>
    </row>
    <row r="1191" spans="1:20" ht="22.2" hidden="1" customHeight="1">
      <c r="A1191" s="379"/>
      <c r="B1191" s="410" t="s">
        <v>588</v>
      </c>
      <c r="C1191" s="469" t="str">
        <f t="shared" si="216"/>
        <v xml:space="preserve"> </v>
      </c>
      <c r="D1191" s="440">
        <v>2</v>
      </c>
      <c r="E1191" s="422" t="str">
        <f>VLOOKUP($B1191,[1]DG!A:D,[1]DG!$B$2,)</f>
        <v>06.3241</v>
      </c>
      <c r="F1191" s="434" t="str">
        <f>VLOOKUP($B1191,[1]DG!A:D,[1]DG!$C$2,)</f>
        <v>Lắp bộ dây néo</v>
      </c>
      <c r="G1191" s="422" t="str">
        <f>VLOOKUP($B1191,[1]DG!A:D,[1]DG!$D$2,)</f>
        <v>bộ</v>
      </c>
      <c r="H1191" s="435"/>
      <c r="I1191" s="435"/>
      <c r="J1191" s="435"/>
      <c r="K1191" s="435"/>
      <c r="L1191" s="435"/>
      <c r="M1191" s="435"/>
      <c r="N1191" s="435"/>
      <c r="O1191" s="435"/>
      <c r="P1191" s="435"/>
      <c r="Q1191" s="437"/>
      <c r="R1191" s="437"/>
      <c r="S1191" s="437"/>
      <c r="T1191" s="432">
        <f t="shared" si="214"/>
        <v>0</v>
      </c>
    </row>
    <row r="1192" spans="1:20" ht="22.2" hidden="1" customHeight="1">
      <c r="A1192" s="379"/>
      <c r="B1192" s="438" t="s">
        <v>993</v>
      </c>
      <c r="C1192" s="469" t="str">
        <f t="shared" si="216"/>
        <v xml:space="preserve"> </v>
      </c>
      <c r="D1192" s="439">
        <v>0.02</v>
      </c>
      <c r="E1192" s="422" t="str">
        <f>VLOOKUP($B1192,[1]DG!A:C,2,)</f>
        <v>02.1421</v>
      </c>
      <c r="F1192" s="434" t="str">
        <f>VLOOKUP($B1192,[1]DG!A:C,3,)</f>
        <v>V/c phụ kiện vào vị trí (cự ly &lt;=100m)</v>
      </c>
      <c r="G1192" s="422" t="str">
        <f>VLOOKUP($B1192,[1]DG!A:D,4,0)</f>
        <v>tấn</v>
      </c>
      <c r="H1192" s="435"/>
      <c r="I1192" s="435"/>
      <c r="J1192" s="435"/>
      <c r="K1192" s="435"/>
      <c r="L1192" s="435"/>
      <c r="M1192" s="435"/>
      <c r="N1192" s="435"/>
      <c r="O1192" s="435"/>
      <c r="P1192" s="435"/>
      <c r="Q1192" s="437"/>
      <c r="R1192" s="437"/>
      <c r="S1192" s="437"/>
      <c r="T1192" s="432">
        <f t="shared" si="214"/>
        <v>0</v>
      </c>
    </row>
    <row r="1193" spans="1:20" ht="22.2" hidden="1" customHeight="1">
      <c r="A1193" s="423" t="s">
        <v>1019</v>
      </c>
      <c r="B1193" s="424" t="s">
        <v>1019</v>
      </c>
      <c r="C1193" s="469" t="str">
        <f t="shared" si="216"/>
        <v xml:space="preserve"> </v>
      </c>
      <c r="D1193" s="426"/>
      <c r="E1193" s="427"/>
      <c r="F1193" s="428" t="s">
        <v>1020</v>
      </c>
      <c r="G1193" s="349" t="s">
        <v>67</v>
      </c>
      <c r="H1193" s="429">
        <f>SUM(I1193:O1193)</f>
        <v>0</v>
      </c>
      <c r="I1193" s="430"/>
      <c r="J1193" s="430"/>
      <c r="K1193" s="430">
        <f>IFERROR(HLOOKUP(B1193,[1]pp3p1m!$1:$3,3,0),0)</f>
        <v>0</v>
      </c>
      <c r="L1193" s="430">
        <f>IFERROR(HLOOKUP(chitiet!B1193,[1]pp1p!$1:$3,3,0),0)</f>
        <v>0</v>
      </c>
      <c r="M1193" s="430"/>
      <c r="N1193" s="430"/>
      <c r="O1193" s="430"/>
      <c r="P1193" s="430">
        <f>H1193+Q1193-R1193</f>
        <v>0</v>
      </c>
      <c r="Q1193" s="431"/>
      <c r="R1193" s="431"/>
      <c r="S1193" s="431"/>
      <c r="T1193" s="432">
        <f>IFERROR(HLOOKUP(B1193,[1]pp1p!$1:$3,3,0),0)+IFERROR(HLOOKUP(B1193,[1]pp3p1m!$1:$3,3,0),0)</f>
        <v>0</v>
      </c>
    </row>
    <row r="1194" spans="1:20" ht="22.2" hidden="1" customHeight="1">
      <c r="A1194" s="379"/>
      <c r="B1194" s="410" t="s">
        <v>482</v>
      </c>
      <c r="C1194" s="469" t="str">
        <f t="shared" si="216"/>
        <v xml:space="preserve"> </v>
      </c>
      <c r="D1194" s="440">
        <v>1</v>
      </c>
      <c r="E1194" s="422"/>
      <c r="F1194" s="441" t="str">
        <f>VLOOKUP($B1194,[1]DG!A:D,[1]DG!$C$2,)</f>
        <v>Boulon mắt 16x250+ 2 long đền vuông D18-50x50x3/Zn</v>
      </c>
      <c r="G1194" s="422" t="str">
        <f>VLOOKUP($B1194,[1]DG!A:D,[1]DG!$D$2,)</f>
        <v>bộ</v>
      </c>
      <c r="H1194" s="435">
        <f t="shared" ref="H1194:N1199" si="232">H$1193*$D1194</f>
        <v>0</v>
      </c>
      <c r="I1194" s="435">
        <f t="shared" si="232"/>
        <v>0</v>
      </c>
      <c r="J1194" s="435">
        <f t="shared" si="232"/>
        <v>0</v>
      </c>
      <c r="K1194" s="435">
        <f t="shared" si="232"/>
        <v>0</v>
      </c>
      <c r="L1194" s="435">
        <f t="shared" si="232"/>
        <v>0</v>
      </c>
      <c r="M1194" s="435">
        <f t="shared" si="232"/>
        <v>0</v>
      </c>
      <c r="N1194" s="435">
        <f t="shared" si="232"/>
        <v>0</v>
      </c>
      <c r="O1194" s="435"/>
      <c r="P1194" s="435"/>
      <c r="Q1194" s="442"/>
      <c r="R1194" s="442"/>
      <c r="S1194" s="442"/>
      <c r="T1194" s="432">
        <f t="shared" si="214"/>
        <v>0</v>
      </c>
    </row>
    <row r="1195" spans="1:20" ht="22.2" hidden="1" customHeight="1">
      <c r="A1195" s="379"/>
      <c r="B1195" s="410" t="s">
        <v>988</v>
      </c>
      <c r="C1195" s="469" t="str">
        <f t="shared" si="216"/>
        <v xml:space="preserve"> </v>
      </c>
      <c r="D1195" s="440">
        <v>1</v>
      </c>
      <c r="E1195" s="422"/>
      <c r="F1195" s="441" t="str">
        <f>VLOOKUP($B1195,[1]DG!A:D,[1]DG!$C$2,)</f>
        <v>Sứ chằng</v>
      </c>
      <c r="G1195" s="422" t="str">
        <f>VLOOKUP($B1195,[1]DG!A:D,[1]DG!$D$2,)</f>
        <v>cái</v>
      </c>
      <c r="H1195" s="435">
        <f t="shared" si="232"/>
        <v>0</v>
      </c>
      <c r="I1195" s="435">
        <f t="shared" si="232"/>
        <v>0</v>
      </c>
      <c r="J1195" s="435">
        <f t="shared" si="232"/>
        <v>0</v>
      </c>
      <c r="K1195" s="435">
        <f t="shared" si="232"/>
        <v>0</v>
      </c>
      <c r="L1195" s="435">
        <f t="shared" si="232"/>
        <v>0</v>
      </c>
      <c r="M1195" s="435">
        <f t="shared" si="232"/>
        <v>0</v>
      </c>
      <c r="N1195" s="435">
        <f t="shared" si="232"/>
        <v>0</v>
      </c>
      <c r="O1195" s="435"/>
      <c r="P1195" s="435"/>
      <c r="Q1195" s="442"/>
      <c r="R1195" s="442"/>
      <c r="S1195" s="442"/>
      <c r="T1195" s="432">
        <f t="shared" ref="T1195:T1258" si="233">IFERROR(HLOOKUP(B1195,BangKeTru,3,0),0)</f>
        <v>0</v>
      </c>
    </row>
    <row r="1196" spans="1:20" ht="22.2" hidden="1" customHeight="1">
      <c r="A1196" s="379"/>
      <c r="B1196" s="410" t="s">
        <v>989</v>
      </c>
      <c r="C1196" s="469" t="str">
        <f t="shared" si="216"/>
        <v xml:space="preserve"> </v>
      </c>
      <c r="D1196" s="440">
        <v>8</v>
      </c>
      <c r="E1196" s="422"/>
      <c r="F1196" s="441" t="str">
        <f>VLOOKUP($B1196,[1]DG!A:D,[1]DG!$C$2,)</f>
        <v>Kẹp cáp 3 boulon</v>
      </c>
      <c r="G1196" s="422" t="str">
        <f>VLOOKUP($B1196,[1]DG!A:D,[1]DG!$D$2,)</f>
        <v>cái</v>
      </c>
      <c r="H1196" s="435">
        <f t="shared" si="232"/>
        <v>0</v>
      </c>
      <c r="I1196" s="435">
        <f t="shared" si="232"/>
        <v>0</v>
      </c>
      <c r="J1196" s="435">
        <f t="shared" si="232"/>
        <v>0</v>
      </c>
      <c r="K1196" s="435">
        <f t="shared" si="232"/>
        <v>0</v>
      </c>
      <c r="L1196" s="435">
        <f t="shared" si="232"/>
        <v>0</v>
      </c>
      <c r="M1196" s="435">
        <f t="shared" si="232"/>
        <v>0</v>
      </c>
      <c r="N1196" s="435">
        <f t="shared" si="232"/>
        <v>0</v>
      </c>
      <c r="O1196" s="435"/>
      <c r="P1196" s="435"/>
      <c r="Q1196" s="442"/>
      <c r="R1196" s="442"/>
      <c r="S1196" s="442"/>
      <c r="T1196" s="432">
        <f t="shared" si="233"/>
        <v>0</v>
      </c>
    </row>
    <row r="1197" spans="1:20" ht="22.2" hidden="1" customHeight="1">
      <c r="A1197" s="379"/>
      <c r="B1197" s="410" t="s">
        <v>990</v>
      </c>
      <c r="C1197" s="469" t="str">
        <f t="shared" si="216"/>
        <v xml:space="preserve"> </v>
      </c>
      <c r="D1197" s="440">
        <v>20</v>
      </c>
      <c r="E1197" s="422"/>
      <c r="F1197" s="441" t="str">
        <f>VLOOKUP($B1197,[1]DG!A:D,[1]DG!$C$2,)</f>
        <v>Cáp thép 3/8"</v>
      </c>
      <c r="G1197" s="422" t="str">
        <f>VLOOKUP($B1197,[1]DG!A:D,[1]DG!$D$2,)</f>
        <v>kg</v>
      </c>
      <c r="H1197" s="435">
        <f t="shared" si="232"/>
        <v>0</v>
      </c>
      <c r="I1197" s="435">
        <f t="shared" si="232"/>
        <v>0</v>
      </c>
      <c r="J1197" s="435">
        <f t="shared" si="232"/>
        <v>0</v>
      </c>
      <c r="K1197" s="435">
        <f t="shared" si="232"/>
        <v>0</v>
      </c>
      <c r="L1197" s="435">
        <f t="shared" si="232"/>
        <v>0</v>
      </c>
      <c r="M1197" s="435">
        <f t="shared" si="232"/>
        <v>0</v>
      </c>
      <c r="N1197" s="435">
        <f t="shared" si="232"/>
        <v>0</v>
      </c>
      <c r="O1197" s="435"/>
      <c r="P1197" s="435"/>
      <c r="Q1197" s="442"/>
      <c r="R1197" s="442"/>
      <c r="S1197" s="442"/>
      <c r="T1197" s="432">
        <f t="shared" si="233"/>
        <v>0</v>
      </c>
    </row>
    <row r="1198" spans="1:20" ht="22.2" hidden="1" customHeight="1">
      <c r="A1198" s="379"/>
      <c r="B1198" s="410" t="s">
        <v>991</v>
      </c>
      <c r="C1198" s="469" t="str">
        <f t="shared" si="216"/>
        <v xml:space="preserve"> </v>
      </c>
      <c r="D1198" s="440">
        <v>2</v>
      </c>
      <c r="E1198" s="422"/>
      <c r="F1198" s="441" t="str">
        <f>VLOOKUP($B1198,[1]DG!A:D,[1]DG!$C$2,)</f>
        <v>Yếm cáp dày 2mm</v>
      </c>
      <c r="G1198" s="422" t="str">
        <f>VLOOKUP($B1198,[1]DG!A:D,[1]DG!$D$2,)</f>
        <v>cái</v>
      </c>
      <c r="H1198" s="435">
        <f t="shared" si="232"/>
        <v>0</v>
      </c>
      <c r="I1198" s="435">
        <f t="shared" si="232"/>
        <v>0</v>
      </c>
      <c r="J1198" s="435">
        <f t="shared" si="232"/>
        <v>0</v>
      </c>
      <c r="K1198" s="435">
        <f t="shared" si="232"/>
        <v>0</v>
      </c>
      <c r="L1198" s="435">
        <f t="shared" si="232"/>
        <v>0</v>
      </c>
      <c r="M1198" s="435">
        <f t="shared" si="232"/>
        <v>0</v>
      </c>
      <c r="N1198" s="435">
        <f t="shared" si="232"/>
        <v>0</v>
      </c>
      <c r="O1198" s="435"/>
      <c r="P1198" s="435"/>
      <c r="Q1198" s="442"/>
      <c r="R1198" s="442"/>
      <c r="S1198" s="442"/>
      <c r="T1198" s="432">
        <f t="shared" si="233"/>
        <v>0</v>
      </c>
    </row>
    <row r="1199" spans="1:20" ht="22.2" hidden="1" customHeight="1">
      <c r="A1199" s="379"/>
      <c r="B1199" s="410" t="s">
        <v>992</v>
      </c>
      <c r="C1199" s="469" t="str">
        <f t="shared" si="216"/>
        <v xml:space="preserve"> </v>
      </c>
      <c r="D1199" s="440">
        <v>1</v>
      </c>
      <c r="E1199" s="422"/>
      <c r="F1199" s="441" t="str">
        <f>VLOOKUP($B1199,[1]DG!A:D,[1]DG!$C$2,)</f>
        <v>Máng che dây chằng dày 1,6mm</v>
      </c>
      <c r="G1199" s="422" t="str">
        <f>VLOOKUP($B1199,[1]DG!A:D,[1]DG!$D$2,)</f>
        <v>cái</v>
      </c>
      <c r="H1199" s="435">
        <f t="shared" si="232"/>
        <v>0</v>
      </c>
      <c r="I1199" s="435">
        <f t="shared" si="232"/>
        <v>0</v>
      </c>
      <c r="J1199" s="435">
        <f t="shared" si="232"/>
        <v>0</v>
      </c>
      <c r="K1199" s="435">
        <f t="shared" si="232"/>
        <v>0</v>
      </c>
      <c r="L1199" s="435">
        <f t="shared" si="232"/>
        <v>0</v>
      </c>
      <c r="M1199" s="435">
        <f t="shared" si="232"/>
        <v>0</v>
      </c>
      <c r="N1199" s="435">
        <f t="shared" si="232"/>
        <v>0</v>
      </c>
      <c r="O1199" s="435"/>
      <c r="P1199" s="435"/>
      <c r="Q1199" s="442"/>
      <c r="R1199" s="442"/>
      <c r="S1199" s="442"/>
      <c r="T1199" s="432">
        <f t="shared" si="233"/>
        <v>0</v>
      </c>
    </row>
    <row r="1200" spans="1:20" ht="22.2" hidden="1" customHeight="1">
      <c r="A1200" s="379"/>
      <c r="B1200" s="410" t="s">
        <v>588</v>
      </c>
      <c r="C1200" s="469" t="str">
        <f t="shared" si="216"/>
        <v xml:space="preserve"> </v>
      </c>
      <c r="D1200" s="440">
        <f>D1194</f>
        <v>1</v>
      </c>
      <c r="E1200" s="422" t="str">
        <f>VLOOKUP($B1200,[1]DG!A:D,[1]DG!$B$2,)</f>
        <v>06.3241</v>
      </c>
      <c r="F1200" s="434" t="str">
        <f>VLOOKUP($B1200,[1]DG!A:D,[1]DG!$C$2,)</f>
        <v>Lắp bộ dây néo</v>
      </c>
      <c r="G1200" s="422" t="str">
        <f>VLOOKUP($B1200,[1]DG!A:D,[1]DG!$D$2,)</f>
        <v>bộ</v>
      </c>
      <c r="H1200" s="435"/>
      <c r="I1200" s="435"/>
      <c r="J1200" s="435"/>
      <c r="K1200" s="435"/>
      <c r="L1200" s="435"/>
      <c r="M1200" s="435"/>
      <c r="N1200" s="435"/>
      <c r="O1200" s="435"/>
      <c r="P1200" s="435"/>
      <c r="Q1200" s="437"/>
      <c r="R1200" s="437"/>
      <c r="S1200" s="437"/>
      <c r="T1200" s="432">
        <f t="shared" si="233"/>
        <v>0</v>
      </c>
    </row>
    <row r="1201" spans="1:20" ht="22.2" hidden="1" customHeight="1">
      <c r="A1201" s="379"/>
      <c r="B1201" s="438" t="s">
        <v>993</v>
      </c>
      <c r="C1201" s="469" t="str">
        <f t="shared" si="216"/>
        <v xml:space="preserve"> </v>
      </c>
      <c r="D1201" s="439"/>
      <c r="E1201" s="422" t="str">
        <f>VLOOKUP($B1201,[1]DG!A:C,2,)</f>
        <v>02.1421</v>
      </c>
      <c r="F1201" s="434" t="str">
        <f>VLOOKUP($B1201,[1]DG!A:C,3,)</f>
        <v>V/c phụ kiện vào vị trí (cự ly &lt;=100m)</v>
      </c>
      <c r="G1201" s="422" t="str">
        <f>VLOOKUP($B1201,[1]DG!A:D,4,0)</f>
        <v>tấn</v>
      </c>
      <c r="H1201" s="435"/>
      <c r="I1201" s="435"/>
      <c r="J1201" s="435"/>
      <c r="K1201" s="435"/>
      <c r="L1201" s="435"/>
      <c r="M1201" s="435"/>
      <c r="N1201" s="435"/>
      <c r="O1201" s="435"/>
      <c r="P1201" s="435"/>
      <c r="Q1201" s="437"/>
      <c r="R1201" s="437"/>
      <c r="S1201" s="437"/>
      <c r="T1201" s="432">
        <f t="shared" si="233"/>
        <v>0</v>
      </c>
    </row>
    <row r="1202" spans="1:20" ht="22.2" hidden="1" customHeight="1">
      <c r="A1202" s="423" t="s">
        <v>1021</v>
      </c>
      <c r="B1202" s="424" t="s">
        <v>1021</v>
      </c>
      <c r="C1202" s="469" t="str">
        <f t="shared" si="216"/>
        <v xml:space="preserve"> </v>
      </c>
      <c r="D1202" s="426"/>
      <c r="E1202" s="427"/>
      <c r="F1202" s="428" t="s">
        <v>1022</v>
      </c>
      <c r="G1202" s="349" t="s">
        <v>67</v>
      </c>
      <c r="H1202" s="429">
        <f>SUM(I1202:O1202)</f>
        <v>0</v>
      </c>
      <c r="I1202" s="430"/>
      <c r="J1202" s="430"/>
      <c r="K1202" s="430">
        <f>IFERROR(HLOOKUP(B1202,[1]pp3p1m!$1:$3,3,0),0)</f>
        <v>0</v>
      </c>
      <c r="L1202" s="430">
        <f>IFERROR(HLOOKUP(chitiet!B1202,[1]pp1p!$1:$3,3,0),0)</f>
        <v>0</v>
      </c>
      <c r="M1202" s="430"/>
      <c r="N1202" s="430"/>
      <c r="O1202" s="430"/>
      <c r="P1202" s="430">
        <f>H1202+Q1202-R1202</f>
        <v>0</v>
      </c>
      <c r="Q1202" s="431"/>
      <c r="R1202" s="431"/>
      <c r="S1202" s="431"/>
      <c r="T1202" s="432">
        <f>IFERROR(HLOOKUP(B1202,[1]pp1p!$1:$3,3,0),0)+IFERROR(HLOOKUP(B1202,[1]pp3p1m!$1:$3,3,0),0)</f>
        <v>0</v>
      </c>
    </row>
    <row r="1203" spans="1:20" ht="22.2" hidden="1" customHeight="1">
      <c r="A1203" s="379"/>
      <c r="B1203" s="410" t="s">
        <v>482</v>
      </c>
      <c r="C1203" s="469" t="str">
        <f t="shared" si="216"/>
        <v xml:space="preserve"> </v>
      </c>
      <c r="D1203" s="440">
        <v>1</v>
      </c>
      <c r="E1203" s="422"/>
      <c r="F1203" s="441" t="str">
        <f>VLOOKUP($B1203,[1]DG!A:D,[1]DG!$C$2,)</f>
        <v>Boulon mắt 16x250+ 2 long đền vuông D18-50x50x3/Zn</v>
      </c>
      <c r="G1203" s="422" t="str">
        <f>VLOOKUP($B1203,[1]DG!A:D,[1]DG!$D$2,)</f>
        <v>bộ</v>
      </c>
      <c r="H1203" s="435">
        <f t="shared" ref="H1203:N1209" si="234">H$1202*$D1203</f>
        <v>0</v>
      </c>
      <c r="I1203" s="435">
        <f t="shared" si="234"/>
        <v>0</v>
      </c>
      <c r="J1203" s="435">
        <f t="shared" si="234"/>
        <v>0</v>
      </c>
      <c r="K1203" s="435">
        <f t="shared" si="234"/>
        <v>0</v>
      </c>
      <c r="L1203" s="435">
        <f t="shared" si="234"/>
        <v>0</v>
      </c>
      <c r="M1203" s="435">
        <f t="shared" si="234"/>
        <v>0</v>
      </c>
      <c r="N1203" s="435">
        <f t="shared" si="234"/>
        <v>0</v>
      </c>
      <c r="O1203" s="435"/>
      <c r="P1203" s="435"/>
      <c r="Q1203" s="442"/>
      <c r="R1203" s="442"/>
      <c r="S1203" s="442"/>
      <c r="T1203" s="432">
        <f t="shared" si="233"/>
        <v>0</v>
      </c>
    </row>
    <row r="1204" spans="1:20" ht="22.2" hidden="1" customHeight="1">
      <c r="A1204" s="379"/>
      <c r="B1204" s="410" t="s">
        <v>988</v>
      </c>
      <c r="C1204" s="469" t="str">
        <f t="shared" si="216"/>
        <v xml:space="preserve"> </v>
      </c>
      <c r="D1204" s="440">
        <v>1</v>
      </c>
      <c r="E1204" s="422"/>
      <c r="F1204" s="441" t="str">
        <f>VLOOKUP($B1204,[1]DG!A:D,[1]DG!$C$2,)</f>
        <v>Sứ chằng</v>
      </c>
      <c r="G1204" s="422" t="str">
        <f>VLOOKUP($B1204,[1]DG!A:D,[1]DG!$D$2,)</f>
        <v>cái</v>
      </c>
      <c r="H1204" s="435">
        <f t="shared" si="234"/>
        <v>0</v>
      </c>
      <c r="I1204" s="435">
        <f t="shared" si="234"/>
        <v>0</v>
      </c>
      <c r="J1204" s="435">
        <f t="shared" si="234"/>
        <v>0</v>
      </c>
      <c r="K1204" s="435">
        <f t="shared" si="234"/>
        <v>0</v>
      </c>
      <c r="L1204" s="435">
        <f t="shared" si="234"/>
        <v>0</v>
      </c>
      <c r="M1204" s="435">
        <f t="shared" si="234"/>
        <v>0</v>
      </c>
      <c r="N1204" s="435">
        <f t="shared" si="234"/>
        <v>0</v>
      </c>
      <c r="O1204" s="435"/>
      <c r="P1204" s="435"/>
      <c r="Q1204" s="442"/>
      <c r="R1204" s="442"/>
      <c r="S1204" s="442"/>
      <c r="T1204" s="432">
        <f t="shared" si="233"/>
        <v>0</v>
      </c>
    </row>
    <row r="1205" spans="1:20" ht="22.2" hidden="1" customHeight="1">
      <c r="A1205" s="379"/>
      <c r="B1205" s="410" t="s">
        <v>989</v>
      </c>
      <c r="C1205" s="469" t="str">
        <f t="shared" si="216"/>
        <v xml:space="preserve"> </v>
      </c>
      <c r="D1205" s="440">
        <v>8</v>
      </c>
      <c r="E1205" s="422"/>
      <c r="F1205" s="441" t="str">
        <f>VLOOKUP($B1205,[1]DG!A:D,[1]DG!$C$2,)</f>
        <v>Kẹp cáp 3 boulon</v>
      </c>
      <c r="G1205" s="422" t="str">
        <f>VLOOKUP($B1205,[1]DG!A:D,[1]DG!$D$2,)</f>
        <v>cái</v>
      </c>
      <c r="H1205" s="435">
        <f t="shared" si="234"/>
        <v>0</v>
      </c>
      <c r="I1205" s="435">
        <f t="shared" si="234"/>
        <v>0</v>
      </c>
      <c r="J1205" s="435">
        <f t="shared" si="234"/>
        <v>0</v>
      </c>
      <c r="K1205" s="435">
        <f t="shared" si="234"/>
        <v>0</v>
      </c>
      <c r="L1205" s="435">
        <f t="shared" si="234"/>
        <v>0</v>
      </c>
      <c r="M1205" s="435">
        <f t="shared" si="234"/>
        <v>0</v>
      </c>
      <c r="N1205" s="435">
        <f t="shared" si="234"/>
        <v>0</v>
      </c>
      <c r="O1205" s="435"/>
      <c r="P1205" s="435"/>
      <c r="Q1205" s="442"/>
      <c r="R1205" s="442"/>
      <c r="S1205" s="442"/>
      <c r="T1205" s="432">
        <f t="shared" si="233"/>
        <v>0</v>
      </c>
    </row>
    <row r="1206" spans="1:20" ht="22.2" hidden="1" customHeight="1">
      <c r="A1206" s="379"/>
      <c r="B1206" s="410" t="s">
        <v>990</v>
      </c>
      <c r="C1206" s="469" t="str">
        <f t="shared" si="216"/>
        <v xml:space="preserve"> </v>
      </c>
      <c r="D1206" s="440">
        <v>15</v>
      </c>
      <c r="E1206" s="422"/>
      <c r="F1206" s="441" t="str">
        <f>VLOOKUP($B1206,[1]DG!A:D,[1]DG!$C$2,)</f>
        <v>Cáp thép 3/8"</v>
      </c>
      <c r="G1206" s="422" t="str">
        <f>VLOOKUP($B1206,[1]DG!A:D,[1]DG!$D$2,)</f>
        <v>kg</v>
      </c>
      <c r="H1206" s="435">
        <f t="shared" si="234"/>
        <v>0</v>
      </c>
      <c r="I1206" s="435">
        <f t="shared" si="234"/>
        <v>0</v>
      </c>
      <c r="J1206" s="435">
        <f t="shared" si="234"/>
        <v>0</v>
      </c>
      <c r="K1206" s="435">
        <f t="shared" si="234"/>
        <v>0</v>
      </c>
      <c r="L1206" s="435">
        <f t="shared" si="234"/>
        <v>0</v>
      </c>
      <c r="M1206" s="435">
        <f t="shared" si="234"/>
        <v>0</v>
      </c>
      <c r="N1206" s="435">
        <f t="shared" si="234"/>
        <v>0</v>
      </c>
      <c r="O1206" s="435"/>
      <c r="P1206" s="435"/>
      <c r="Q1206" s="442"/>
      <c r="R1206" s="442"/>
      <c r="S1206" s="442"/>
      <c r="T1206" s="432">
        <f t="shared" si="233"/>
        <v>0</v>
      </c>
    </row>
    <row r="1207" spans="1:20" ht="22.2" hidden="1" customHeight="1">
      <c r="A1207" s="379"/>
      <c r="B1207" s="410" t="s">
        <v>1003</v>
      </c>
      <c r="C1207" s="469" t="str">
        <f t="shared" si="216"/>
        <v xml:space="preserve"> </v>
      </c>
      <c r="D1207" s="440">
        <v>1</v>
      </c>
      <c r="E1207" s="422"/>
      <c r="F1207" s="441" t="str">
        <f>VLOOKUP($B1207,[1]DG!A:D,[1]DG!$C$2,)</f>
        <v>Bộ chống chằng hẹp Ø60/50x1500+2BL12x40+BL16x250/80</v>
      </c>
      <c r="G1207" s="422" t="str">
        <f>VLOOKUP($B1207,[1]DG!A:D,[1]DG!$D$2,)</f>
        <v>bộ</v>
      </c>
      <c r="H1207" s="435">
        <f t="shared" si="234"/>
        <v>0</v>
      </c>
      <c r="I1207" s="435">
        <f t="shared" si="234"/>
        <v>0</v>
      </c>
      <c r="J1207" s="435">
        <f t="shared" si="234"/>
        <v>0</v>
      </c>
      <c r="K1207" s="435">
        <f t="shared" si="234"/>
        <v>0</v>
      </c>
      <c r="L1207" s="435">
        <f t="shared" si="234"/>
        <v>0</v>
      </c>
      <c r="M1207" s="435">
        <f t="shared" si="234"/>
        <v>0</v>
      </c>
      <c r="N1207" s="435">
        <f t="shared" si="234"/>
        <v>0</v>
      </c>
      <c r="O1207" s="435"/>
      <c r="P1207" s="435"/>
      <c r="Q1207" s="442"/>
      <c r="R1207" s="442"/>
      <c r="S1207" s="442"/>
      <c r="T1207" s="432">
        <f t="shared" si="233"/>
        <v>0</v>
      </c>
    </row>
    <row r="1208" spans="1:20" ht="22.2" hidden="1" customHeight="1">
      <c r="A1208" s="379"/>
      <c r="B1208" s="410" t="s">
        <v>991</v>
      </c>
      <c r="C1208" s="469" t="str">
        <f t="shared" si="216"/>
        <v xml:space="preserve"> </v>
      </c>
      <c r="D1208" s="440">
        <v>2</v>
      </c>
      <c r="E1208" s="422"/>
      <c r="F1208" s="441" t="str">
        <f>VLOOKUP($B1208,[1]DG!A:D,[1]DG!$C$2,)</f>
        <v>Yếm cáp dày 2mm</v>
      </c>
      <c r="G1208" s="422" t="str">
        <f>VLOOKUP($B1208,[1]DG!A:D,[1]DG!$D$2,)</f>
        <v>cái</v>
      </c>
      <c r="H1208" s="435">
        <f t="shared" si="234"/>
        <v>0</v>
      </c>
      <c r="I1208" s="435">
        <f t="shared" si="234"/>
        <v>0</v>
      </c>
      <c r="J1208" s="435">
        <f t="shared" si="234"/>
        <v>0</v>
      </c>
      <c r="K1208" s="435">
        <f t="shared" si="234"/>
        <v>0</v>
      </c>
      <c r="L1208" s="435">
        <f t="shared" si="234"/>
        <v>0</v>
      </c>
      <c r="M1208" s="435">
        <f t="shared" si="234"/>
        <v>0</v>
      </c>
      <c r="N1208" s="435">
        <f t="shared" si="234"/>
        <v>0</v>
      </c>
      <c r="O1208" s="435"/>
      <c r="P1208" s="435"/>
      <c r="Q1208" s="442"/>
      <c r="R1208" s="442"/>
      <c r="S1208" s="442"/>
      <c r="T1208" s="432">
        <f t="shared" si="233"/>
        <v>0</v>
      </c>
    </row>
    <row r="1209" spans="1:20" ht="22.2" hidden="1" customHeight="1">
      <c r="A1209" s="379"/>
      <c r="B1209" s="410" t="s">
        <v>992</v>
      </c>
      <c r="C1209" s="469" t="str">
        <f t="shared" si="216"/>
        <v xml:space="preserve"> </v>
      </c>
      <c r="D1209" s="440">
        <v>1</v>
      </c>
      <c r="E1209" s="422"/>
      <c r="F1209" s="441" t="str">
        <f>VLOOKUP($B1209,[1]DG!A:D,[1]DG!$C$2,)</f>
        <v>Máng che dây chằng dày 1,6mm</v>
      </c>
      <c r="G1209" s="422" t="str">
        <f>VLOOKUP($B1209,[1]DG!A:D,[1]DG!$D$2,)</f>
        <v>cái</v>
      </c>
      <c r="H1209" s="435">
        <f t="shared" si="234"/>
        <v>0</v>
      </c>
      <c r="I1209" s="435">
        <f t="shared" si="234"/>
        <v>0</v>
      </c>
      <c r="J1209" s="435">
        <f t="shared" si="234"/>
        <v>0</v>
      </c>
      <c r="K1209" s="435">
        <f t="shared" si="234"/>
        <v>0</v>
      </c>
      <c r="L1209" s="435">
        <f t="shared" si="234"/>
        <v>0</v>
      </c>
      <c r="M1209" s="435">
        <f t="shared" si="234"/>
        <v>0</v>
      </c>
      <c r="N1209" s="435">
        <f t="shared" si="234"/>
        <v>0</v>
      </c>
      <c r="O1209" s="435"/>
      <c r="P1209" s="435"/>
      <c r="Q1209" s="442"/>
      <c r="R1209" s="442"/>
      <c r="S1209" s="442"/>
      <c r="T1209" s="432">
        <f t="shared" si="233"/>
        <v>0</v>
      </c>
    </row>
    <row r="1210" spans="1:20" ht="22.2" hidden="1" customHeight="1">
      <c r="A1210" s="379"/>
      <c r="B1210" s="410" t="s">
        <v>588</v>
      </c>
      <c r="C1210" s="469" t="str">
        <f t="shared" ref="C1210:C1273" si="235">IF(OR(P1210&lt;&gt;0,H1210&lt;&gt;0),"x"," ")</f>
        <v xml:space="preserve"> </v>
      </c>
      <c r="D1210" s="440">
        <v>1</v>
      </c>
      <c r="E1210" s="422" t="str">
        <f>VLOOKUP($B1210,[1]DG!A:D,[1]DG!$B$2,)</f>
        <v>06.3241</v>
      </c>
      <c r="F1210" s="434" t="str">
        <f>VLOOKUP($B1210,[1]DG!A:D,[1]DG!$C$2,)</f>
        <v>Lắp bộ dây néo</v>
      </c>
      <c r="G1210" s="422" t="str">
        <f>VLOOKUP($B1210,[1]DG!A:D,[1]DG!$D$2,)</f>
        <v>bộ</v>
      </c>
      <c r="H1210" s="435"/>
      <c r="I1210" s="435"/>
      <c r="J1210" s="435"/>
      <c r="K1210" s="435"/>
      <c r="L1210" s="435"/>
      <c r="M1210" s="435"/>
      <c r="N1210" s="435"/>
      <c r="O1210" s="435"/>
      <c r="P1210" s="435"/>
      <c r="Q1210" s="437"/>
      <c r="R1210" s="437"/>
      <c r="S1210" s="437"/>
      <c r="T1210" s="432">
        <f t="shared" si="233"/>
        <v>0</v>
      </c>
    </row>
    <row r="1211" spans="1:20" ht="22.2" hidden="1" customHeight="1">
      <c r="A1211" s="379"/>
      <c r="B1211" s="410" t="s">
        <v>454</v>
      </c>
      <c r="C1211" s="469" t="str">
        <f t="shared" si="235"/>
        <v xml:space="preserve"> </v>
      </c>
      <c r="D1211" s="440">
        <v>1</v>
      </c>
      <c r="E1211" s="422" t="str">
        <f>VLOOKUP($B1211,[1]DG!A:D,[1]DG!$B$2,)</f>
        <v>05.6011</v>
      </c>
      <c r="F1211" s="434" t="str">
        <f>VLOOKUP($B1211,[1]DG!A:D,[1]DG!$C$2,)</f>
        <v>Lắp bộ chống lệch</v>
      </c>
      <c r="G1211" s="422" t="str">
        <f>VLOOKUP($B1211,[1]DG!A:D,[1]DG!$D$2,)</f>
        <v>bộ</v>
      </c>
      <c r="H1211" s="435"/>
      <c r="I1211" s="435"/>
      <c r="J1211" s="435"/>
      <c r="K1211" s="435"/>
      <c r="L1211" s="435"/>
      <c r="M1211" s="435"/>
      <c r="N1211" s="435"/>
      <c r="O1211" s="435"/>
      <c r="P1211" s="435"/>
      <c r="Q1211" s="437"/>
      <c r="R1211" s="437"/>
      <c r="S1211" s="437"/>
      <c r="T1211" s="432">
        <f t="shared" si="233"/>
        <v>0</v>
      </c>
    </row>
    <row r="1212" spans="1:20" ht="22.2" hidden="1" customHeight="1">
      <c r="A1212" s="379"/>
      <c r="B1212" s="438" t="s">
        <v>993</v>
      </c>
      <c r="C1212" s="469" t="str">
        <f t="shared" si="235"/>
        <v xml:space="preserve"> </v>
      </c>
      <c r="D1212" s="439">
        <v>0.02</v>
      </c>
      <c r="E1212" s="422" t="str">
        <f>VLOOKUP($B1212,[1]DG!A:C,2,)</f>
        <v>02.1421</v>
      </c>
      <c r="F1212" s="434" t="str">
        <f>VLOOKUP($B1212,[1]DG!A:C,3,)</f>
        <v>V/c phụ kiện vào vị trí (cự ly &lt;=100m)</v>
      </c>
      <c r="G1212" s="422" t="str">
        <f>VLOOKUP($B1212,[1]DG!A:D,4,0)</f>
        <v>tấn</v>
      </c>
      <c r="H1212" s="435"/>
      <c r="I1212" s="435"/>
      <c r="J1212" s="435"/>
      <c r="K1212" s="435"/>
      <c r="L1212" s="435"/>
      <c r="M1212" s="435"/>
      <c r="N1212" s="435"/>
      <c r="O1212" s="435"/>
      <c r="P1212" s="435"/>
      <c r="Q1212" s="437"/>
      <c r="R1212" s="437"/>
      <c r="S1212" s="437"/>
      <c r="T1212" s="432">
        <f t="shared" si="233"/>
        <v>0</v>
      </c>
    </row>
    <row r="1213" spans="1:20" ht="22.2" hidden="1" customHeight="1">
      <c r="A1213" s="423" t="s">
        <v>1023</v>
      </c>
      <c r="B1213" s="424" t="s">
        <v>1023</v>
      </c>
      <c r="C1213" s="469" t="str">
        <f t="shared" si="235"/>
        <v xml:space="preserve"> </v>
      </c>
      <c r="D1213" s="426"/>
      <c r="E1213" s="427"/>
      <c r="F1213" s="428" t="s">
        <v>1024</v>
      </c>
      <c r="G1213" s="349" t="s">
        <v>67</v>
      </c>
      <c r="H1213" s="429">
        <f>SUM(I1213:O1213)</f>
        <v>0</v>
      </c>
      <c r="I1213" s="430"/>
      <c r="J1213" s="430"/>
      <c r="K1213" s="430">
        <f>IFERROR(HLOOKUP(B1213,[1]pp3p1m!$1:$3,3,0),0)</f>
        <v>0</v>
      </c>
      <c r="L1213" s="430">
        <f>IFERROR(HLOOKUP(chitiet!B1213,[1]pp1p!$1:$3,3,0),0)</f>
        <v>0</v>
      </c>
      <c r="M1213" s="430"/>
      <c r="N1213" s="430"/>
      <c r="O1213" s="430"/>
      <c r="P1213" s="430">
        <f>H1213+Q1213-R1213</f>
        <v>0</v>
      </c>
      <c r="Q1213" s="431"/>
      <c r="R1213" s="431"/>
      <c r="S1213" s="431"/>
      <c r="T1213" s="432">
        <f>IFERROR(HLOOKUP(B1213,[1]pp1p!$1:$3,3,0),0)+IFERROR(HLOOKUP(B1213,[1]pp3p1m!$1:$3,3,0),0)</f>
        <v>0</v>
      </c>
    </row>
    <row r="1214" spans="1:20" ht="22.2" hidden="1" customHeight="1">
      <c r="A1214" s="379"/>
      <c r="B1214" s="410" t="s">
        <v>482</v>
      </c>
      <c r="C1214" s="469" t="str">
        <f t="shared" si="235"/>
        <v xml:space="preserve"> </v>
      </c>
      <c r="D1214" s="440">
        <v>2</v>
      </c>
      <c r="E1214" s="422"/>
      <c r="F1214" s="441" t="str">
        <f>VLOOKUP($B1214,[1]DG!A:D,[1]DG!$C$2,)</f>
        <v>Boulon mắt 16x250+ 2 long đền vuông D18-50x50x3/Zn</v>
      </c>
      <c r="G1214" s="422" t="str">
        <f>VLOOKUP($B1214,[1]DG!A:D,[1]DG!$D$2,)</f>
        <v>bộ</v>
      </c>
      <c r="H1214" s="435">
        <f t="shared" ref="H1214:N1219" si="236">H$1213*$D1214</f>
        <v>0</v>
      </c>
      <c r="I1214" s="435">
        <f t="shared" si="236"/>
        <v>0</v>
      </c>
      <c r="J1214" s="435">
        <f t="shared" si="236"/>
        <v>0</v>
      </c>
      <c r="K1214" s="435">
        <f t="shared" si="236"/>
        <v>0</v>
      </c>
      <c r="L1214" s="435">
        <f t="shared" si="236"/>
        <v>0</v>
      </c>
      <c r="M1214" s="435">
        <f t="shared" si="236"/>
        <v>0</v>
      </c>
      <c r="N1214" s="435">
        <f t="shared" si="236"/>
        <v>0</v>
      </c>
      <c r="O1214" s="435"/>
      <c r="P1214" s="435"/>
      <c r="Q1214" s="442"/>
      <c r="R1214" s="442"/>
      <c r="S1214" s="442"/>
      <c r="T1214" s="432">
        <f t="shared" si="233"/>
        <v>0</v>
      </c>
    </row>
    <row r="1215" spans="1:20" ht="22.2" hidden="1" customHeight="1">
      <c r="A1215" s="379"/>
      <c r="B1215" s="410" t="s">
        <v>988</v>
      </c>
      <c r="C1215" s="469" t="str">
        <f t="shared" si="235"/>
        <v xml:space="preserve"> </v>
      </c>
      <c r="D1215" s="440">
        <v>2</v>
      </c>
      <c r="E1215" s="422"/>
      <c r="F1215" s="441" t="str">
        <f>VLOOKUP($B1215,[1]DG!A:D,[1]DG!$C$2,)</f>
        <v>Sứ chằng</v>
      </c>
      <c r="G1215" s="422" t="str">
        <f>VLOOKUP($B1215,[1]DG!A:D,[1]DG!$D$2,)</f>
        <v>cái</v>
      </c>
      <c r="H1215" s="435">
        <f t="shared" si="236"/>
        <v>0</v>
      </c>
      <c r="I1215" s="435">
        <f t="shared" si="236"/>
        <v>0</v>
      </c>
      <c r="J1215" s="435">
        <f t="shared" si="236"/>
        <v>0</v>
      </c>
      <c r="K1215" s="435">
        <f t="shared" si="236"/>
        <v>0</v>
      </c>
      <c r="L1215" s="435">
        <f t="shared" si="236"/>
        <v>0</v>
      </c>
      <c r="M1215" s="435">
        <f t="shared" si="236"/>
        <v>0</v>
      </c>
      <c r="N1215" s="435">
        <f t="shared" si="236"/>
        <v>0</v>
      </c>
      <c r="O1215" s="435"/>
      <c r="P1215" s="435"/>
      <c r="Q1215" s="442"/>
      <c r="R1215" s="442"/>
      <c r="S1215" s="442"/>
      <c r="T1215" s="432">
        <f t="shared" si="233"/>
        <v>0</v>
      </c>
    </row>
    <row r="1216" spans="1:20" ht="22.2" hidden="1" customHeight="1">
      <c r="A1216" s="379"/>
      <c r="B1216" s="410" t="s">
        <v>989</v>
      </c>
      <c r="C1216" s="469" t="str">
        <f t="shared" si="235"/>
        <v xml:space="preserve"> </v>
      </c>
      <c r="D1216" s="440">
        <v>16</v>
      </c>
      <c r="E1216" s="422"/>
      <c r="F1216" s="441" t="str">
        <f>VLOOKUP($B1216,[1]DG!A:D,[1]DG!$C$2,)</f>
        <v>Kẹp cáp 3 boulon</v>
      </c>
      <c r="G1216" s="422" t="str">
        <f>VLOOKUP($B1216,[1]DG!A:D,[1]DG!$D$2,)</f>
        <v>cái</v>
      </c>
      <c r="H1216" s="435">
        <f t="shared" si="236"/>
        <v>0</v>
      </c>
      <c r="I1216" s="435">
        <f t="shared" si="236"/>
        <v>0</v>
      </c>
      <c r="J1216" s="435">
        <f t="shared" si="236"/>
        <v>0</v>
      </c>
      <c r="K1216" s="435">
        <f t="shared" si="236"/>
        <v>0</v>
      </c>
      <c r="L1216" s="435">
        <f t="shared" si="236"/>
        <v>0</v>
      </c>
      <c r="M1216" s="435">
        <f t="shared" si="236"/>
        <v>0</v>
      </c>
      <c r="N1216" s="435">
        <f t="shared" si="236"/>
        <v>0</v>
      </c>
      <c r="O1216" s="435"/>
      <c r="P1216" s="435"/>
      <c r="Q1216" s="442"/>
      <c r="R1216" s="442"/>
      <c r="S1216" s="442"/>
      <c r="T1216" s="432">
        <f t="shared" si="233"/>
        <v>0</v>
      </c>
    </row>
    <row r="1217" spans="1:20" ht="22.2" hidden="1" customHeight="1">
      <c r="A1217" s="379"/>
      <c r="B1217" s="410" t="s">
        <v>1010</v>
      </c>
      <c r="C1217" s="469" t="str">
        <f t="shared" si="235"/>
        <v xml:space="preserve"> </v>
      </c>
      <c r="D1217" s="440">
        <v>39</v>
      </c>
      <c r="E1217" s="422"/>
      <c r="F1217" s="441" t="str">
        <f>VLOOKUP($B1217,[1]DG!A:D,[1]DG!$C$2,)</f>
        <v>Cáp thép 5/8"</v>
      </c>
      <c r="G1217" s="422" t="str">
        <f>VLOOKUP($B1217,[1]DG!A:D,[1]DG!$D$2,)</f>
        <v>kg</v>
      </c>
      <c r="H1217" s="435">
        <f t="shared" si="236"/>
        <v>0</v>
      </c>
      <c r="I1217" s="435">
        <f t="shared" si="236"/>
        <v>0</v>
      </c>
      <c r="J1217" s="435">
        <f t="shared" si="236"/>
        <v>0</v>
      </c>
      <c r="K1217" s="435">
        <f t="shared" si="236"/>
        <v>0</v>
      </c>
      <c r="L1217" s="435">
        <f t="shared" si="236"/>
        <v>0</v>
      </c>
      <c r="M1217" s="435">
        <f t="shared" si="236"/>
        <v>0</v>
      </c>
      <c r="N1217" s="435">
        <f t="shared" si="236"/>
        <v>0</v>
      </c>
      <c r="O1217" s="435"/>
      <c r="P1217" s="435"/>
      <c r="Q1217" s="442"/>
      <c r="R1217" s="442"/>
      <c r="S1217" s="442"/>
      <c r="T1217" s="432">
        <f t="shared" si="233"/>
        <v>0</v>
      </c>
    </row>
    <row r="1218" spans="1:20" ht="22.2" hidden="1" customHeight="1">
      <c r="A1218" s="379"/>
      <c r="B1218" s="410" t="s">
        <v>991</v>
      </c>
      <c r="C1218" s="469" t="str">
        <f t="shared" si="235"/>
        <v xml:space="preserve"> </v>
      </c>
      <c r="D1218" s="440">
        <v>4</v>
      </c>
      <c r="E1218" s="422"/>
      <c r="F1218" s="441" t="str">
        <f>VLOOKUP($B1218,[1]DG!A:D,[1]DG!$C$2,)</f>
        <v>Yếm cáp dày 2mm</v>
      </c>
      <c r="G1218" s="422" t="str">
        <f>VLOOKUP($B1218,[1]DG!A:D,[1]DG!$D$2,)</f>
        <v>cái</v>
      </c>
      <c r="H1218" s="435">
        <f t="shared" si="236"/>
        <v>0</v>
      </c>
      <c r="I1218" s="435">
        <f t="shared" si="236"/>
        <v>0</v>
      </c>
      <c r="J1218" s="435">
        <f t="shared" si="236"/>
        <v>0</v>
      </c>
      <c r="K1218" s="435">
        <f t="shared" si="236"/>
        <v>0</v>
      </c>
      <c r="L1218" s="435">
        <f t="shared" si="236"/>
        <v>0</v>
      </c>
      <c r="M1218" s="435">
        <f t="shared" si="236"/>
        <v>0</v>
      </c>
      <c r="N1218" s="435">
        <f t="shared" si="236"/>
        <v>0</v>
      </c>
      <c r="O1218" s="435"/>
      <c r="P1218" s="435"/>
      <c r="Q1218" s="442"/>
      <c r="R1218" s="442"/>
      <c r="S1218" s="442"/>
      <c r="T1218" s="432">
        <f t="shared" si="233"/>
        <v>0</v>
      </c>
    </row>
    <row r="1219" spans="1:20" ht="22.2" hidden="1" customHeight="1">
      <c r="A1219" s="379"/>
      <c r="B1219" s="410" t="s">
        <v>992</v>
      </c>
      <c r="C1219" s="469" t="str">
        <f t="shared" si="235"/>
        <v xml:space="preserve"> </v>
      </c>
      <c r="D1219" s="440">
        <v>2</v>
      </c>
      <c r="E1219" s="422"/>
      <c r="F1219" s="441" t="str">
        <f>VLOOKUP($B1219,[1]DG!A:D,[1]DG!$C$2,)</f>
        <v>Máng che dây chằng dày 1,6mm</v>
      </c>
      <c r="G1219" s="422" t="str">
        <f>VLOOKUP($B1219,[1]DG!A:D,[1]DG!$D$2,)</f>
        <v>cái</v>
      </c>
      <c r="H1219" s="435">
        <f t="shared" si="236"/>
        <v>0</v>
      </c>
      <c r="I1219" s="435">
        <f t="shared" si="236"/>
        <v>0</v>
      </c>
      <c r="J1219" s="435">
        <f t="shared" si="236"/>
        <v>0</v>
      </c>
      <c r="K1219" s="435">
        <f t="shared" si="236"/>
        <v>0</v>
      </c>
      <c r="L1219" s="435">
        <f t="shared" si="236"/>
        <v>0</v>
      </c>
      <c r="M1219" s="435">
        <f t="shared" si="236"/>
        <v>0</v>
      </c>
      <c r="N1219" s="435">
        <f t="shared" si="236"/>
        <v>0</v>
      </c>
      <c r="O1219" s="435"/>
      <c r="P1219" s="435"/>
      <c r="Q1219" s="442"/>
      <c r="R1219" s="442"/>
      <c r="S1219" s="442"/>
      <c r="T1219" s="432">
        <f t="shared" si="233"/>
        <v>0</v>
      </c>
    </row>
    <row r="1220" spans="1:20" ht="22.2" hidden="1" customHeight="1">
      <c r="A1220" s="379"/>
      <c r="B1220" s="410" t="s">
        <v>588</v>
      </c>
      <c r="C1220" s="469" t="str">
        <f t="shared" si="235"/>
        <v xml:space="preserve"> </v>
      </c>
      <c r="D1220" s="440">
        <v>2</v>
      </c>
      <c r="E1220" s="422" t="str">
        <f>VLOOKUP($B1220,[1]DG!A:D,[1]DG!$B$2,)</f>
        <v>06.3241</v>
      </c>
      <c r="F1220" s="434" t="str">
        <f>VLOOKUP($B1220,[1]DG!A:D,[1]DG!$C$2,)</f>
        <v>Lắp bộ dây néo</v>
      </c>
      <c r="G1220" s="422" t="str">
        <f>VLOOKUP($B1220,[1]DG!A:D,[1]DG!$D$2,)</f>
        <v>bộ</v>
      </c>
      <c r="H1220" s="435"/>
      <c r="I1220" s="435"/>
      <c r="J1220" s="435"/>
      <c r="K1220" s="435"/>
      <c r="L1220" s="435"/>
      <c r="M1220" s="435"/>
      <c r="N1220" s="435"/>
      <c r="O1220" s="435"/>
      <c r="P1220" s="435"/>
      <c r="Q1220" s="437"/>
      <c r="R1220" s="437"/>
      <c r="S1220" s="437"/>
      <c r="T1220" s="432">
        <f t="shared" si="233"/>
        <v>0</v>
      </c>
    </row>
    <row r="1221" spans="1:20" ht="22.2" hidden="1" customHeight="1">
      <c r="A1221" s="379"/>
      <c r="B1221" s="438" t="s">
        <v>993</v>
      </c>
      <c r="C1221" s="469" t="str">
        <f t="shared" si="235"/>
        <v xml:space="preserve"> </v>
      </c>
      <c r="D1221" s="439">
        <v>0.02</v>
      </c>
      <c r="E1221" s="422" t="str">
        <f>VLOOKUP($B1221,[1]DG!A:C,2,)</f>
        <v>02.1421</v>
      </c>
      <c r="F1221" s="434" t="str">
        <f>VLOOKUP($B1221,[1]DG!A:C,3,)</f>
        <v>V/c phụ kiện vào vị trí (cự ly &lt;=100m)</v>
      </c>
      <c r="G1221" s="422" t="str">
        <f>VLOOKUP($B1221,[1]DG!A:D,4,0)</f>
        <v>tấn</v>
      </c>
      <c r="H1221" s="435"/>
      <c r="I1221" s="435"/>
      <c r="J1221" s="435"/>
      <c r="K1221" s="435"/>
      <c r="L1221" s="435"/>
      <c r="M1221" s="435"/>
      <c r="N1221" s="435"/>
      <c r="O1221" s="435"/>
      <c r="P1221" s="435"/>
      <c r="Q1221" s="437"/>
      <c r="R1221" s="437"/>
      <c r="S1221" s="437"/>
      <c r="T1221" s="432">
        <f t="shared" si="233"/>
        <v>0</v>
      </c>
    </row>
    <row r="1222" spans="1:20" ht="22.2" hidden="1" customHeight="1">
      <c r="A1222" s="423" t="s">
        <v>1025</v>
      </c>
      <c r="B1222" s="424" t="s">
        <v>1025</v>
      </c>
      <c r="C1222" s="469" t="str">
        <f t="shared" si="235"/>
        <v xml:space="preserve"> </v>
      </c>
      <c r="D1222" s="426"/>
      <c r="E1222" s="427"/>
      <c r="F1222" s="428" t="s">
        <v>1026</v>
      </c>
      <c r="G1222" s="349" t="s">
        <v>67</v>
      </c>
      <c r="H1222" s="429">
        <f>SUM(I1222:O1222)</f>
        <v>0</v>
      </c>
      <c r="I1222" s="430"/>
      <c r="J1222" s="430"/>
      <c r="K1222" s="430">
        <f>IFERROR(HLOOKUP(B1222,[1]pp3p1m!$1:$3,3,0),0)</f>
        <v>0</v>
      </c>
      <c r="L1222" s="430">
        <f>IFERROR(HLOOKUP(chitiet!B1222,[1]pp1p!$1:$3,3,0),0)</f>
        <v>0</v>
      </c>
      <c r="M1222" s="430"/>
      <c r="N1222" s="430"/>
      <c r="O1222" s="430"/>
      <c r="P1222" s="430">
        <f>H1222+Q1222-R1222</f>
        <v>0</v>
      </c>
      <c r="Q1222" s="431"/>
      <c r="R1222" s="431"/>
      <c r="S1222" s="431"/>
      <c r="T1222" s="432">
        <f>IFERROR(HLOOKUP(B1222,[1]pp1p!$1:$3,3,0),0)+IFERROR(HLOOKUP(B1222,[1]pp3p1m!$1:$3,3,0),0)</f>
        <v>0</v>
      </c>
    </row>
    <row r="1223" spans="1:20" ht="22.2" hidden="1" customHeight="1">
      <c r="A1223" s="379"/>
      <c r="B1223" s="410" t="s">
        <v>482</v>
      </c>
      <c r="C1223" s="469" t="str">
        <f t="shared" si="235"/>
        <v xml:space="preserve"> </v>
      </c>
      <c r="D1223" s="440">
        <v>2</v>
      </c>
      <c r="E1223" s="422"/>
      <c r="F1223" s="441" t="str">
        <f>VLOOKUP($B1223,[1]DG!A:D,[1]DG!$C$2,)</f>
        <v>Boulon mắt 16x250+ 2 long đền vuông D18-50x50x3/Zn</v>
      </c>
      <c r="G1223" s="422" t="str">
        <f>VLOOKUP($B1223,[1]DG!A:D,[1]DG!$D$2,)</f>
        <v>bộ</v>
      </c>
      <c r="H1223" s="435">
        <f t="shared" ref="H1223:N1227" si="237">H$1222*$D1223</f>
        <v>0</v>
      </c>
      <c r="I1223" s="435">
        <f t="shared" si="237"/>
        <v>0</v>
      </c>
      <c r="J1223" s="435">
        <f t="shared" si="237"/>
        <v>0</v>
      </c>
      <c r="K1223" s="435">
        <f t="shared" si="237"/>
        <v>0</v>
      </c>
      <c r="L1223" s="435">
        <f t="shared" si="237"/>
        <v>0</v>
      </c>
      <c r="M1223" s="435">
        <f t="shared" si="237"/>
        <v>0</v>
      </c>
      <c r="N1223" s="435">
        <f t="shared" si="237"/>
        <v>0</v>
      </c>
      <c r="O1223" s="435"/>
      <c r="P1223" s="435"/>
      <c r="Q1223" s="442"/>
      <c r="R1223" s="442"/>
      <c r="S1223" s="442"/>
      <c r="T1223" s="432">
        <f t="shared" si="233"/>
        <v>0</v>
      </c>
    </row>
    <row r="1224" spans="1:20" ht="22.2" hidden="1" customHeight="1">
      <c r="A1224" s="379"/>
      <c r="B1224" s="410" t="s">
        <v>988</v>
      </c>
      <c r="C1224" s="469" t="str">
        <f t="shared" si="235"/>
        <v xml:space="preserve"> </v>
      </c>
      <c r="D1224" s="440">
        <v>2</v>
      </c>
      <c r="E1224" s="422"/>
      <c r="F1224" s="441" t="str">
        <f>VLOOKUP($B1224,[1]DG!A:D,[1]DG!$C$2,)</f>
        <v>Sứ chằng</v>
      </c>
      <c r="G1224" s="422" t="str">
        <f>VLOOKUP($B1224,[1]DG!A:D,[1]DG!$D$2,)</f>
        <v>cái</v>
      </c>
      <c r="H1224" s="435">
        <f t="shared" si="237"/>
        <v>0</v>
      </c>
      <c r="I1224" s="435">
        <f t="shared" si="237"/>
        <v>0</v>
      </c>
      <c r="J1224" s="435">
        <f t="shared" si="237"/>
        <v>0</v>
      </c>
      <c r="K1224" s="435">
        <f t="shared" si="237"/>
        <v>0</v>
      </c>
      <c r="L1224" s="435">
        <f t="shared" si="237"/>
        <v>0</v>
      </c>
      <c r="M1224" s="435">
        <f t="shared" si="237"/>
        <v>0</v>
      </c>
      <c r="N1224" s="435">
        <f t="shared" si="237"/>
        <v>0</v>
      </c>
      <c r="O1224" s="435"/>
      <c r="P1224" s="435"/>
      <c r="Q1224" s="442"/>
      <c r="R1224" s="442"/>
      <c r="S1224" s="442"/>
      <c r="T1224" s="432">
        <f t="shared" si="233"/>
        <v>0</v>
      </c>
    </row>
    <row r="1225" spans="1:20" ht="22.2" hidden="1" customHeight="1">
      <c r="A1225" s="379"/>
      <c r="B1225" s="410" t="s">
        <v>989</v>
      </c>
      <c r="C1225" s="469" t="str">
        <f t="shared" si="235"/>
        <v xml:space="preserve"> </v>
      </c>
      <c r="D1225" s="440">
        <v>12</v>
      </c>
      <c r="E1225" s="422"/>
      <c r="F1225" s="441" t="str">
        <f>VLOOKUP($B1225,[1]DG!A:D,[1]DG!$C$2,)</f>
        <v>Kẹp cáp 3 boulon</v>
      </c>
      <c r="G1225" s="422" t="str">
        <f>VLOOKUP($B1225,[1]DG!A:D,[1]DG!$D$2,)</f>
        <v>cái</v>
      </c>
      <c r="H1225" s="435">
        <f t="shared" si="237"/>
        <v>0</v>
      </c>
      <c r="I1225" s="435">
        <f t="shared" si="237"/>
        <v>0</v>
      </c>
      <c r="J1225" s="435">
        <f t="shared" si="237"/>
        <v>0</v>
      </c>
      <c r="K1225" s="435">
        <f t="shared" si="237"/>
        <v>0</v>
      </c>
      <c r="L1225" s="435">
        <f t="shared" si="237"/>
        <v>0</v>
      </c>
      <c r="M1225" s="435">
        <f t="shared" si="237"/>
        <v>0</v>
      </c>
      <c r="N1225" s="435">
        <f t="shared" si="237"/>
        <v>0</v>
      </c>
      <c r="O1225" s="435"/>
      <c r="P1225" s="435"/>
      <c r="Q1225" s="442"/>
      <c r="R1225" s="442"/>
      <c r="S1225" s="442"/>
      <c r="T1225" s="432">
        <f t="shared" si="233"/>
        <v>0</v>
      </c>
    </row>
    <row r="1226" spans="1:20" ht="22.2" hidden="1" customHeight="1">
      <c r="A1226" s="379"/>
      <c r="B1226" s="410" t="s">
        <v>1010</v>
      </c>
      <c r="C1226" s="469" t="str">
        <f t="shared" si="235"/>
        <v xml:space="preserve"> </v>
      </c>
      <c r="D1226" s="440">
        <v>12</v>
      </c>
      <c r="E1226" s="422"/>
      <c r="F1226" s="441" t="str">
        <f>VLOOKUP($B1226,[1]DG!A:D,[1]DG!$C$2,)</f>
        <v>Cáp thép 5/8"</v>
      </c>
      <c r="G1226" s="422" t="str">
        <f>VLOOKUP($B1226,[1]DG!A:D,[1]DG!$D$2,)</f>
        <v>kg</v>
      </c>
      <c r="H1226" s="435">
        <f t="shared" si="237"/>
        <v>0</v>
      </c>
      <c r="I1226" s="435">
        <f t="shared" si="237"/>
        <v>0</v>
      </c>
      <c r="J1226" s="435">
        <f t="shared" si="237"/>
        <v>0</v>
      </c>
      <c r="K1226" s="435">
        <f t="shared" si="237"/>
        <v>0</v>
      </c>
      <c r="L1226" s="435">
        <f t="shared" si="237"/>
        <v>0</v>
      </c>
      <c r="M1226" s="435">
        <f t="shared" si="237"/>
        <v>0</v>
      </c>
      <c r="N1226" s="435">
        <f t="shared" si="237"/>
        <v>0</v>
      </c>
      <c r="O1226" s="435"/>
      <c r="P1226" s="435"/>
      <c r="Q1226" s="442"/>
      <c r="R1226" s="442"/>
      <c r="S1226" s="442"/>
      <c r="T1226" s="432">
        <f t="shared" si="233"/>
        <v>0</v>
      </c>
    </row>
    <row r="1227" spans="1:20" ht="22.2" hidden="1" customHeight="1">
      <c r="A1227" s="379"/>
      <c r="B1227" s="410" t="s">
        <v>991</v>
      </c>
      <c r="C1227" s="469" t="str">
        <f t="shared" si="235"/>
        <v xml:space="preserve"> </v>
      </c>
      <c r="D1227" s="440">
        <v>2</v>
      </c>
      <c r="E1227" s="422"/>
      <c r="F1227" s="441" t="str">
        <f>VLOOKUP($B1227,[1]DG!A:D,[1]DG!$C$2,)</f>
        <v>Yếm cáp dày 2mm</v>
      </c>
      <c r="G1227" s="422" t="str">
        <f>VLOOKUP($B1227,[1]DG!A:D,[1]DG!$D$2,)</f>
        <v>cái</v>
      </c>
      <c r="H1227" s="435">
        <f t="shared" si="237"/>
        <v>0</v>
      </c>
      <c r="I1227" s="435">
        <f t="shared" si="237"/>
        <v>0</v>
      </c>
      <c r="J1227" s="435">
        <f t="shared" si="237"/>
        <v>0</v>
      </c>
      <c r="K1227" s="435">
        <f t="shared" si="237"/>
        <v>0</v>
      </c>
      <c r="L1227" s="435">
        <f t="shared" si="237"/>
        <v>0</v>
      </c>
      <c r="M1227" s="435">
        <f t="shared" si="237"/>
        <v>0</v>
      </c>
      <c r="N1227" s="435">
        <f t="shared" si="237"/>
        <v>0</v>
      </c>
      <c r="O1227" s="435"/>
      <c r="P1227" s="435"/>
      <c r="Q1227" s="442"/>
      <c r="R1227" s="442"/>
      <c r="S1227" s="442"/>
      <c r="T1227" s="432">
        <f t="shared" si="233"/>
        <v>0</v>
      </c>
    </row>
    <row r="1228" spans="1:20" ht="22.2" hidden="1" customHeight="1">
      <c r="A1228" s="379"/>
      <c r="B1228" s="410" t="s">
        <v>588</v>
      </c>
      <c r="C1228" s="469" t="str">
        <f t="shared" si="235"/>
        <v xml:space="preserve"> </v>
      </c>
      <c r="D1228" s="440">
        <v>2</v>
      </c>
      <c r="E1228" s="422" t="str">
        <f>VLOOKUP($B1228,[1]DG!A:D,[1]DG!$B$2,)</f>
        <v>06.3241</v>
      </c>
      <c r="F1228" s="434" t="str">
        <f>VLOOKUP($B1228,[1]DG!A:D,[1]DG!$C$2,)</f>
        <v>Lắp bộ dây néo</v>
      </c>
      <c r="G1228" s="422" t="str">
        <f>VLOOKUP($B1228,[1]DG!A:D,[1]DG!$D$2,)</f>
        <v>bộ</v>
      </c>
      <c r="H1228" s="435"/>
      <c r="I1228" s="435"/>
      <c r="J1228" s="435"/>
      <c r="K1228" s="435"/>
      <c r="L1228" s="435"/>
      <c r="M1228" s="435"/>
      <c r="N1228" s="435"/>
      <c r="O1228" s="435"/>
      <c r="P1228" s="435"/>
      <c r="Q1228" s="437"/>
      <c r="R1228" s="437"/>
      <c r="S1228" s="437"/>
      <c r="T1228" s="432">
        <f t="shared" si="233"/>
        <v>0</v>
      </c>
    </row>
    <row r="1229" spans="1:20" ht="22.2" hidden="1" customHeight="1">
      <c r="A1229" s="379"/>
      <c r="B1229" s="438" t="s">
        <v>993</v>
      </c>
      <c r="C1229" s="469" t="str">
        <f t="shared" si="235"/>
        <v xml:space="preserve"> </v>
      </c>
      <c r="D1229" s="439">
        <v>0.02</v>
      </c>
      <c r="E1229" s="422" t="str">
        <f>VLOOKUP($B1229,[1]DG!A:C,2,)</f>
        <v>02.1421</v>
      </c>
      <c r="F1229" s="434" t="str">
        <f>VLOOKUP($B1229,[1]DG!A:C,3,)</f>
        <v>V/c phụ kiện vào vị trí (cự ly &lt;=100m)</v>
      </c>
      <c r="G1229" s="422" t="str">
        <f>VLOOKUP($B1229,[1]DG!A:D,4,0)</f>
        <v>tấn</v>
      </c>
      <c r="H1229" s="435"/>
      <c r="I1229" s="435"/>
      <c r="J1229" s="435"/>
      <c r="K1229" s="435"/>
      <c r="L1229" s="435"/>
      <c r="M1229" s="435"/>
      <c r="N1229" s="435"/>
      <c r="O1229" s="435"/>
      <c r="P1229" s="435"/>
      <c r="Q1229" s="437"/>
      <c r="R1229" s="437"/>
      <c r="S1229" s="437"/>
      <c r="T1229" s="432">
        <f t="shared" si="233"/>
        <v>0</v>
      </c>
    </row>
    <row r="1230" spans="1:20" ht="22.2" hidden="1" customHeight="1">
      <c r="A1230" s="423" t="s">
        <v>1027</v>
      </c>
      <c r="B1230" s="424" t="s">
        <v>1027</v>
      </c>
      <c r="C1230" s="469" t="str">
        <f t="shared" si="235"/>
        <v xml:space="preserve"> </v>
      </c>
      <c r="D1230" s="426"/>
      <c r="E1230" s="427"/>
      <c r="F1230" s="428" t="s">
        <v>1028</v>
      </c>
      <c r="G1230" s="349" t="s">
        <v>67</v>
      </c>
      <c r="H1230" s="429">
        <f>SUM(I1230:O1230)</f>
        <v>0</v>
      </c>
      <c r="I1230" s="430"/>
      <c r="J1230" s="430"/>
      <c r="K1230" s="430">
        <f>IFERROR(HLOOKUP(B1230,[1]pp3p1m!$1:$3,3,0),0)</f>
        <v>0</v>
      </c>
      <c r="L1230" s="430">
        <f>IFERROR(HLOOKUP(chitiet!B1230,[1]pp1p!$1:$3,3,0),0)</f>
        <v>0</v>
      </c>
      <c r="M1230" s="430"/>
      <c r="N1230" s="430"/>
      <c r="O1230" s="430"/>
      <c r="P1230" s="430">
        <f>H1230+Q1230-R1230</f>
        <v>0</v>
      </c>
      <c r="Q1230" s="431"/>
      <c r="R1230" s="431"/>
      <c r="S1230" s="431"/>
      <c r="T1230" s="432">
        <f>IFERROR(HLOOKUP(B1230,[1]pp1p!$1:$3,3,0),0)+IFERROR(HLOOKUP(B1230,[1]pp3p1m!$1:$3,3,0),0)</f>
        <v>0</v>
      </c>
    </row>
    <row r="1231" spans="1:20" ht="22.2" hidden="1" customHeight="1">
      <c r="A1231" s="379"/>
      <c r="B1231" s="410" t="s">
        <v>482</v>
      </c>
      <c r="C1231" s="469" t="str">
        <f t="shared" si="235"/>
        <v xml:space="preserve"> </v>
      </c>
      <c r="D1231" s="440">
        <v>4</v>
      </c>
      <c r="E1231" s="422"/>
      <c r="F1231" s="441" t="str">
        <f>VLOOKUP($B1231,[1]DG!A:D,[1]DG!$C$2,)</f>
        <v>Boulon mắt 16x250+ 2 long đền vuông D18-50x50x3/Zn</v>
      </c>
      <c r="G1231" s="422" t="str">
        <f>VLOOKUP($B1231,[1]DG!A:D,[1]DG!$D$2,)</f>
        <v>bộ</v>
      </c>
      <c r="H1231" s="435">
        <f t="shared" ref="H1231:N1235" si="238">H$1230*$D1231</f>
        <v>0</v>
      </c>
      <c r="I1231" s="435">
        <f t="shared" si="238"/>
        <v>0</v>
      </c>
      <c r="J1231" s="435">
        <f t="shared" si="238"/>
        <v>0</v>
      </c>
      <c r="K1231" s="435">
        <f t="shared" si="238"/>
        <v>0</v>
      </c>
      <c r="L1231" s="435">
        <f t="shared" si="238"/>
        <v>0</v>
      </c>
      <c r="M1231" s="435">
        <f t="shared" si="238"/>
        <v>0</v>
      </c>
      <c r="N1231" s="435">
        <f t="shared" si="238"/>
        <v>0</v>
      </c>
      <c r="O1231" s="435"/>
      <c r="P1231" s="435"/>
      <c r="Q1231" s="442"/>
      <c r="R1231" s="442"/>
      <c r="S1231" s="442"/>
      <c r="T1231" s="432">
        <f t="shared" si="233"/>
        <v>0</v>
      </c>
    </row>
    <row r="1232" spans="1:20" ht="22.2" hidden="1" customHeight="1">
      <c r="A1232" s="379"/>
      <c r="B1232" s="410" t="s">
        <v>988</v>
      </c>
      <c r="C1232" s="469" t="str">
        <f t="shared" si="235"/>
        <v xml:space="preserve"> </v>
      </c>
      <c r="D1232" s="440">
        <v>4</v>
      </c>
      <c r="E1232" s="422"/>
      <c r="F1232" s="441" t="str">
        <f>VLOOKUP($B1232,[1]DG!A:D,[1]DG!$C$2,)</f>
        <v>Sứ chằng</v>
      </c>
      <c r="G1232" s="422" t="str">
        <f>VLOOKUP($B1232,[1]DG!A:D,[1]DG!$D$2,)</f>
        <v>cái</v>
      </c>
      <c r="H1232" s="435">
        <f t="shared" si="238"/>
        <v>0</v>
      </c>
      <c r="I1232" s="435">
        <f t="shared" si="238"/>
        <v>0</v>
      </c>
      <c r="J1232" s="435">
        <f t="shared" si="238"/>
        <v>0</v>
      </c>
      <c r="K1232" s="435">
        <f t="shared" si="238"/>
        <v>0</v>
      </c>
      <c r="L1232" s="435">
        <f t="shared" si="238"/>
        <v>0</v>
      </c>
      <c r="M1232" s="435">
        <f t="shared" si="238"/>
        <v>0</v>
      </c>
      <c r="N1232" s="435">
        <f t="shared" si="238"/>
        <v>0</v>
      </c>
      <c r="O1232" s="435"/>
      <c r="P1232" s="435"/>
      <c r="Q1232" s="442"/>
      <c r="R1232" s="442"/>
      <c r="S1232" s="442"/>
      <c r="T1232" s="432">
        <f t="shared" si="233"/>
        <v>0</v>
      </c>
    </row>
    <row r="1233" spans="1:20" ht="22.2" hidden="1" customHeight="1">
      <c r="A1233" s="379"/>
      <c r="B1233" s="410" t="s">
        <v>989</v>
      </c>
      <c r="C1233" s="469" t="str">
        <f t="shared" si="235"/>
        <v xml:space="preserve"> </v>
      </c>
      <c r="D1233" s="440">
        <v>24</v>
      </c>
      <c r="E1233" s="422"/>
      <c r="F1233" s="441" t="str">
        <f>VLOOKUP($B1233,[1]DG!A:D,[1]DG!$C$2,)</f>
        <v>Kẹp cáp 3 boulon</v>
      </c>
      <c r="G1233" s="422" t="str">
        <f>VLOOKUP($B1233,[1]DG!A:D,[1]DG!$D$2,)</f>
        <v>cái</v>
      </c>
      <c r="H1233" s="435">
        <f t="shared" si="238"/>
        <v>0</v>
      </c>
      <c r="I1233" s="435">
        <f t="shared" si="238"/>
        <v>0</v>
      </c>
      <c r="J1233" s="435">
        <f t="shared" si="238"/>
        <v>0</v>
      </c>
      <c r="K1233" s="435">
        <f t="shared" si="238"/>
        <v>0</v>
      </c>
      <c r="L1233" s="435">
        <f t="shared" si="238"/>
        <v>0</v>
      </c>
      <c r="M1233" s="435">
        <f t="shared" si="238"/>
        <v>0</v>
      </c>
      <c r="N1233" s="435">
        <f t="shared" si="238"/>
        <v>0</v>
      </c>
      <c r="O1233" s="435"/>
      <c r="P1233" s="435"/>
      <c r="Q1233" s="442"/>
      <c r="R1233" s="442"/>
      <c r="S1233" s="442"/>
      <c r="T1233" s="432">
        <f t="shared" si="233"/>
        <v>0</v>
      </c>
    </row>
    <row r="1234" spans="1:20" ht="22.2" hidden="1" customHeight="1">
      <c r="A1234" s="379"/>
      <c r="B1234" s="410" t="s">
        <v>1010</v>
      </c>
      <c r="C1234" s="469" t="str">
        <f t="shared" si="235"/>
        <v xml:space="preserve"> </v>
      </c>
      <c r="D1234" s="440">
        <v>12</v>
      </c>
      <c r="E1234" s="422"/>
      <c r="F1234" s="441" t="str">
        <f>VLOOKUP($B1234,[1]DG!A:D,[1]DG!$C$2,)</f>
        <v>Cáp thép 5/8"</v>
      </c>
      <c r="G1234" s="422" t="str">
        <f>VLOOKUP($B1234,[1]DG!A:D,[1]DG!$D$2,)</f>
        <v>kg</v>
      </c>
      <c r="H1234" s="435">
        <f t="shared" si="238"/>
        <v>0</v>
      </c>
      <c r="I1234" s="435">
        <f t="shared" si="238"/>
        <v>0</v>
      </c>
      <c r="J1234" s="435">
        <f t="shared" si="238"/>
        <v>0</v>
      </c>
      <c r="K1234" s="435">
        <f t="shared" si="238"/>
        <v>0</v>
      </c>
      <c r="L1234" s="435">
        <f t="shared" si="238"/>
        <v>0</v>
      </c>
      <c r="M1234" s="435">
        <f t="shared" si="238"/>
        <v>0</v>
      </c>
      <c r="N1234" s="435">
        <f t="shared" si="238"/>
        <v>0</v>
      </c>
      <c r="O1234" s="435"/>
      <c r="P1234" s="435"/>
      <c r="Q1234" s="442"/>
      <c r="R1234" s="442"/>
      <c r="S1234" s="442"/>
      <c r="T1234" s="432">
        <f t="shared" si="233"/>
        <v>0</v>
      </c>
    </row>
    <row r="1235" spans="1:20" ht="22.2" hidden="1" customHeight="1">
      <c r="A1235" s="379"/>
      <c r="B1235" s="410" t="s">
        <v>991</v>
      </c>
      <c r="C1235" s="469" t="str">
        <f t="shared" si="235"/>
        <v xml:space="preserve"> </v>
      </c>
      <c r="D1235" s="440">
        <v>4</v>
      </c>
      <c r="E1235" s="422"/>
      <c r="F1235" s="441" t="str">
        <f>VLOOKUP($B1235,[1]DG!A:D,[1]DG!$C$2,)</f>
        <v>Yếm cáp dày 2mm</v>
      </c>
      <c r="G1235" s="422" t="str">
        <f>VLOOKUP($B1235,[1]DG!A:D,[1]DG!$D$2,)</f>
        <v>cái</v>
      </c>
      <c r="H1235" s="435">
        <f t="shared" si="238"/>
        <v>0</v>
      </c>
      <c r="I1235" s="435">
        <f t="shared" si="238"/>
        <v>0</v>
      </c>
      <c r="J1235" s="435">
        <f t="shared" si="238"/>
        <v>0</v>
      </c>
      <c r="K1235" s="435">
        <f t="shared" si="238"/>
        <v>0</v>
      </c>
      <c r="L1235" s="435">
        <f t="shared" si="238"/>
        <v>0</v>
      </c>
      <c r="M1235" s="435">
        <f t="shared" si="238"/>
        <v>0</v>
      </c>
      <c r="N1235" s="435">
        <f t="shared" si="238"/>
        <v>0</v>
      </c>
      <c r="O1235" s="435"/>
      <c r="P1235" s="435"/>
      <c r="Q1235" s="442"/>
      <c r="R1235" s="442"/>
      <c r="S1235" s="442"/>
      <c r="T1235" s="432">
        <f t="shared" si="233"/>
        <v>0</v>
      </c>
    </row>
    <row r="1236" spans="1:20" ht="22.2" hidden="1" customHeight="1">
      <c r="A1236" s="379"/>
      <c r="B1236" s="410" t="s">
        <v>588</v>
      </c>
      <c r="C1236" s="469" t="str">
        <f t="shared" si="235"/>
        <v xml:space="preserve"> </v>
      </c>
      <c r="D1236" s="440">
        <v>2</v>
      </c>
      <c r="E1236" s="422" t="str">
        <f>VLOOKUP($B1236,[1]DG!A:D,[1]DG!$B$2,)</f>
        <v>06.3241</v>
      </c>
      <c r="F1236" s="434" t="str">
        <f>VLOOKUP($B1236,[1]DG!A:D,[1]DG!$C$2,)</f>
        <v>Lắp bộ dây néo</v>
      </c>
      <c r="G1236" s="422" t="str">
        <f>VLOOKUP($B1236,[1]DG!A:D,[1]DG!$D$2,)</f>
        <v>bộ</v>
      </c>
      <c r="H1236" s="435"/>
      <c r="I1236" s="435"/>
      <c r="J1236" s="435"/>
      <c r="K1236" s="435"/>
      <c r="L1236" s="435"/>
      <c r="M1236" s="435"/>
      <c r="N1236" s="435"/>
      <c r="O1236" s="435"/>
      <c r="P1236" s="435"/>
      <c r="Q1236" s="437"/>
      <c r="R1236" s="437"/>
      <c r="S1236" s="437"/>
      <c r="T1236" s="432">
        <f t="shared" si="233"/>
        <v>0</v>
      </c>
    </row>
    <row r="1237" spans="1:20" ht="22.2" hidden="1" customHeight="1">
      <c r="A1237" s="379"/>
      <c r="B1237" s="438" t="s">
        <v>993</v>
      </c>
      <c r="C1237" s="469" t="str">
        <f t="shared" si="235"/>
        <v xml:space="preserve"> </v>
      </c>
      <c r="D1237" s="439">
        <v>0.02</v>
      </c>
      <c r="E1237" s="422" t="str">
        <f>VLOOKUP($B1237,[1]DG!A:C,2,)</f>
        <v>02.1421</v>
      </c>
      <c r="F1237" s="434" t="str">
        <f>VLOOKUP($B1237,[1]DG!A:C,3,)</f>
        <v>V/c phụ kiện vào vị trí (cự ly &lt;=100m)</v>
      </c>
      <c r="G1237" s="422" t="str">
        <f>VLOOKUP($B1237,[1]DG!A:D,4,0)</f>
        <v>tấn</v>
      </c>
      <c r="H1237" s="435"/>
      <c r="I1237" s="435"/>
      <c r="J1237" s="435"/>
      <c r="K1237" s="435"/>
      <c r="L1237" s="435"/>
      <c r="M1237" s="435"/>
      <c r="N1237" s="435"/>
      <c r="O1237" s="435"/>
      <c r="P1237" s="435"/>
      <c r="Q1237" s="437"/>
      <c r="R1237" s="437"/>
      <c r="S1237" s="437"/>
      <c r="T1237" s="432">
        <f t="shared" si="233"/>
        <v>0</v>
      </c>
    </row>
    <row r="1238" spans="1:20" ht="22.2" hidden="1" customHeight="1">
      <c r="A1238" s="423" t="s">
        <v>1029</v>
      </c>
      <c r="B1238" s="424" t="s">
        <v>1029</v>
      </c>
      <c r="C1238" s="469" t="str">
        <f t="shared" si="235"/>
        <v xml:space="preserve"> </v>
      </c>
      <c r="D1238" s="426"/>
      <c r="E1238" s="427"/>
      <c r="F1238" s="428" t="s">
        <v>1030</v>
      </c>
      <c r="G1238" s="349" t="s">
        <v>67</v>
      </c>
      <c r="H1238" s="429">
        <f>SUM(I1238:O1238)</f>
        <v>0</v>
      </c>
      <c r="I1238" s="430"/>
      <c r="J1238" s="430"/>
      <c r="K1238" s="430">
        <f>IFERROR(HLOOKUP(B1238,[1]pp3p1m!$1:$3,3,0),0)</f>
        <v>0</v>
      </c>
      <c r="L1238" s="430">
        <f>IFERROR(HLOOKUP(chitiet!B1238,[1]pp1p!$1:$3,3,0),0)</f>
        <v>0</v>
      </c>
      <c r="M1238" s="430"/>
      <c r="N1238" s="430"/>
      <c r="O1238" s="430"/>
      <c r="P1238" s="430">
        <f>H1238+Q1238-R1238</f>
        <v>0</v>
      </c>
      <c r="Q1238" s="431"/>
      <c r="R1238" s="431"/>
      <c r="S1238" s="431"/>
      <c r="T1238" s="432">
        <f>IFERROR(HLOOKUP(B1238,[1]pp1p!$1:$3,3,0),0)+IFERROR(HLOOKUP(B1238,[1]pp3p1m!$1:$3,3,0),0)</f>
        <v>0</v>
      </c>
    </row>
    <row r="1239" spans="1:20" ht="22.2" hidden="1" customHeight="1">
      <c r="A1239" s="379"/>
      <c r="B1239" s="410" t="s">
        <v>1031</v>
      </c>
      <c r="C1239" s="469" t="str">
        <f t="shared" si="235"/>
        <v xml:space="preserve"> </v>
      </c>
      <c r="D1239" s="440">
        <v>1</v>
      </c>
      <c r="E1239" s="422"/>
      <c r="F1239" s="441" t="str">
        <f>VLOOKUP($B1239,[1]DG!A:D,[1]DG!$C$2,)&amp;"-Fe8x100 nhuùng keõm"</f>
        <v>Cổ dê Ø 195 nẹp trụ-Fe8x100 nhuùng keõm</v>
      </c>
      <c r="G1239" s="422" t="str">
        <f>VLOOKUP($B1239,[1]DG!A:D,[1]DG!$D$2,)</f>
        <v>bộ</v>
      </c>
      <c r="H1239" s="435">
        <f t="shared" ref="H1239:N1247" si="239">H$1238*$D1239</f>
        <v>0</v>
      </c>
      <c r="I1239" s="435">
        <f t="shared" si="239"/>
        <v>0</v>
      </c>
      <c r="J1239" s="435">
        <f t="shared" si="239"/>
        <v>0</v>
      </c>
      <c r="K1239" s="435">
        <f t="shared" si="239"/>
        <v>0</v>
      </c>
      <c r="L1239" s="435">
        <f t="shared" si="239"/>
        <v>0</v>
      </c>
      <c r="M1239" s="435">
        <f t="shared" si="239"/>
        <v>0</v>
      </c>
      <c r="N1239" s="435">
        <f t="shared" si="239"/>
        <v>0</v>
      </c>
      <c r="O1239" s="435"/>
      <c r="P1239" s="435"/>
      <c r="Q1239" s="442"/>
      <c r="R1239" s="442"/>
      <c r="S1239" s="442"/>
      <c r="T1239" s="432">
        <f t="shared" si="233"/>
        <v>0</v>
      </c>
    </row>
    <row r="1240" spans="1:20" ht="22.2" hidden="1" customHeight="1">
      <c r="A1240" s="379"/>
      <c r="B1240" s="410" t="s">
        <v>988</v>
      </c>
      <c r="C1240" s="469" t="str">
        <f t="shared" si="235"/>
        <v xml:space="preserve"> </v>
      </c>
      <c r="D1240" s="440">
        <v>1</v>
      </c>
      <c r="E1240" s="422"/>
      <c r="F1240" s="441" t="str">
        <f>VLOOKUP($B1240,[1]DG!A:D,[1]DG!$C$2,)</f>
        <v>Sứ chằng</v>
      </c>
      <c r="G1240" s="422" t="str">
        <f>VLOOKUP($B1240,[1]DG!A:D,[1]DG!$D$2,)</f>
        <v>cái</v>
      </c>
      <c r="H1240" s="435">
        <f t="shared" si="239"/>
        <v>0</v>
      </c>
      <c r="I1240" s="435">
        <f t="shared" si="239"/>
        <v>0</v>
      </c>
      <c r="J1240" s="435">
        <f t="shared" si="239"/>
        <v>0</v>
      </c>
      <c r="K1240" s="435">
        <f t="shared" si="239"/>
        <v>0</v>
      </c>
      <c r="L1240" s="435">
        <f t="shared" si="239"/>
        <v>0</v>
      </c>
      <c r="M1240" s="435">
        <f t="shared" si="239"/>
        <v>0</v>
      </c>
      <c r="N1240" s="435">
        <f t="shared" si="239"/>
        <v>0</v>
      </c>
      <c r="O1240" s="435"/>
      <c r="P1240" s="435"/>
      <c r="Q1240" s="442"/>
      <c r="R1240" s="442"/>
      <c r="S1240" s="442"/>
      <c r="T1240" s="432">
        <f t="shared" si="233"/>
        <v>0</v>
      </c>
    </row>
    <row r="1241" spans="1:20" ht="22.2" hidden="1" customHeight="1">
      <c r="A1241" s="379"/>
      <c r="B1241" s="410" t="s">
        <v>989</v>
      </c>
      <c r="C1241" s="469" t="str">
        <f t="shared" si="235"/>
        <v xml:space="preserve"> </v>
      </c>
      <c r="D1241" s="440">
        <v>8</v>
      </c>
      <c r="E1241" s="422"/>
      <c r="F1241" s="441" t="str">
        <f>VLOOKUP($B1241,[1]DG!A:D,[1]DG!$C$2,)</f>
        <v>Kẹp cáp 3 boulon</v>
      </c>
      <c r="G1241" s="422" t="str">
        <f>VLOOKUP($B1241,[1]DG!A:D,[1]DG!$D$2,)</f>
        <v>cái</v>
      </c>
      <c r="H1241" s="435">
        <f t="shared" si="239"/>
        <v>0</v>
      </c>
      <c r="I1241" s="435">
        <f t="shared" si="239"/>
        <v>0</v>
      </c>
      <c r="J1241" s="435">
        <f t="shared" si="239"/>
        <v>0</v>
      </c>
      <c r="K1241" s="435">
        <f t="shared" si="239"/>
        <v>0</v>
      </c>
      <c r="L1241" s="435">
        <f t="shared" si="239"/>
        <v>0</v>
      </c>
      <c r="M1241" s="435">
        <f t="shared" si="239"/>
        <v>0</v>
      </c>
      <c r="N1241" s="435">
        <f t="shared" si="239"/>
        <v>0</v>
      </c>
      <c r="O1241" s="435"/>
      <c r="P1241" s="435"/>
      <c r="Q1241" s="442"/>
      <c r="R1241" s="442"/>
      <c r="S1241" s="442"/>
      <c r="T1241" s="432">
        <f t="shared" si="233"/>
        <v>0</v>
      </c>
    </row>
    <row r="1242" spans="1:20" ht="22.2" hidden="1" customHeight="1">
      <c r="A1242" s="379"/>
      <c r="B1242" s="478" t="s">
        <v>1032</v>
      </c>
      <c r="C1242" s="469" t="str">
        <f t="shared" si="235"/>
        <v xml:space="preserve"> </v>
      </c>
      <c r="D1242" s="440">
        <v>15</v>
      </c>
      <c r="E1242" s="422"/>
      <c r="F1242" s="441" t="str">
        <f>VLOOKUP($B1242,[1]DG!A:D,[1]DG!$C$2,)</f>
        <v>Kẹp hotline 4/0</v>
      </c>
      <c r="G1242" s="422" t="str">
        <f>VLOOKUP($B1242,[1]DG!A:D,[1]DG!$D$2,)</f>
        <v>cái</v>
      </c>
      <c r="H1242" s="435">
        <f t="shared" si="239"/>
        <v>0</v>
      </c>
      <c r="I1242" s="435">
        <f t="shared" si="239"/>
        <v>0</v>
      </c>
      <c r="J1242" s="435">
        <f t="shared" si="239"/>
        <v>0</v>
      </c>
      <c r="K1242" s="435">
        <f t="shared" si="239"/>
        <v>0</v>
      </c>
      <c r="L1242" s="435">
        <f t="shared" si="239"/>
        <v>0</v>
      </c>
      <c r="M1242" s="435">
        <f t="shared" si="239"/>
        <v>0</v>
      </c>
      <c r="N1242" s="435">
        <f t="shared" si="239"/>
        <v>0</v>
      </c>
      <c r="O1242" s="435"/>
      <c r="P1242" s="435"/>
      <c r="Q1242" s="442"/>
      <c r="R1242" s="442"/>
      <c r="S1242" s="442"/>
      <c r="T1242" s="432">
        <f t="shared" si="233"/>
        <v>0</v>
      </c>
    </row>
    <row r="1243" spans="1:20" ht="22.2" hidden="1" customHeight="1">
      <c r="A1243" s="379"/>
      <c r="B1243" s="410" t="s">
        <v>962</v>
      </c>
      <c r="C1243" s="469" t="str">
        <f t="shared" si="235"/>
        <v xml:space="preserve"> </v>
      </c>
      <c r="D1243" s="440">
        <v>2</v>
      </c>
      <c r="E1243" s="422"/>
      <c r="F1243" s="441" t="str">
        <f>VLOOKUP($B1243,[1]DG!A:D,[1]DG!$C$2,)</f>
        <v>Sắt dẹt 60 x 6</v>
      </c>
      <c r="G1243" s="422" t="str">
        <f>VLOOKUP($B1243,[1]DG!A:D,[1]DG!$D$2,)</f>
        <v>kg</v>
      </c>
      <c r="H1243" s="435">
        <f t="shared" si="239"/>
        <v>0</v>
      </c>
      <c r="I1243" s="435">
        <f t="shared" si="239"/>
        <v>0</v>
      </c>
      <c r="J1243" s="435">
        <f t="shared" si="239"/>
        <v>0</v>
      </c>
      <c r="K1243" s="435">
        <f t="shared" si="239"/>
        <v>0</v>
      </c>
      <c r="L1243" s="435">
        <f t="shared" si="239"/>
        <v>0</v>
      </c>
      <c r="M1243" s="435">
        <f t="shared" si="239"/>
        <v>0</v>
      </c>
      <c r="N1243" s="435">
        <f t="shared" si="239"/>
        <v>0</v>
      </c>
      <c r="O1243" s="435"/>
      <c r="P1243" s="435"/>
      <c r="Q1243" s="442"/>
      <c r="R1243" s="442"/>
      <c r="S1243" s="442"/>
      <c r="T1243" s="432">
        <f t="shared" si="233"/>
        <v>0</v>
      </c>
    </row>
    <row r="1244" spans="1:20" ht="22.2" hidden="1" customHeight="1">
      <c r="A1244" s="379"/>
      <c r="B1244" s="410" t="s">
        <v>1033</v>
      </c>
      <c r="C1244" s="469" t="str">
        <f t="shared" si="235"/>
        <v xml:space="preserve"> </v>
      </c>
      <c r="D1244" s="440">
        <v>1</v>
      </c>
      <c r="E1244" s="422"/>
      <c r="F1244" s="441" t="str">
        <f>VLOOKUP($B1244,[1]DG!A:D,[1]DG!$C$2,)</f>
        <v xml:space="preserve">Móc treo chữ U </v>
      </c>
      <c r="G1244" s="422" t="str">
        <f>VLOOKUP($B1244,[1]DG!A:D,[1]DG!$D$2,)</f>
        <v>cái</v>
      </c>
      <c r="H1244" s="435">
        <f t="shared" si="239"/>
        <v>0</v>
      </c>
      <c r="I1244" s="435">
        <f t="shared" si="239"/>
        <v>0</v>
      </c>
      <c r="J1244" s="435">
        <f t="shared" si="239"/>
        <v>0</v>
      </c>
      <c r="K1244" s="435">
        <f t="shared" si="239"/>
        <v>0</v>
      </c>
      <c r="L1244" s="435">
        <f t="shared" si="239"/>
        <v>0</v>
      </c>
      <c r="M1244" s="435">
        <f t="shared" si="239"/>
        <v>0</v>
      </c>
      <c r="N1244" s="435">
        <f t="shared" si="239"/>
        <v>0</v>
      </c>
      <c r="O1244" s="435"/>
      <c r="P1244" s="435"/>
      <c r="Q1244" s="442"/>
      <c r="R1244" s="442"/>
      <c r="S1244" s="442"/>
      <c r="T1244" s="432">
        <f t="shared" si="233"/>
        <v>0</v>
      </c>
    </row>
    <row r="1245" spans="1:20" ht="22.2" hidden="1" customHeight="1">
      <c r="A1245" s="379"/>
      <c r="B1245" s="479" t="s">
        <v>1034</v>
      </c>
      <c r="C1245" s="469" t="str">
        <f t="shared" si="235"/>
        <v xml:space="preserve"> </v>
      </c>
      <c r="D1245" s="440">
        <v>2</v>
      </c>
      <c r="E1245" s="422"/>
      <c r="F1245" s="441" t="str">
        <f>VLOOKUP($B1245,[1]DG!A:D,[1]DG!$C$2,)</f>
        <v>Boulon 16x100VRS+ 4 long đền vuông D18-50x50x3/Zn</v>
      </c>
      <c r="G1245" s="422" t="str">
        <f>VLOOKUP($B1245,[1]DG!A:D,[1]DG!$D$2,)</f>
        <v>bộ</v>
      </c>
      <c r="H1245" s="435">
        <f t="shared" si="239"/>
        <v>0</v>
      </c>
      <c r="I1245" s="435">
        <f t="shared" si="239"/>
        <v>0</v>
      </c>
      <c r="J1245" s="435">
        <f t="shared" si="239"/>
        <v>0</v>
      </c>
      <c r="K1245" s="435">
        <f t="shared" si="239"/>
        <v>0</v>
      </c>
      <c r="L1245" s="435">
        <f t="shared" si="239"/>
        <v>0</v>
      </c>
      <c r="M1245" s="435">
        <f t="shared" si="239"/>
        <v>0</v>
      </c>
      <c r="N1245" s="435">
        <f t="shared" si="239"/>
        <v>0</v>
      </c>
      <c r="O1245" s="435"/>
      <c r="P1245" s="435"/>
      <c r="Q1245" s="442"/>
      <c r="R1245" s="442"/>
      <c r="S1245" s="442"/>
      <c r="T1245" s="432">
        <f t="shared" si="233"/>
        <v>0</v>
      </c>
    </row>
    <row r="1246" spans="1:20" ht="22.2" hidden="1" customHeight="1">
      <c r="A1246" s="379"/>
      <c r="B1246" s="410" t="s">
        <v>991</v>
      </c>
      <c r="C1246" s="469" t="str">
        <f t="shared" si="235"/>
        <v xml:space="preserve"> </v>
      </c>
      <c r="D1246" s="440">
        <v>2</v>
      </c>
      <c r="E1246" s="422"/>
      <c r="F1246" s="441" t="str">
        <f>VLOOKUP($B1246,[1]DG!A:D,[1]DG!$C$2,)</f>
        <v>Yếm cáp dày 2mm</v>
      </c>
      <c r="G1246" s="422" t="str">
        <f>VLOOKUP($B1246,[1]DG!A:D,[1]DG!$D$2,)</f>
        <v>cái</v>
      </c>
      <c r="H1246" s="435">
        <f t="shared" si="239"/>
        <v>0</v>
      </c>
      <c r="I1246" s="435">
        <f t="shared" si="239"/>
        <v>0</v>
      </c>
      <c r="J1246" s="435">
        <f t="shared" si="239"/>
        <v>0</v>
      </c>
      <c r="K1246" s="435">
        <f t="shared" si="239"/>
        <v>0</v>
      </c>
      <c r="L1246" s="435">
        <f t="shared" si="239"/>
        <v>0</v>
      </c>
      <c r="M1246" s="435">
        <f t="shared" si="239"/>
        <v>0</v>
      </c>
      <c r="N1246" s="435">
        <f t="shared" si="239"/>
        <v>0</v>
      </c>
      <c r="O1246" s="435"/>
      <c r="P1246" s="435"/>
      <c r="Q1246" s="442"/>
      <c r="R1246" s="442"/>
      <c r="S1246" s="442"/>
      <c r="T1246" s="432">
        <f t="shared" si="233"/>
        <v>0</v>
      </c>
    </row>
    <row r="1247" spans="1:20" ht="22.2" hidden="1" customHeight="1">
      <c r="A1247" s="379"/>
      <c r="B1247" s="410" t="s">
        <v>992</v>
      </c>
      <c r="C1247" s="469" t="str">
        <f t="shared" si="235"/>
        <v xml:space="preserve"> </v>
      </c>
      <c r="D1247" s="440">
        <v>1</v>
      </c>
      <c r="E1247" s="422"/>
      <c r="F1247" s="441" t="str">
        <f>VLOOKUP($B1247,[1]DG!A:D,[1]DG!$C$2,)</f>
        <v>Máng che dây chằng dày 1,6mm</v>
      </c>
      <c r="G1247" s="422" t="str">
        <f>VLOOKUP($B1247,[1]DG!A:D,[1]DG!$D$2,)</f>
        <v>cái</v>
      </c>
      <c r="H1247" s="435">
        <f t="shared" si="239"/>
        <v>0</v>
      </c>
      <c r="I1247" s="435">
        <f t="shared" si="239"/>
        <v>0</v>
      </c>
      <c r="J1247" s="435">
        <f t="shared" si="239"/>
        <v>0</v>
      </c>
      <c r="K1247" s="435">
        <f t="shared" si="239"/>
        <v>0</v>
      </c>
      <c r="L1247" s="435">
        <f t="shared" si="239"/>
        <v>0</v>
      </c>
      <c r="M1247" s="435">
        <f t="shared" si="239"/>
        <v>0</v>
      </c>
      <c r="N1247" s="435">
        <f t="shared" si="239"/>
        <v>0</v>
      </c>
      <c r="O1247" s="435"/>
      <c r="P1247" s="435"/>
      <c r="Q1247" s="442"/>
      <c r="R1247" s="442"/>
      <c r="S1247" s="442"/>
      <c r="T1247" s="432">
        <f t="shared" si="233"/>
        <v>0</v>
      </c>
    </row>
    <row r="1248" spans="1:20" ht="22.2" hidden="1" customHeight="1">
      <c r="A1248" s="379"/>
      <c r="B1248" s="410" t="s">
        <v>588</v>
      </c>
      <c r="C1248" s="469" t="str">
        <f t="shared" si="235"/>
        <v xml:space="preserve"> </v>
      </c>
      <c r="D1248" s="440">
        <v>1</v>
      </c>
      <c r="E1248" s="422" t="str">
        <f>VLOOKUP($B1248,[1]DG!A:D,[1]DG!$B$2,)</f>
        <v>06.3241</v>
      </c>
      <c r="F1248" s="434" t="str">
        <f>VLOOKUP($B1248,[1]DG!A:D,[1]DG!$C$2,)</f>
        <v>Lắp bộ dây néo</v>
      </c>
      <c r="G1248" s="422" t="str">
        <f>VLOOKUP($B1248,[1]DG!A:D,[1]DG!$D$2,)</f>
        <v>bộ</v>
      </c>
      <c r="H1248" s="435"/>
      <c r="I1248" s="435"/>
      <c r="J1248" s="435"/>
      <c r="K1248" s="435"/>
      <c r="L1248" s="435"/>
      <c r="M1248" s="435"/>
      <c r="N1248" s="435"/>
      <c r="O1248" s="435"/>
      <c r="P1248" s="435"/>
      <c r="Q1248" s="437"/>
      <c r="R1248" s="437"/>
      <c r="S1248" s="437"/>
      <c r="T1248" s="432">
        <f t="shared" si="233"/>
        <v>0</v>
      </c>
    </row>
    <row r="1249" spans="1:20" ht="22.2" hidden="1" customHeight="1">
      <c r="A1249" s="379"/>
      <c r="B1249" s="410" t="s">
        <v>1035</v>
      </c>
      <c r="C1249" s="469" t="str">
        <f t="shared" si="235"/>
        <v xml:space="preserve"> </v>
      </c>
      <c r="D1249" s="440">
        <v>1</v>
      </c>
      <c r="E1249" s="422" t="str">
        <f>VLOOKUP($B1249,[1]DG!A:D,[1]DG!$B$2,)</f>
        <v>06.2110</v>
      </c>
      <c r="F1249" s="434" t="str">
        <f>VLOOKUP($B1249,[1]DG!A:D,[1]DG!$C$2,)</f>
        <v>Lắp cổ dề</v>
      </c>
      <c r="G1249" s="422" t="str">
        <f>VLOOKUP($B1249,[1]DG!A:D,[1]DG!$D$2,)</f>
        <v>cái</v>
      </c>
      <c r="H1249" s="435"/>
      <c r="I1249" s="435"/>
      <c r="J1249" s="435"/>
      <c r="K1249" s="435"/>
      <c r="L1249" s="435"/>
      <c r="M1249" s="435"/>
      <c r="N1249" s="435"/>
      <c r="O1249" s="435"/>
      <c r="P1249" s="435"/>
      <c r="Q1249" s="437"/>
      <c r="R1249" s="437"/>
      <c r="S1249" s="437"/>
      <c r="T1249" s="432">
        <f t="shared" si="233"/>
        <v>0</v>
      </c>
    </row>
    <row r="1250" spans="1:20" ht="22.2" hidden="1" customHeight="1">
      <c r="A1250" s="379"/>
      <c r="B1250" s="438" t="s">
        <v>993</v>
      </c>
      <c r="C1250" s="469" t="str">
        <f t="shared" si="235"/>
        <v xml:space="preserve"> </v>
      </c>
      <c r="D1250" s="439">
        <v>0.02</v>
      </c>
      <c r="E1250" s="422" t="str">
        <f>VLOOKUP($B1250,[1]DG!A:C,2,)</f>
        <v>02.1421</v>
      </c>
      <c r="F1250" s="434" t="str">
        <f>VLOOKUP($B1250,[1]DG!A:C,3,)</f>
        <v>V/c phụ kiện vào vị trí (cự ly &lt;=100m)</v>
      </c>
      <c r="G1250" s="422" t="str">
        <f>VLOOKUP($B1250,[1]DG!A:D,4,0)</f>
        <v>tấn</v>
      </c>
      <c r="H1250" s="435"/>
      <c r="I1250" s="435"/>
      <c r="J1250" s="435"/>
      <c r="K1250" s="435"/>
      <c r="L1250" s="435"/>
      <c r="M1250" s="435"/>
      <c r="N1250" s="435"/>
      <c r="O1250" s="435"/>
      <c r="P1250" s="435"/>
      <c r="Q1250" s="437"/>
      <c r="R1250" s="437"/>
      <c r="S1250" s="437"/>
      <c r="T1250" s="432">
        <f t="shared" si="233"/>
        <v>0</v>
      </c>
    </row>
    <row r="1251" spans="1:20" ht="22.2" hidden="1" customHeight="1">
      <c r="A1251" s="423" t="s">
        <v>1036</v>
      </c>
      <c r="B1251" s="424" t="s">
        <v>1036</v>
      </c>
      <c r="C1251" s="469" t="str">
        <f t="shared" si="235"/>
        <v xml:space="preserve"> </v>
      </c>
      <c r="D1251" s="426"/>
      <c r="E1251" s="427"/>
      <c r="F1251" s="428" t="s">
        <v>1037</v>
      </c>
      <c r="G1251" s="349" t="s">
        <v>67</v>
      </c>
      <c r="H1251" s="429">
        <f>SUM(I1251:O1251)</f>
        <v>0</v>
      </c>
      <c r="I1251" s="430"/>
      <c r="J1251" s="430"/>
      <c r="K1251" s="430">
        <f>IFERROR(HLOOKUP(B1251,[1]pp3p1m!$1:$3,3,0),0)</f>
        <v>0</v>
      </c>
      <c r="L1251" s="430">
        <f>IFERROR(HLOOKUP(chitiet!B1251,[1]pp1p!$1:$3,3,0),0)</f>
        <v>0</v>
      </c>
      <c r="M1251" s="430"/>
      <c r="N1251" s="430"/>
      <c r="O1251" s="430"/>
      <c r="P1251" s="430">
        <f>H1251+Q1251-R1251</f>
        <v>0</v>
      </c>
      <c r="Q1251" s="431"/>
      <c r="R1251" s="431"/>
      <c r="S1251" s="431"/>
      <c r="T1251" s="432">
        <f>IFERROR(HLOOKUP(B1251,[1]pp1p!$1:$3,3,0),0)+IFERROR(HLOOKUP(B1251,[1]pp3p1m!$1:$3,3,0),0)</f>
        <v>0</v>
      </c>
    </row>
    <row r="1252" spans="1:20" ht="22.2" hidden="1" customHeight="1">
      <c r="A1252" s="379"/>
      <c r="B1252" s="410" t="s">
        <v>1031</v>
      </c>
      <c r="C1252" s="469" t="str">
        <f t="shared" si="235"/>
        <v xml:space="preserve"> </v>
      </c>
      <c r="D1252" s="440">
        <v>1</v>
      </c>
      <c r="E1252" s="422"/>
      <c r="F1252" s="441" t="str">
        <f>VLOOKUP($B1252,[1]DG!A:D,[1]DG!$C$2,)&amp;"-Fe8x100 nhuùng keõm"</f>
        <v>Cổ dê Ø 195 nẹp trụ-Fe8x100 nhuùng keõm</v>
      </c>
      <c r="G1252" s="422" t="str">
        <f>VLOOKUP($B1252,[1]DG!A:D,[1]DG!$D$2,)</f>
        <v>bộ</v>
      </c>
      <c r="H1252" s="435">
        <f t="shared" ref="H1252:N1261" si="240">H$1251*$D1252</f>
        <v>0</v>
      </c>
      <c r="I1252" s="435">
        <f t="shared" si="240"/>
        <v>0</v>
      </c>
      <c r="J1252" s="435">
        <f t="shared" si="240"/>
        <v>0</v>
      </c>
      <c r="K1252" s="435">
        <f t="shared" si="240"/>
        <v>0</v>
      </c>
      <c r="L1252" s="435">
        <f t="shared" si="240"/>
        <v>0</v>
      </c>
      <c r="M1252" s="435">
        <f t="shared" si="240"/>
        <v>0</v>
      </c>
      <c r="N1252" s="435">
        <f t="shared" si="240"/>
        <v>0</v>
      </c>
      <c r="O1252" s="435"/>
      <c r="P1252" s="435"/>
      <c r="Q1252" s="442"/>
      <c r="R1252" s="442"/>
      <c r="S1252" s="442"/>
      <c r="T1252" s="432">
        <f t="shared" si="233"/>
        <v>0</v>
      </c>
    </row>
    <row r="1253" spans="1:20" ht="22.2" hidden="1" customHeight="1">
      <c r="A1253" s="379"/>
      <c r="B1253" s="410" t="s">
        <v>988</v>
      </c>
      <c r="C1253" s="469" t="str">
        <f t="shared" si="235"/>
        <v xml:space="preserve"> </v>
      </c>
      <c r="D1253" s="440">
        <v>1</v>
      </c>
      <c r="E1253" s="422"/>
      <c r="F1253" s="441" t="str">
        <f>VLOOKUP($B1253,[1]DG!A:D,[1]DG!$C$2,)</f>
        <v>Sứ chằng</v>
      </c>
      <c r="G1253" s="422" t="str">
        <f>VLOOKUP($B1253,[1]DG!A:D,[1]DG!$D$2,)</f>
        <v>cái</v>
      </c>
      <c r="H1253" s="435">
        <f t="shared" si="240"/>
        <v>0</v>
      </c>
      <c r="I1253" s="435">
        <f t="shared" si="240"/>
        <v>0</v>
      </c>
      <c r="J1253" s="435">
        <f t="shared" si="240"/>
        <v>0</v>
      </c>
      <c r="K1253" s="435">
        <f t="shared" si="240"/>
        <v>0</v>
      </c>
      <c r="L1253" s="435">
        <f t="shared" si="240"/>
        <v>0</v>
      </c>
      <c r="M1253" s="435">
        <f t="shared" si="240"/>
        <v>0</v>
      </c>
      <c r="N1253" s="435">
        <f t="shared" si="240"/>
        <v>0</v>
      </c>
      <c r="O1253" s="435"/>
      <c r="P1253" s="435"/>
      <c r="Q1253" s="442"/>
      <c r="R1253" s="442"/>
      <c r="S1253" s="442"/>
      <c r="T1253" s="432">
        <f t="shared" si="233"/>
        <v>0</v>
      </c>
    </row>
    <row r="1254" spans="1:20" ht="22.2" hidden="1" customHeight="1">
      <c r="A1254" s="379"/>
      <c r="B1254" s="410" t="s">
        <v>989</v>
      </c>
      <c r="C1254" s="469" t="str">
        <f t="shared" si="235"/>
        <v xml:space="preserve"> </v>
      </c>
      <c r="D1254" s="440">
        <v>8</v>
      </c>
      <c r="E1254" s="422"/>
      <c r="F1254" s="441" t="str">
        <f>VLOOKUP($B1254,[1]DG!A:D,[1]DG!$C$2,)</f>
        <v>Kẹp cáp 3 boulon</v>
      </c>
      <c r="G1254" s="422" t="str">
        <f>VLOOKUP($B1254,[1]DG!A:D,[1]DG!$D$2,)</f>
        <v>cái</v>
      </c>
      <c r="H1254" s="435">
        <f t="shared" si="240"/>
        <v>0</v>
      </c>
      <c r="I1254" s="435">
        <f t="shared" si="240"/>
        <v>0</v>
      </c>
      <c r="J1254" s="435">
        <f t="shared" si="240"/>
        <v>0</v>
      </c>
      <c r="K1254" s="435">
        <f t="shared" si="240"/>
        <v>0</v>
      </c>
      <c r="L1254" s="435">
        <f t="shared" si="240"/>
        <v>0</v>
      </c>
      <c r="M1254" s="435">
        <f t="shared" si="240"/>
        <v>0</v>
      </c>
      <c r="N1254" s="435">
        <f t="shared" si="240"/>
        <v>0</v>
      </c>
      <c r="O1254" s="435"/>
      <c r="P1254" s="435"/>
      <c r="Q1254" s="442"/>
      <c r="R1254" s="442"/>
      <c r="S1254" s="442"/>
      <c r="T1254" s="432">
        <f t="shared" si="233"/>
        <v>0</v>
      </c>
    </row>
    <row r="1255" spans="1:20" ht="22.2" hidden="1" customHeight="1">
      <c r="A1255" s="379"/>
      <c r="B1255" s="478" t="s">
        <v>1032</v>
      </c>
      <c r="C1255" s="469" t="str">
        <f t="shared" si="235"/>
        <v xml:space="preserve"> </v>
      </c>
      <c r="D1255" s="440">
        <v>11</v>
      </c>
      <c r="E1255" s="422"/>
      <c r="F1255" s="441" t="str">
        <f>VLOOKUP($B1255,[1]DG!A:D,[1]DG!$C$2,)</f>
        <v>Kẹp hotline 4/0</v>
      </c>
      <c r="G1255" s="422" t="str">
        <f>VLOOKUP($B1255,[1]DG!A:D,[1]DG!$D$2,)</f>
        <v>cái</v>
      </c>
      <c r="H1255" s="435">
        <f t="shared" si="240"/>
        <v>0</v>
      </c>
      <c r="I1255" s="435">
        <f t="shared" si="240"/>
        <v>0</v>
      </c>
      <c r="J1255" s="435">
        <f t="shared" si="240"/>
        <v>0</v>
      </c>
      <c r="K1255" s="435">
        <f t="shared" si="240"/>
        <v>0</v>
      </c>
      <c r="L1255" s="435">
        <f t="shared" si="240"/>
        <v>0</v>
      </c>
      <c r="M1255" s="435">
        <f t="shared" si="240"/>
        <v>0</v>
      </c>
      <c r="N1255" s="435">
        <f t="shared" si="240"/>
        <v>0</v>
      </c>
      <c r="O1255" s="435"/>
      <c r="P1255" s="435"/>
      <c r="Q1255" s="442"/>
      <c r="R1255" s="442"/>
      <c r="S1255" s="442"/>
      <c r="T1255" s="432">
        <f t="shared" si="233"/>
        <v>0</v>
      </c>
    </row>
    <row r="1256" spans="1:20" ht="22.2" hidden="1" customHeight="1">
      <c r="A1256" s="379"/>
      <c r="B1256" s="410" t="s">
        <v>1003</v>
      </c>
      <c r="C1256" s="469" t="str">
        <f t="shared" si="235"/>
        <v xml:space="preserve"> </v>
      </c>
      <c r="D1256" s="440">
        <v>1</v>
      </c>
      <c r="E1256" s="422"/>
      <c r="F1256" s="441" t="str">
        <f>VLOOKUP($B1256,[1]DG!A:D,[1]DG!$C$2,)</f>
        <v>Bộ chống chằng hẹp Ø60/50x1500+2BL12x40+BL16x250/80</v>
      </c>
      <c r="G1256" s="422" t="str">
        <f>VLOOKUP($B1256,[1]DG!A:D,[1]DG!$D$2,)</f>
        <v>bộ</v>
      </c>
      <c r="H1256" s="435">
        <f t="shared" si="240"/>
        <v>0</v>
      </c>
      <c r="I1256" s="435">
        <f t="shared" si="240"/>
        <v>0</v>
      </c>
      <c r="J1256" s="435">
        <f t="shared" si="240"/>
        <v>0</v>
      </c>
      <c r="K1256" s="435">
        <f t="shared" si="240"/>
        <v>0</v>
      </c>
      <c r="L1256" s="435">
        <f t="shared" si="240"/>
        <v>0</v>
      </c>
      <c r="M1256" s="435">
        <f t="shared" si="240"/>
        <v>0</v>
      </c>
      <c r="N1256" s="435">
        <f t="shared" si="240"/>
        <v>0</v>
      </c>
      <c r="O1256" s="435"/>
      <c r="P1256" s="435"/>
      <c r="Q1256" s="442"/>
      <c r="R1256" s="442"/>
      <c r="S1256" s="442"/>
      <c r="T1256" s="432">
        <f t="shared" si="233"/>
        <v>0</v>
      </c>
    </row>
    <row r="1257" spans="1:20" ht="22.2" hidden="1" customHeight="1">
      <c r="A1257" s="379"/>
      <c r="B1257" s="410" t="s">
        <v>962</v>
      </c>
      <c r="C1257" s="469" t="str">
        <f t="shared" si="235"/>
        <v xml:space="preserve"> </v>
      </c>
      <c r="D1257" s="440">
        <v>2</v>
      </c>
      <c r="E1257" s="422"/>
      <c r="F1257" s="441" t="str">
        <f>VLOOKUP($B1257,[1]DG!A:D,[1]DG!$C$2,)</f>
        <v>Sắt dẹt 60 x 6</v>
      </c>
      <c r="G1257" s="422" t="str">
        <f>VLOOKUP($B1257,[1]DG!A:D,[1]DG!$D$2,)</f>
        <v>kg</v>
      </c>
      <c r="H1257" s="435">
        <f t="shared" si="240"/>
        <v>0</v>
      </c>
      <c r="I1257" s="435">
        <f t="shared" si="240"/>
        <v>0</v>
      </c>
      <c r="J1257" s="435">
        <f t="shared" si="240"/>
        <v>0</v>
      </c>
      <c r="K1257" s="435">
        <f t="shared" si="240"/>
        <v>0</v>
      </c>
      <c r="L1257" s="435">
        <f t="shared" si="240"/>
        <v>0</v>
      </c>
      <c r="M1257" s="435">
        <f t="shared" si="240"/>
        <v>0</v>
      </c>
      <c r="N1257" s="435">
        <f t="shared" si="240"/>
        <v>0</v>
      </c>
      <c r="O1257" s="435"/>
      <c r="P1257" s="435"/>
      <c r="Q1257" s="442"/>
      <c r="R1257" s="442"/>
      <c r="S1257" s="442"/>
      <c r="T1257" s="432">
        <f t="shared" si="233"/>
        <v>0</v>
      </c>
    </row>
    <row r="1258" spans="1:20" ht="22.2" hidden="1" customHeight="1">
      <c r="A1258" s="379"/>
      <c r="B1258" s="410" t="s">
        <v>1033</v>
      </c>
      <c r="C1258" s="469" t="str">
        <f t="shared" si="235"/>
        <v xml:space="preserve"> </v>
      </c>
      <c r="D1258" s="440">
        <v>1</v>
      </c>
      <c r="E1258" s="422"/>
      <c r="F1258" s="441" t="str">
        <f>VLOOKUP($B1258,[1]DG!A:D,[1]DG!$C$2,)</f>
        <v xml:space="preserve">Móc treo chữ U </v>
      </c>
      <c r="G1258" s="422" t="str">
        <f>VLOOKUP($B1258,[1]DG!A:D,[1]DG!$D$2,)</f>
        <v>cái</v>
      </c>
      <c r="H1258" s="435">
        <f t="shared" si="240"/>
        <v>0</v>
      </c>
      <c r="I1258" s="435">
        <f t="shared" si="240"/>
        <v>0</v>
      </c>
      <c r="J1258" s="435">
        <f t="shared" si="240"/>
        <v>0</v>
      </c>
      <c r="K1258" s="435">
        <f t="shared" si="240"/>
        <v>0</v>
      </c>
      <c r="L1258" s="435">
        <f t="shared" si="240"/>
        <v>0</v>
      </c>
      <c r="M1258" s="435">
        <f t="shared" si="240"/>
        <v>0</v>
      </c>
      <c r="N1258" s="435">
        <f t="shared" si="240"/>
        <v>0</v>
      </c>
      <c r="O1258" s="435"/>
      <c r="P1258" s="435"/>
      <c r="Q1258" s="442"/>
      <c r="R1258" s="442"/>
      <c r="S1258" s="442"/>
      <c r="T1258" s="432">
        <f t="shared" si="233"/>
        <v>0</v>
      </c>
    </row>
    <row r="1259" spans="1:20" ht="22.2" hidden="1" customHeight="1">
      <c r="A1259" s="379"/>
      <c r="B1259" s="479" t="s">
        <v>1034</v>
      </c>
      <c r="C1259" s="469" t="str">
        <f t="shared" si="235"/>
        <v xml:space="preserve"> </v>
      </c>
      <c r="D1259" s="440">
        <v>2</v>
      </c>
      <c r="E1259" s="422"/>
      <c r="F1259" s="441" t="str">
        <f>VLOOKUP($B1259,[1]DG!A:D,[1]DG!$C$2,)</f>
        <v>Boulon 16x100VRS+ 4 long đền vuông D18-50x50x3/Zn</v>
      </c>
      <c r="G1259" s="422" t="str">
        <f>VLOOKUP($B1259,[1]DG!A:D,[1]DG!$D$2,)</f>
        <v>bộ</v>
      </c>
      <c r="H1259" s="435">
        <f t="shared" si="240"/>
        <v>0</v>
      </c>
      <c r="I1259" s="435">
        <f t="shared" si="240"/>
        <v>0</v>
      </c>
      <c r="J1259" s="435">
        <f t="shared" si="240"/>
        <v>0</v>
      </c>
      <c r="K1259" s="435">
        <f t="shared" si="240"/>
        <v>0</v>
      </c>
      <c r="L1259" s="435">
        <f t="shared" si="240"/>
        <v>0</v>
      </c>
      <c r="M1259" s="435">
        <f t="shared" si="240"/>
        <v>0</v>
      </c>
      <c r="N1259" s="435">
        <f t="shared" si="240"/>
        <v>0</v>
      </c>
      <c r="O1259" s="435"/>
      <c r="P1259" s="435"/>
      <c r="Q1259" s="442"/>
      <c r="R1259" s="442"/>
      <c r="S1259" s="442"/>
      <c r="T1259" s="432">
        <f t="shared" ref="T1259:T1321" si="241">IFERROR(HLOOKUP(B1259,BangKeTru,3,0),0)</f>
        <v>0</v>
      </c>
    </row>
    <row r="1260" spans="1:20" ht="22.2" hidden="1" customHeight="1">
      <c r="A1260" s="379"/>
      <c r="B1260" s="410" t="s">
        <v>991</v>
      </c>
      <c r="C1260" s="469" t="str">
        <f t="shared" si="235"/>
        <v xml:space="preserve"> </v>
      </c>
      <c r="D1260" s="440">
        <v>2</v>
      </c>
      <c r="E1260" s="422"/>
      <c r="F1260" s="441" t="str">
        <f>VLOOKUP($B1260,[1]DG!A:D,[1]DG!$C$2,)</f>
        <v>Yếm cáp dày 2mm</v>
      </c>
      <c r="G1260" s="422" t="str">
        <f>VLOOKUP($B1260,[1]DG!A:D,[1]DG!$D$2,)</f>
        <v>cái</v>
      </c>
      <c r="H1260" s="435">
        <f t="shared" si="240"/>
        <v>0</v>
      </c>
      <c r="I1260" s="435">
        <f t="shared" si="240"/>
        <v>0</v>
      </c>
      <c r="J1260" s="435">
        <f t="shared" si="240"/>
        <v>0</v>
      </c>
      <c r="K1260" s="435">
        <f t="shared" si="240"/>
        <v>0</v>
      </c>
      <c r="L1260" s="435">
        <f t="shared" si="240"/>
        <v>0</v>
      </c>
      <c r="M1260" s="435">
        <f t="shared" si="240"/>
        <v>0</v>
      </c>
      <c r="N1260" s="435">
        <f t="shared" si="240"/>
        <v>0</v>
      </c>
      <c r="O1260" s="435"/>
      <c r="P1260" s="435"/>
      <c r="Q1260" s="442"/>
      <c r="R1260" s="442"/>
      <c r="S1260" s="442"/>
      <c r="T1260" s="432">
        <f t="shared" si="241"/>
        <v>0</v>
      </c>
    </row>
    <row r="1261" spans="1:20" ht="22.2" hidden="1" customHeight="1">
      <c r="A1261" s="379"/>
      <c r="B1261" s="410" t="s">
        <v>992</v>
      </c>
      <c r="C1261" s="469" t="str">
        <f t="shared" si="235"/>
        <v xml:space="preserve"> </v>
      </c>
      <c r="D1261" s="440">
        <v>1</v>
      </c>
      <c r="E1261" s="422"/>
      <c r="F1261" s="441" t="str">
        <f>VLOOKUP($B1261,[1]DG!A:D,[1]DG!$C$2,)</f>
        <v>Máng che dây chằng dày 1,6mm</v>
      </c>
      <c r="G1261" s="422" t="str">
        <f>VLOOKUP($B1261,[1]DG!A:D,[1]DG!$D$2,)</f>
        <v>cái</v>
      </c>
      <c r="H1261" s="435">
        <f t="shared" si="240"/>
        <v>0</v>
      </c>
      <c r="I1261" s="435">
        <f t="shared" si="240"/>
        <v>0</v>
      </c>
      <c r="J1261" s="435">
        <f t="shared" si="240"/>
        <v>0</v>
      </c>
      <c r="K1261" s="435">
        <f t="shared" si="240"/>
        <v>0</v>
      </c>
      <c r="L1261" s="435">
        <f t="shared" si="240"/>
        <v>0</v>
      </c>
      <c r="M1261" s="435">
        <f t="shared" si="240"/>
        <v>0</v>
      </c>
      <c r="N1261" s="435">
        <f t="shared" si="240"/>
        <v>0</v>
      </c>
      <c r="O1261" s="435"/>
      <c r="P1261" s="435"/>
      <c r="Q1261" s="442"/>
      <c r="R1261" s="442"/>
      <c r="S1261" s="442"/>
      <c r="T1261" s="432">
        <f t="shared" si="241"/>
        <v>0</v>
      </c>
    </row>
    <row r="1262" spans="1:20" ht="22.2" hidden="1" customHeight="1">
      <c r="A1262" s="379"/>
      <c r="B1262" s="410" t="s">
        <v>588</v>
      </c>
      <c r="C1262" s="469" t="str">
        <f t="shared" si="235"/>
        <v xml:space="preserve"> </v>
      </c>
      <c r="D1262" s="440">
        <v>1</v>
      </c>
      <c r="E1262" s="422" t="str">
        <f>VLOOKUP($B1262,[1]DG!A:D,[1]DG!$B$2,)</f>
        <v>06.3241</v>
      </c>
      <c r="F1262" s="434" t="str">
        <f>VLOOKUP($B1262,[1]DG!A:D,[1]DG!$C$2,)</f>
        <v>Lắp bộ dây néo</v>
      </c>
      <c r="G1262" s="422" t="str">
        <f>VLOOKUP($B1262,[1]DG!A:D,[1]DG!$D$2,)</f>
        <v>bộ</v>
      </c>
      <c r="H1262" s="435"/>
      <c r="I1262" s="435"/>
      <c r="J1262" s="435"/>
      <c r="K1262" s="435"/>
      <c r="L1262" s="435"/>
      <c r="M1262" s="435"/>
      <c r="N1262" s="435"/>
      <c r="O1262" s="435"/>
      <c r="P1262" s="435"/>
      <c r="Q1262" s="437"/>
      <c r="R1262" s="437"/>
      <c r="S1262" s="437"/>
      <c r="T1262" s="432">
        <f t="shared" si="241"/>
        <v>0</v>
      </c>
    </row>
    <row r="1263" spans="1:20" ht="22.2" hidden="1" customHeight="1">
      <c r="A1263" s="379"/>
      <c r="B1263" s="410" t="s">
        <v>1035</v>
      </c>
      <c r="C1263" s="469" t="str">
        <f t="shared" si="235"/>
        <v xml:space="preserve"> </v>
      </c>
      <c r="D1263" s="440">
        <v>1</v>
      </c>
      <c r="E1263" s="422" t="str">
        <f>VLOOKUP($B1263,[1]DG!A:D,[1]DG!$B$2,)</f>
        <v>06.2110</v>
      </c>
      <c r="F1263" s="434" t="str">
        <f>VLOOKUP($B1263,[1]DG!A:D,[1]DG!$C$2,)</f>
        <v>Lắp cổ dề</v>
      </c>
      <c r="G1263" s="422" t="str">
        <f>VLOOKUP($B1263,[1]DG!A:D,[1]DG!$D$2,)</f>
        <v>cái</v>
      </c>
      <c r="H1263" s="435"/>
      <c r="I1263" s="435"/>
      <c r="J1263" s="435"/>
      <c r="K1263" s="435"/>
      <c r="L1263" s="435"/>
      <c r="M1263" s="435"/>
      <c r="N1263" s="435"/>
      <c r="O1263" s="435"/>
      <c r="P1263" s="435"/>
      <c r="Q1263" s="437"/>
      <c r="R1263" s="437"/>
      <c r="S1263" s="437"/>
      <c r="T1263" s="432">
        <f t="shared" si="241"/>
        <v>0</v>
      </c>
    </row>
    <row r="1264" spans="1:20" ht="22.2" hidden="1" customHeight="1">
      <c r="A1264" s="379"/>
      <c r="B1264" s="410" t="s">
        <v>454</v>
      </c>
      <c r="C1264" s="469" t="str">
        <f t="shared" si="235"/>
        <v xml:space="preserve"> </v>
      </c>
      <c r="D1264" s="440">
        <v>1</v>
      </c>
      <c r="E1264" s="422" t="str">
        <f>VLOOKUP($B1264,[1]DG!A:D,[1]DG!$B$2,)</f>
        <v>05.6011</v>
      </c>
      <c r="F1264" s="434" t="str">
        <f>VLOOKUP($B1264,[1]DG!A:D,[1]DG!$C$2,)</f>
        <v>Lắp bộ chống lệch</v>
      </c>
      <c r="G1264" s="422" t="str">
        <f>VLOOKUP($B1264,[1]DG!A:D,[1]DG!$D$2,)</f>
        <v>bộ</v>
      </c>
      <c r="H1264" s="435"/>
      <c r="I1264" s="435"/>
      <c r="J1264" s="435"/>
      <c r="K1264" s="435"/>
      <c r="L1264" s="435"/>
      <c r="M1264" s="435"/>
      <c r="N1264" s="435"/>
      <c r="O1264" s="435"/>
      <c r="P1264" s="435"/>
      <c r="Q1264" s="437"/>
      <c r="R1264" s="437"/>
      <c r="S1264" s="437"/>
      <c r="T1264" s="432">
        <f t="shared" si="241"/>
        <v>0</v>
      </c>
    </row>
    <row r="1265" spans="1:20" ht="22.2" hidden="1" customHeight="1">
      <c r="A1265" s="379"/>
      <c r="B1265" s="438" t="s">
        <v>993</v>
      </c>
      <c r="C1265" s="469" t="str">
        <f t="shared" si="235"/>
        <v xml:space="preserve"> </v>
      </c>
      <c r="D1265" s="439">
        <v>0.02</v>
      </c>
      <c r="E1265" s="422" t="str">
        <f>VLOOKUP($B1265,[1]DG!A:C,2,)</f>
        <v>02.1421</v>
      </c>
      <c r="F1265" s="434" t="str">
        <f>VLOOKUP($B1265,[1]DG!A:C,3,)</f>
        <v>V/c phụ kiện vào vị trí (cự ly &lt;=100m)</v>
      </c>
      <c r="G1265" s="422" t="str">
        <f>VLOOKUP($B1265,[1]DG!A:D,4,0)</f>
        <v>tấn</v>
      </c>
      <c r="H1265" s="435"/>
      <c r="I1265" s="435"/>
      <c r="J1265" s="435"/>
      <c r="K1265" s="435"/>
      <c r="L1265" s="435"/>
      <c r="M1265" s="435"/>
      <c r="N1265" s="435"/>
      <c r="O1265" s="435"/>
      <c r="P1265" s="435"/>
      <c r="Q1265" s="437"/>
      <c r="R1265" s="437"/>
      <c r="S1265" s="437"/>
      <c r="T1265" s="432">
        <f t="shared" si="241"/>
        <v>0</v>
      </c>
    </row>
    <row r="1266" spans="1:20" ht="22.2" hidden="1" customHeight="1">
      <c r="A1266" s="379" t="s">
        <v>1038</v>
      </c>
      <c r="B1266" s="424" t="s">
        <v>1038</v>
      </c>
      <c r="C1266" s="469" t="str">
        <f t="shared" si="235"/>
        <v xml:space="preserve"> </v>
      </c>
      <c r="D1266" s="426"/>
      <c r="E1266" s="427"/>
      <c r="F1266" s="428" t="s">
        <v>1039</v>
      </c>
      <c r="G1266" s="349" t="s">
        <v>67</v>
      </c>
      <c r="H1266" s="429">
        <f>SUM(I1266:O1266)</f>
        <v>0</v>
      </c>
      <c r="I1266" s="430"/>
      <c r="J1266" s="430"/>
      <c r="K1266" s="430">
        <f>IFERROR(HLOOKUP(B1266,[1]pp3p1m!$1:$3,3,0),0)</f>
        <v>0</v>
      </c>
      <c r="L1266" s="430">
        <f>IFERROR(HLOOKUP(chitiet!B1266,[1]pp1p!$1:$3,3,0),0)</f>
        <v>0</v>
      </c>
      <c r="M1266" s="430"/>
      <c r="N1266" s="430"/>
      <c r="O1266" s="430"/>
      <c r="P1266" s="430">
        <f>H1266+Q1266-R1266</f>
        <v>0</v>
      </c>
      <c r="Q1266" s="431"/>
      <c r="R1266" s="431"/>
      <c r="S1266" s="431"/>
      <c r="T1266" s="432">
        <f>IFERROR(HLOOKUP(B1266,[1]pp1p!$1:$3,3,0),0)+IFERROR(HLOOKUP(B1266,[1]pp3p1m!$1:$3,3,0),0)</f>
        <v>0</v>
      </c>
    </row>
    <row r="1267" spans="1:20" ht="22.2" hidden="1" customHeight="1">
      <c r="A1267" s="379"/>
      <c r="B1267" s="410" t="s">
        <v>1031</v>
      </c>
      <c r="C1267" s="469" t="str">
        <f t="shared" si="235"/>
        <v xml:space="preserve"> </v>
      </c>
      <c r="D1267" s="440">
        <v>1</v>
      </c>
      <c r="E1267" s="422"/>
      <c r="F1267" s="441" t="str">
        <f>VLOOKUP($B1267,[1]DG!A:D,[1]DG!$C$2,)&amp;"-Fe8x100 nhuùng keõm"</f>
        <v>Cổ dê Ø 195 nẹp trụ-Fe8x100 nhuùng keõm</v>
      </c>
      <c r="G1267" s="422" t="str">
        <f>VLOOKUP($B1267,[1]DG!A:D,[1]DG!$D$2,)</f>
        <v>bộ</v>
      </c>
      <c r="H1267" s="435">
        <f t="shared" ref="H1267:N1267" si="242">H$1266*$D1267</f>
        <v>0</v>
      </c>
      <c r="I1267" s="435">
        <f t="shared" si="242"/>
        <v>0</v>
      </c>
      <c r="J1267" s="435">
        <f t="shared" si="242"/>
        <v>0</v>
      </c>
      <c r="K1267" s="435">
        <f t="shared" si="242"/>
        <v>0</v>
      </c>
      <c r="L1267" s="435">
        <f t="shared" si="242"/>
        <v>0</v>
      </c>
      <c r="M1267" s="435">
        <f t="shared" si="242"/>
        <v>0</v>
      </c>
      <c r="N1267" s="435">
        <f t="shared" si="242"/>
        <v>0</v>
      </c>
      <c r="O1267" s="435"/>
      <c r="P1267" s="435"/>
      <c r="Q1267" s="442"/>
      <c r="R1267" s="442"/>
      <c r="S1267" s="442"/>
      <c r="T1267" s="432">
        <f t="shared" si="241"/>
        <v>0</v>
      </c>
    </row>
    <row r="1268" spans="1:20" ht="22.2" hidden="1" customHeight="1">
      <c r="A1268" s="379"/>
      <c r="B1268" s="410" t="s">
        <v>1040</v>
      </c>
      <c r="C1268" s="469" t="str">
        <f t="shared" si="235"/>
        <v xml:space="preserve"> </v>
      </c>
      <c r="D1268" s="440">
        <v>1</v>
      </c>
      <c r="E1268" s="422"/>
      <c r="F1268" s="441" t="str">
        <f>VLOOKUP($B1268,[1]DG!A:D,[1]DG!$C$2,)&amp;"-Fe8x100 nhuùng keõm"</f>
        <v>Cổ dê Ø 220 nẹp trụ-Fe8x100 nhuùng keõm</v>
      </c>
      <c r="G1268" s="422" t="str">
        <f>VLOOKUP($B1268,[1]DG!A:D,[1]DG!$D$2,)</f>
        <v>bộ</v>
      </c>
      <c r="H1268" s="435">
        <f t="shared" ref="H1268:N1268" si="243">H$1351*$D1268</f>
        <v>0</v>
      </c>
      <c r="I1268" s="435">
        <f t="shared" si="243"/>
        <v>0</v>
      </c>
      <c r="J1268" s="435">
        <f t="shared" si="243"/>
        <v>0</v>
      </c>
      <c r="K1268" s="435">
        <f t="shared" si="243"/>
        <v>0</v>
      </c>
      <c r="L1268" s="435">
        <f t="shared" si="243"/>
        <v>0</v>
      </c>
      <c r="M1268" s="435">
        <f t="shared" si="243"/>
        <v>0</v>
      </c>
      <c r="N1268" s="435">
        <f t="shared" si="243"/>
        <v>0</v>
      </c>
      <c r="O1268" s="435"/>
      <c r="P1268" s="435"/>
      <c r="Q1268" s="442"/>
      <c r="R1268" s="442"/>
      <c r="S1268" s="442"/>
      <c r="T1268" s="432">
        <f t="shared" si="241"/>
        <v>0</v>
      </c>
    </row>
    <row r="1269" spans="1:20" ht="22.2" hidden="1" customHeight="1">
      <c r="A1269" s="379"/>
      <c r="B1269" s="410" t="s">
        <v>988</v>
      </c>
      <c r="C1269" s="469" t="str">
        <f t="shared" si="235"/>
        <v xml:space="preserve"> </v>
      </c>
      <c r="D1269" s="440">
        <v>2</v>
      </c>
      <c r="E1269" s="422"/>
      <c r="F1269" s="441" t="str">
        <f>VLOOKUP($B1269,[1]DG!A:D,[1]DG!$C$2,)</f>
        <v>Sứ chằng</v>
      </c>
      <c r="G1269" s="422" t="str">
        <f>VLOOKUP($B1269,[1]DG!A:D,[1]DG!$D$2,)</f>
        <v>cái</v>
      </c>
      <c r="H1269" s="435">
        <f t="shared" ref="H1269:N1276" si="244">H$1266*$D1269</f>
        <v>0</v>
      </c>
      <c r="I1269" s="435">
        <f t="shared" si="244"/>
        <v>0</v>
      </c>
      <c r="J1269" s="435">
        <f t="shared" si="244"/>
        <v>0</v>
      </c>
      <c r="K1269" s="435">
        <f t="shared" si="244"/>
        <v>0</v>
      </c>
      <c r="L1269" s="435">
        <f t="shared" si="244"/>
        <v>0</v>
      </c>
      <c r="M1269" s="435">
        <f t="shared" si="244"/>
        <v>0</v>
      </c>
      <c r="N1269" s="435">
        <f t="shared" si="244"/>
        <v>0</v>
      </c>
      <c r="O1269" s="435"/>
      <c r="P1269" s="435"/>
      <c r="Q1269" s="442"/>
      <c r="R1269" s="442"/>
      <c r="S1269" s="442"/>
      <c r="T1269" s="432">
        <f t="shared" si="241"/>
        <v>0</v>
      </c>
    </row>
    <row r="1270" spans="1:20" ht="22.2" hidden="1" customHeight="1">
      <c r="A1270" s="379"/>
      <c r="B1270" s="410" t="s">
        <v>989</v>
      </c>
      <c r="C1270" s="469" t="str">
        <f t="shared" si="235"/>
        <v xml:space="preserve"> </v>
      </c>
      <c r="D1270" s="440">
        <v>16</v>
      </c>
      <c r="E1270" s="422"/>
      <c r="F1270" s="441" t="str">
        <f>VLOOKUP($B1270,[1]DG!A:D,[1]DG!$C$2,)</f>
        <v>Kẹp cáp 3 boulon</v>
      </c>
      <c r="G1270" s="422" t="str">
        <f>VLOOKUP($B1270,[1]DG!A:D,[1]DG!$D$2,)</f>
        <v>cái</v>
      </c>
      <c r="H1270" s="435">
        <f t="shared" si="244"/>
        <v>0</v>
      </c>
      <c r="I1270" s="435">
        <f t="shared" si="244"/>
        <v>0</v>
      </c>
      <c r="J1270" s="435">
        <f t="shared" si="244"/>
        <v>0</v>
      </c>
      <c r="K1270" s="435">
        <f t="shared" si="244"/>
        <v>0</v>
      </c>
      <c r="L1270" s="435">
        <f t="shared" si="244"/>
        <v>0</v>
      </c>
      <c r="M1270" s="435">
        <f t="shared" si="244"/>
        <v>0</v>
      </c>
      <c r="N1270" s="435">
        <f t="shared" si="244"/>
        <v>0</v>
      </c>
      <c r="O1270" s="435"/>
      <c r="P1270" s="435"/>
      <c r="Q1270" s="442"/>
      <c r="R1270" s="442"/>
      <c r="S1270" s="442"/>
      <c r="T1270" s="432">
        <f t="shared" si="241"/>
        <v>0</v>
      </c>
    </row>
    <row r="1271" spans="1:20" ht="22.2" hidden="1" customHeight="1">
      <c r="A1271" s="379"/>
      <c r="B1271" s="478" t="s">
        <v>1032</v>
      </c>
      <c r="C1271" s="469" t="str">
        <f t="shared" si="235"/>
        <v xml:space="preserve"> </v>
      </c>
      <c r="D1271" s="440">
        <v>26</v>
      </c>
      <c r="E1271" s="422"/>
      <c r="F1271" s="441" t="str">
        <f>VLOOKUP($B1271,[1]DG!A:D,[1]DG!$C$2,)</f>
        <v>Kẹp hotline 4/0</v>
      </c>
      <c r="G1271" s="422" t="str">
        <f>VLOOKUP($B1271,[1]DG!A:D,[1]DG!$D$2,)</f>
        <v>cái</v>
      </c>
      <c r="H1271" s="435">
        <f t="shared" si="244"/>
        <v>0</v>
      </c>
      <c r="I1271" s="435">
        <f t="shared" si="244"/>
        <v>0</v>
      </c>
      <c r="J1271" s="435">
        <f t="shared" si="244"/>
        <v>0</v>
      </c>
      <c r="K1271" s="435">
        <f t="shared" si="244"/>
        <v>0</v>
      </c>
      <c r="L1271" s="435">
        <f t="shared" si="244"/>
        <v>0</v>
      </c>
      <c r="M1271" s="435">
        <f t="shared" si="244"/>
        <v>0</v>
      </c>
      <c r="N1271" s="435">
        <f t="shared" si="244"/>
        <v>0</v>
      </c>
      <c r="O1271" s="435"/>
      <c r="P1271" s="435"/>
      <c r="Q1271" s="442"/>
      <c r="R1271" s="442"/>
      <c r="S1271" s="442"/>
      <c r="T1271" s="432">
        <f t="shared" si="241"/>
        <v>0</v>
      </c>
    </row>
    <row r="1272" spans="1:20" ht="22.2" hidden="1" customHeight="1">
      <c r="A1272" s="379"/>
      <c r="B1272" s="410" t="s">
        <v>962</v>
      </c>
      <c r="C1272" s="469" t="str">
        <f t="shared" si="235"/>
        <v xml:space="preserve"> </v>
      </c>
      <c r="D1272" s="440">
        <v>4</v>
      </c>
      <c r="E1272" s="422"/>
      <c r="F1272" s="441" t="str">
        <f>VLOOKUP($B1272,[1]DG!A:D,[1]DG!$C$2,)</f>
        <v>Sắt dẹt 60 x 6</v>
      </c>
      <c r="G1272" s="422" t="str">
        <f>VLOOKUP($B1272,[1]DG!A:D,[1]DG!$D$2,)</f>
        <v>kg</v>
      </c>
      <c r="H1272" s="435">
        <f t="shared" si="244"/>
        <v>0</v>
      </c>
      <c r="I1272" s="435">
        <f t="shared" si="244"/>
        <v>0</v>
      </c>
      <c r="J1272" s="435">
        <f t="shared" si="244"/>
        <v>0</v>
      </c>
      <c r="K1272" s="435">
        <f t="shared" si="244"/>
        <v>0</v>
      </c>
      <c r="L1272" s="435">
        <f t="shared" si="244"/>
        <v>0</v>
      </c>
      <c r="M1272" s="435">
        <f t="shared" si="244"/>
        <v>0</v>
      </c>
      <c r="N1272" s="435">
        <f t="shared" si="244"/>
        <v>0</v>
      </c>
      <c r="O1272" s="435"/>
      <c r="P1272" s="435"/>
      <c r="Q1272" s="442"/>
      <c r="R1272" s="442"/>
      <c r="S1272" s="442"/>
      <c r="T1272" s="432">
        <f t="shared" si="241"/>
        <v>0</v>
      </c>
    </row>
    <row r="1273" spans="1:20" ht="22.2" hidden="1" customHeight="1">
      <c r="A1273" s="379"/>
      <c r="B1273" s="410" t="s">
        <v>1033</v>
      </c>
      <c r="C1273" s="469" t="str">
        <f t="shared" si="235"/>
        <v xml:space="preserve"> </v>
      </c>
      <c r="D1273" s="440">
        <v>2</v>
      </c>
      <c r="E1273" s="422"/>
      <c r="F1273" s="441" t="str">
        <f>VLOOKUP($B1273,[1]DG!A:D,[1]DG!$C$2,)</f>
        <v xml:space="preserve">Móc treo chữ U </v>
      </c>
      <c r="G1273" s="422" t="str">
        <f>VLOOKUP($B1273,[1]DG!A:D,[1]DG!$D$2,)</f>
        <v>cái</v>
      </c>
      <c r="H1273" s="435">
        <f t="shared" si="244"/>
        <v>0</v>
      </c>
      <c r="I1273" s="435">
        <f t="shared" si="244"/>
        <v>0</v>
      </c>
      <c r="J1273" s="435">
        <f t="shared" si="244"/>
        <v>0</v>
      </c>
      <c r="K1273" s="435">
        <f t="shared" si="244"/>
        <v>0</v>
      </c>
      <c r="L1273" s="435">
        <f t="shared" si="244"/>
        <v>0</v>
      </c>
      <c r="M1273" s="435">
        <f t="shared" si="244"/>
        <v>0</v>
      </c>
      <c r="N1273" s="435">
        <f t="shared" si="244"/>
        <v>0</v>
      </c>
      <c r="O1273" s="435"/>
      <c r="P1273" s="435"/>
      <c r="Q1273" s="442"/>
      <c r="R1273" s="442"/>
      <c r="S1273" s="442"/>
      <c r="T1273" s="432">
        <f t="shared" si="241"/>
        <v>0</v>
      </c>
    </row>
    <row r="1274" spans="1:20" ht="22.2" hidden="1" customHeight="1">
      <c r="A1274" s="379"/>
      <c r="B1274" s="479" t="s">
        <v>1034</v>
      </c>
      <c r="C1274" s="469" t="str">
        <f t="shared" ref="C1274:C1337" si="245">IF(OR(P1274&lt;&gt;0,H1274&lt;&gt;0),"x"," ")</f>
        <v xml:space="preserve"> </v>
      </c>
      <c r="D1274" s="440">
        <v>4</v>
      </c>
      <c r="E1274" s="422"/>
      <c r="F1274" s="441" t="str">
        <f>VLOOKUP($B1274,[1]DG!A:D,[1]DG!$C$2,)</f>
        <v>Boulon 16x100VRS+ 4 long đền vuông D18-50x50x3/Zn</v>
      </c>
      <c r="G1274" s="422" t="str">
        <f>VLOOKUP($B1274,[1]DG!A:D,[1]DG!$D$2,)</f>
        <v>bộ</v>
      </c>
      <c r="H1274" s="435">
        <f t="shared" si="244"/>
        <v>0</v>
      </c>
      <c r="I1274" s="435">
        <f t="shared" si="244"/>
        <v>0</v>
      </c>
      <c r="J1274" s="435">
        <f t="shared" si="244"/>
        <v>0</v>
      </c>
      <c r="K1274" s="435">
        <f t="shared" si="244"/>
        <v>0</v>
      </c>
      <c r="L1274" s="435">
        <f t="shared" si="244"/>
        <v>0</v>
      </c>
      <c r="M1274" s="435">
        <f t="shared" si="244"/>
        <v>0</v>
      </c>
      <c r="N1274" s="435">
        <f t="shared" si="244"/>
        <v>0</v>
      </c>
      <c r="O1274" s="435"/>
      <c r="P1274" s="435"/>
      <c r="Q1274" s="442"/>
      <c r="R1274" s="442"/>
      <c r="S1274" s="442"/>
      <c r="T1274" s="432">
        <f t="shared" si="241"/>
        <v>0</v>
      </c>
    </row>
    <row r="1275" spans="1:20" ht="22.2" hidden="1" customHeight="1">
      <c r="A1275" s="379"/>
      <c r="B1275" s="410" t="s">
        <v>991</v>
      </c>
      <c r="C1275" s="469" t="str">
        <f t="shared" si="245"/>
        <v xml:space="preserve"> </v>
      </c>
      <c r="D1275" s="440">
        <v>4</v>
      </c>
      <c r="E1275" s="422"/>
      <c r="F1275" s="441" t="str">
        <f>VLOOKUP($B1275,[1]DG!A:D,[1]DG!$C$2,)</f>
        <v>Yếm cáp dày 2mm</v>
      </c>
      <c r="G1275" s="422" t="str">
        <f>VLOOKUP($B1275,[1]DG!A:D,[1]DG!$D$2,)</f>
        <v>cái</v>
      </c>
      <c r="H1275" s="435">
        <f t="shared" si="244"/>
        <v>0</v>
      </c>
      <c r="I1275" s="435">
        <f t="shared" si="244"/>
        <v>0</v>
      </c>
      <c r="J1275" s="435">
        <f t="shared" si="244"/>
        <v>0</v>
      </c>
      <c r="K1275" s="435">
        <f t="shared" si="244"/>
        <v>0</v>
      </c>
      <c r="L1275" s="435">
        <f t="shared" si="244"/>
        <v>0</v>
      </c>
      <c r="M1275" s="435">
        <f t="shared" si="244"/>
        <v>0</v>
      </c>
      <c r="N1275" s="435">
        <f t="shared" si="244"/>
        <v>0</v>
      </c>
      <c r="O1275" s="435"/>
      <c r="P1275" s="435"/>
      <c r="Q1275" s="442"/>
      <c r="R1275" s="442"/>
      <c r="S1275" s="442"/>
      <c r="T1275" s="432">
        <f t="shared" si="241"/>
        <v>0</v>
      </c>
    </row>
    <row r="1276" spans="1:20" ht="22.2" hidden="1" customHeight="1">
      <c r="A1276" s="379"/>
      <c r="B1276" s="410" t="s">
        <v>992</v>
      </c>
      <c r="C1276" s="469" t="str">
        <f t="shared" si="245"/>
        <v xml:space="preserve"> </v>
      </c>
      <c r="D1276" s="440">
        <v>2</v>
      </c>
      <c r="E1276" s="422"/>
      <c r="F1276" s="441" t="str">
        <f>VLOOKUP($B1276,[1]DG!A:D,[1]DG!$C$2,)</f>
        <v>Máng che dây chằng dày 1,6mm</v>
      </c>
      <c r="G1276" s="422" t="str">
        <f>VLOOKUP($B1276,[1]DG!A:D,[1]DG!$D$2,)</f>
        <v>cái</v>
      </c>
      <c r="H1276" s="435">
        <f t="shared" si="244"/>
        <v>0</v>
      </c>
      <c r="I1276" s="435">
        <f t="shared" si="244"/>
        <v>0</v>
      </c>
      <c r="J1276" s="435">
        <f t="shared" si="244"/>
        <v>0</v>
      </c>
      <c r="K1276" s="435">
        <f t="shared" si="244"/>
        <v>0</v>
      </c>
      <c r="L1276" s="435">
        <f t="shared" si="244"/>
        <v>0</v>
      </c>
      <c r="M1276" s="435">
        <f t="shared" si="244"/>
        <v>0</v>
      </c>
      <c r="N1276" s="435">
        <f t="shared" si="244"/>
        <v>0</v>
      </c>
      <c r="O1276" s="435"/>
      <c r="P1276" s="435"/>
      <c r="Q1276" s="442"/>
      <c r="R1276" s="442"/>
      <c r="S1276" s="442"/>
      <c r="T1276" s="432">
        <f t="shared" si="241"/>
        <v>0</v>
      </c>
    </row>
    <row r="1277" spans="1:20" ht="22.2" hidden="1" customHeight="1">
      <c r="A1277" s="379"/>
      <c r="B1277" s="410" t="s">
        <v>588</v>
      </c>
      <c r="C1277" s="469" t="str">
        <f t="shared" si="245"/>
        <v xml:space="preserve"> </v>
      </c>
      <c r="D1277" s="440">
        <v>2</v>
      </c>
      <c r="E1277" s="422" t="str">
        <f>VLOOKUP($B1277,[1]DG!A:D,[1]DG!$B$2,)</f>
        <v>06.3241</v>
      </c>
      <c r="F1277" s="434" t="str">
        <f>VLOOKUP($B1277,[1]DG!A:D,[1]DG!$C$2,)</f>
        <v>Lắp bộ dây néo</v>
      </c>
      <c r="G1277" s="422" t="str">
        <f>VLOOKUP($B1277,[1]DG!A:D,[1]DG!$D$2,)</f>
        <v>bộ</v>
      </c>
      <c r="H1277" s="435"/>
      <c r="I1277" s="435"/>
      <c r="J1277" s="435"/>
      <c r="K1277" s="435"/>
      <c r="L1277" s="435"/>
      <c r="M1277" s="435"/>
      <c r="N1277" s="435"/>
      <c r="O1277" s="435"/>
      <c r="P1277" s="435"/>
      <c r="Q1277" s="437"/>
      <c r="R1277" s="437"/>
      <c r="S1277" s="437"/>
      <c r="T1277" s="432">
        <f t="shared" si="241"/>
        <v>0</v>
      </c>
    </row>
    <row r="1278" spans="1:20" ht="22.2" hidden="1" customHeight="1">
      <c r="A1278" s="379"/>
      <c r="B1278" s="410" t="s">
        <v>1035</v>
      </c>
      <c r="C1278" s="469" t="str">
        <f t="shared" si="245"/>
        <v xml:space="preserve"> </v>
      </c>
      <c r="D1278" s="440">
        <v>2</v>
      </c>
      <c r="E1278" s="422" t="str">
        <f>VLOOKUP($B1278,[1]DG!A:D,[1]DG!$B$2,)</f>
        <v>06.2110</v>
      </c>
      <c r="F1278" s="434" t="str">
        <f>VLOOKUP($B1278,[1]DG!A:D,[1]DG!$C$2,)</f>
        <v>Lắp cổ dề</v>
      </c>
      <c r="G1278" s="422" t="str">
        <f>VLOOKUP($B1278,[1]DG!A:D,[1]DG!$D$2,)</f>
        <v>cái</v>
      </c>
      <c r="H1278" s="435"/>
      <c r="I1278" s="435"/>
      <c r="J1278" s="435"/>
      <c r="K1278" s="435"/>
      <c r="L1278" s="435"/>
      <c r="M1278" s="435"/>
      <c r="N1278" s="435"/>
      <c r="O1278" s="435"/>
      <c r="P1278" s="435"/>
      <c r="Q1278" s="437"/>
      <c r="R1278" s="437"/>
      <c r="S1278" s="437"/>
      <c r="T1278" s="432">
        <f t="shared" si="241"/>
        <v>0</v>
      </c>
    </row>
    <row r="1279" spans="1:20" ht="22.2" hidden="1" customHeight="1">
      <c r="A1279" s="379"/>
      <c r="B1279" s="438" t="s">
        <v>993</v>
      </c>
      <c r="C1279" s="469" t="str">
        <f t="shared" si="245"/>
        <v xml:space="preserve"> </v>
      </c>
      <c r="D1279" s="439">
        <v>0.02</v>
      </c>
      <c r="E1279" s="422" t="str">
        <f>VLOOKUP($B1279,[1]DG!A:C,2,)</f>
        <v>02.1421</v>
      </c>
      <c r="F1279" s="434" t="str">
        <f>VLOOKUP($B1279,[1]DG!A:C,3,)</f>
        <v>V/c phụ kiện vào vị trí (cự ly &lt;=100m)</v>
      </c>
      <c r="G1279" s="422" t="str">
        <f>VLOOKUP($B1279,[1]DG!A:D,4,0)</f>
        <v>tấn</v>
      </c>
      <c r="H1279" s="435"/>
      <c r="I1279" s="435"/>
      <c r="J1279" s="435"/>
      <c r="K1279" s="435"/>
      <c r="L1279" s="435"/>
      <c r="M1279" s="435"/>
      <c r="N1279" s="435"/>
      <c r="O1279" s="435"/>
      <c r="P1279" s="435"/>
      <c r="Q1279" s="437"/>
      <c r="R1279" s="437"/>
      <c r="S1279" s="437"/>
      <c r="T1279" s="432">
        <f t="shared" si="241"/>
        <v>0</v>
      </c>
    </row>
    <row r="1280" spans="1:20" ht="22.2" hidden="1" customHeight="1">
      <c r="A1280" s="423" t="s">
        <v>1041</v>
      </c>
      <c r="B1280" s="424" t="s">
        <v>1041</v>
      </c>
      <c r="C1280" s="469" t="str">
        <f t="shared" si="245"/>
        <v xml:space="preserve"> </v>
      </c>
      <c r="D1280" s="426"/>
      <c r="E1280" s="427"/>
      <c r="F1280" s="428" t="s">
        <v>1042</v>
      </c>
      <c r="G1280" s="349" t="s">
        <v>67</v>
      </c>
      <c r="H1280" s="429">
        <f>SUM(I1280:O1280)</f>
        <v>0</v>
      </c>
      <c r="I1280" s="430"/>
      <c r="J1280" s="430"/>
      <c r="K1280" s="430">
        <f>IFERROR(HLOOKUP(B1280,[1]pp3p1m!$1:$3,3,0),0)</f>
        <v>0</v>
      </c>
      <c r="L1280" s="430">
        <f>IFERROR(HLOOKUP(chitiet!B1280,[1]pp1p!$1:$3,3,0),0)</f>
        <v>0</v>
      </c>
      <c r="M1280" s="430"/>
      <c r="N1280" s="430"/>
      <c r="O1280" s="430"/>
      <c r="P1280" s="430">
        <f>H1280+Q1280-R1280</f>
        <v>0</v>
      </c>
      <c r="Q1280" s="431"/>
      <c r="R1280" s="431"/>
      <c r="S1280" s="431"/>
      <c r="T1280" s="432">
        <f>IFERROR(HLOOKUP(B1280,[1]pp1p!$1:$3,3,0),0)+IFERROR(HLOOKUP(B1280,[1]pp3p1m!$1:$3,3,0),0)</f>
        <v>0</v>
      </c>
    </row>
    <row r="1281" spans="1:20" ht="22.2" hidden="1" customHeight="1">
      <c r="A1281" s="379"/>
      <c r="B1281" s="410" t="s">
        <v>1031</v>
      </c>
      <c r="C1281" s="469" t="str">
        <f t="shared" si="245"/>
        <v xml:space="preserve"> </v>
      </c>
      <c r="D1281" s="440">
        <v>1</v>
      </c>
      <c r="E1281" s="422"/>
      <c r="F1281" s="441" t="str">
        <f>VLOOKUP($B1281,[1]DG!A:D,[1]DG!$C$2,)&amp;"-Fe8x100 nhuùng keõm"</f>
        <v>Cổ dê Ø 195 nẹp trụ-Fe8x100 nhuùng keõm</v>
      </c>
      <c r="G1281" s="422" t="str">
        <f>VLOOKUP($B1281,[1]DG!A:D,[1]DG!$D$2,)</f>
        <v>bộ</v>
      </c>
      <c r="H1281" s="435">
        <f t="shared" ref="H1281:N1289" si="246">H$1280*$D1281</f>
        <v>0</v>
      </c>
      <c r="I1281" s="435">
        <f t="shared" si="246"/>
        <v>0</v>
      </c>
      <c r="J1281" s="435">
        <f t="shared" si="246"/>
        <v>0</v>
      </c>
      <c r="K1281" s="435">
        <f t="shared" si="246"/>
        <v>0</v>
      </c>
      <c r="L1281" s="435">
        <f t="shared" si="246"/>
        <v>0</v>
      </c>
      <c r="M1281" s="435">
        <f t="shared" si="246"/>
        <v>0</v>
      </c>
      <c r="N1281" s="435">
        <f t="shared" si="246"/>
        <v>0</v>
      </c>
      <c r="O1281" s="435"/>
      <c r="P1281" s="435"/>
      <c r="Q1281" s="442"/>
      <c r="R1281" s="442"/>
      <c r="S1281" s="442"/>
      <c r="T1281" s="432">
        <f t="shared" si="241"/>
        <v>0</v>
      </c>
    </row>
    <row r="1282" spans="1:20" ht="22.2" hidden="1" customHeight="1">
      <c r="A1282" s="379"/>
      <c r="B1282" s="410" t="s">
        <v>988</v>
      </c>
      <c r="C1282" s="469" t="str">
        <f t="shared" si="245"/>
        <v xml:space="preserve"> </v>
      </c>
      <c r="D1282" s="440">
        <v>1</v>
      </c>
      <c r="E1282" s="422"/>
      <c r="F1282" s="441" t="str">
        <f>VLOOKUP($B1282,[1]DG!A:D,[1]DG!$C$2,)</f>
        <v>Sứ chằng</v>
      </c>
      <c r="G1282" s="422" t="str">
        <f>VLOOKUP($B1282,[1]DG!A:D,[1]DG!$D$2,)</f>
        <v>cái</v>
      </c>
      <c r="H1282" s="435">
        <f t="shared" si="246"/>
        <v>0</v>
      </c>
      <c r="I1282" s="435">
        <f t="shared" si="246"/>
        <v>0</v>
      </c>
      <c r="J1282" s="435">
        <f t="shared" si="246"/>
        <v>0</v>
      </c>
      <c r="K1282" s="435">
        <f t="shared" si="246"/>
        <v>0</v>
      </c>
      <c r="L1282" s="435">
        <f t="shared" si="246"/>
        <v>0</v>
      </c>
      <c r="M1282" s="435">
        <f t="shared" si="246"/>
        <v>0</v>
      </c>
      <c r="N1282" s="435">
        <f t="shared" si="246"/>
        <v>0</v>
      </c>
      <c r="O1282" s="435"/>
      <c r="P1282" s="435"/>
      <c r="Q1282" s="442"/>
      <c r="R1282" s="442"/>
      <c r="S1282" s="442"/>
      <c r="T1282" s="432">
        <f t="shared" si="241"/>
        <v>0</v>
      </c>
    </row>
    <row r="1283" spans="1:20" ht="22.2" hidden="1" customHeight="1">
      <c r="A1283" s="379"/>
      <c r="B1283" s="410" t="s">
        <v>989</v>
      </c>
      <c r="C1283" s="469" t="str">
        <f t="shared" si="245"/>
        <v xml:space="preserve"> </v>
      </c>
      <c r="D1283" s="440">
        <v>8</v>
      </c>
      <c r="E1283" s="422"/>
      <c r="F1283" s="441" t="str">
        <f>VLOOKUP($B1283,[1]DG!A:D,[1]DG!$C$2,)</f>
        <v>Kẹp cáp 3 boulon</v>
      </c>
      <c r="G1283" s="422" t="str">
        <f>VLOOKUP($B1283,[1]DG!A:D,[1]DG!$D$2,)</f>
        <v>cái</v>
      </c>
      <c r="H1283" s="435">
        <f t="shared" si="246"/>
        <v>0</v>
      </c>
      <c r="I1283" s="435">
        <f t="shared" si="246"/>
        <v>0</v>
      </c>
      <c r="J1283" s="435">
        <f t="shared" si="246"/>
        <v>0</v>
      </c>
      <c r="K1283" s="435">
        <f t="shared" si="246"/>
        <v>0</v>
      </c>
      <c r="L1283" s="435">
        <f t="shared" si="246"/>
        <v>0</v>
      </c>
      <c r="M1283" s="435">
        <f t="shared" si="246"/>
        <v>0</v>
      </c>
      <c r="N1283" s="435">
        <f t="shared" si="246"/>
        <v>0</v>
      </c>
      <c r="O1283" s="435"/>
      <c r="P1283" s="435"/>
      <c r="Q1283" s="442"/>
      <c r="R1283" s="442"/>
      <c r="S1283" s="442"/>
      <c r="T1283" s="432">
        <f t="shared" si="241"/>
        <v>0</v>
      </c>
    </row>
    <row r="1284" spans="1:20" ht="22.2" hidden="1" customHeight="1">
      <c r="A1284" s="379"/>
      <c r="B1284" s="478" t="s">
        <v>1032</v>
      </c>
      <c r="C1284" s="469" t="str">
        <f t="shared" si="245"/>
        <v xml:space="preserve"> </v>
      </c>
      <c r="D1284" s="440">
        <v>17</v>
      </c>
      <c r="E1284" s="422"/>
      <c r="F1284" s="441" t="str">
        <f>VLOOKUP($B1284,[1]DG!A:D,[1]DG!$C$2,)</f>
        <v>Kẹp hotline 4/0</v>
      </c>
      <c r="G1284" s="422" t="str">
        <f>VLOOKUP($B1284,[1]DG!A:D,[1]DG!$D$2,)</f>
        <v>cái</v>
      </c>
      <c r="H1284" s="435">
        <f t="shared" si="246"/>
        <v>0</v>
      </c>
      <c r="I1284" s="435">
        <f t="shared" si="246"/>
        <v>0</v>
      </c>
      <c r="J1284" s="435">
        <f t="shared" si="246"/>
        <v>0</v>
      </c>
      <c r="K1284" s="435">
        <f t="shared" si="246"/>
        <v>0</v>
      </c>
      <c r="L1284" s="435">
        <f t="shared" si="246"/>
        <v>0</v>
      </c>
      <c r="M1284" s="435">
        <f t="shared" si="246"/>
        <v>0</v>
      </c>
      <c r="N1284" s="435">
        <f t="shared" si="246"/>
        <v>0</v>
      </c>
      <c r="O1284" s="435"/>
      <c r="P1284" s="435"/>
      <c r="Q1284" s="442"/>
      <c r="R1284" s="442"/>
      <c r="S1284" s="442"/>
      <c r="T1284" s="432">
        <f t="shared" si="241"/>
        <v>0</v>
      </c>
    </row>
    <row r="1285" spans="1:20" ht="22.2" hidden="1" customHeight="1">
      <c r="A1285" s="379"/>
      <c r="B1285" s="410" t="s">
        <v>962</v>
      </c>
      <c r="C1285" s="469" t="str">
        <f t="shared" si="245"/>
        <v xml:space="preserve"> </v>
      </c>
      <c r="D1285" s="440">
        <v>2</v>
      </c>
      <c r="E1285" s="422"/>
      <c r="F1285" s="441" t="str">
        <f>VLOOKUP($B1285,[1]DG!A:D,[1]DG!$C$2,)</f>
        <v>Sắt dẹt 60 x 6</v>
      </c>
      <c r="G1285" s="422" t="str">
        <f>VLOOKUP($B1285,[1]DG!A:D,[1]DG!$D$2,)</f>
        <v>kg</v>
      </c>
      <c r="H1285" s="435">
        <f t="shared" si="246"/>
        <v>0</v>
      </c>
      <c r="I1285" s="435">
        <f t="shared" si="246"/>
        <v>0</v>
      </c>
      <c r="J1285" s="435">
        <f t="shared" si="246"/>
        <v>0</v>
      </c>
      <c r="K1285" s="435">
        <f t="shared" si="246"/>
        <v>0</v>
      </c>
      <c r="L1285" s="435">
        <f t="shared" si="246"/>
        <v>0</v>
      </c>
      <c r="M1285" s="435">
        <f t="shared" si="246"/>
        <v>0</v>
      </c>
      <c r="N1285" s="435">
        <f t="shared" si="246"/>
        <v>0</v>
      </c>
      <c r="O1285" s="435"/>
      <c r="P1285" s="435"/>
      <c r="Q1285" s="442"/>
      <c r="R1285" s="442"/>
      <c r="S1285" s="442"/>
      <c r="T1285" s="432">
        <f t="shared" si="241"/>
        <v>0</v>
      </c>
    </row>
    <row r="1286" spans="1:20" ht="22.2" hidden="1" customHeight="1">
      <c r="A1286" s="379"/>
      <c r="B1286" s="410" t="s">
        <v>1033</v>
      </c>
      <c r="C1286" s="469" t="str">
        <f t="shared" si="245"/>
        <v xml:space="preserve"> </v>
      </c>
      <c r="D1286" s="440">
        <v>1</v>
      </c>
      <c r="E1286" s="422"/>
      <c r="F1286" s="441" t="str">
        <f>VLOOKUP($B1286,[1]DG!A:D,[1]DG!$C$2,)</f>
        <v xml:space="preserve">Móc treo chữ U </v>
      </c>
      <c r="G1286" s="422" t="str">
        <f>VLOOKUP($B1286,[1]DG!A:D,[1]DG!$D$2,)</f>
        <v>cái</v>
      </c>
      <c r="H1286" s="435">
        <f t="shared" si="246"/>
        <v>0</v>
      </c>
      <c r="I1286" s="435">
        <f t="shared" si="246"/>
        <v>0</v>
      </c>
      <c r="J1286" s="435">
        <f t="shared" si="246"/>
        <v>0</v>
      </c>
      <c r="K1286" s="435">
        <f t="shared" si="246"/>
        <v>0</v>
      </c>
      <c r="L1286" s="435">
        <f t="shared" si="246"/>
        <v>0</v>
      </c>
      <c r="M1286" s="435">
        <f t="shared" si="246"/>
        <v>0</v>
      </c>
      <c r="N1286" s="435">
        <f t="shared" si="246"/>
        <v>0</v>
      </c>
      <c r="O1286" s="435"/>
      <c r="P1286" s="435"/>
      <c r="Q1286" s="442"/>
      <c r="R1286" s="442"/>
      <c r="S1286" s="442"/>
      <c r="T1286" s="432">
        <f t="shared" si="241"/>
        <v>0</v>
      </c>
    </row>
    <row r="1287" spans="1:20" ht="22.2" hidden="1" customHeight="1">
      <c r="A1287" s="379"/>
      <c r="B1287" s="479" t="s">
        <v>1034</v>
      </c>
      <c r="C1287" s="469" t="str">
        <f t="shared" si="245"/>
        <v xml:space="preserve"> </v>
      </c>
      <c r="D1287" s="440">
        <v>2</v>
      </c>
      <c r="E1287" s="422"/>
      <c r="F1287" s="441" t="str">
        <f>VLOOKUP($B1287,[1]DG!A:D,[1]DG!$C$2,)</f>
        <v>Boulon 16x100VRS+ 4 long đền vuông D18-50x50x3/Zn</v>
      </c>
      <c r="G1287" s="422" t="str">
        <f>VLOOKUP($B1287,[1]DG!A:D,[1]DG!$D$2,)</f>
        <v>bộ</v>
      </c>
      <c r="H1287" s="435">
        <f t="shared" si="246"/>
        <v>0</v>
      </c>
      <c r="I1287" s="435">
        <f t="shared" si="246"/>
        <v>0</v>
      </c>
      <c r="J1287" s="435">
        <f t="shared" si="246"/>
        <v>0</v>
      </c>
      <c r="K1287" s="435">
        <f t="shared" si="246"/>
        <v>0</v>
      </c>
      <c r="L1287" s="435">
        <f t="shared" si="246"/>
        <v>0</v>
      </c>
      <c r="M1287" s="435">
        <f t="shared" si="246"/>
        <v>0</v>
      </c>
      <c r="N1287" s="435">
        <f t="shared" si="246"/>
        <v>0</v>
      </c>
      <c r="O1287" s="435"/>
      <c r="P1287" s="435"/>
      <c r="Q1287" s="442"/>
      <c r="R1287" s="442"/>
      <c r="S1287" s="442"/>
      <c r="T1287" s="432">
        <f t="shared" si="241"/>
        <v>0</v>
      </c>
    </row>
    <row r="1288" spans="1:20" ht="22.2" hidden="1" customHeight="1">
      <c r="A1288" s="379"/>
      <c r="B1288" s="410" t="s">
        <v>991</v>
      </c>
      <c r="C1288" s="469" t="str">
        <f t="shared" si="245"/>
        <v xml:space="preserve"> </v>
      </c>
      <c r="D1288" s="440">
        <v>2</v>
      </c>
      <c r="E1288" s="422"/>
      <c r="F1288" s="441" t="str">
        <f>VLOOKUP($B1288,[1]DG!A:D,[1]DG!$C$2,)</f>
        <v>Yếm cáp dày 2mm</v>
      </c>
      <c r="G1288" s="422" t="str">
        <f>VLOOKUP($B1288,[1]DG!A:D,[1]DG!$D$2,)</f>
        <v>cái</v>
      </c>
      <c r="H1288" s="435">
        <f t="shared" si="246"/>
        <v>0</v>
      </c>
      <c r="I1288" s="435">
        <f t="shared" si="246"/>
        <v>0</v>
      </c>
      <c r="J1288" s="435">
        <f t="shared" si="246"/>
        <v>0</v>
      </c>
      <c r="K1288" s="435">
        <f t="shared" si="246"/>
        <v>0</v>
      </c>
      <c r="L1288" s="435">
        <f t="shared" si="246"/>
        <v>0</v>
      </c>
      <c r="M1288" s="435">
        <f t="shared" si="246"/>
        <v>0</v>
      </c>
      <c r="N1288" s="435">
        <f t="shared" si="246"/>
        <v>0</v>
      </c>
      <c r="O1288" s="435"/>
      <c r="P1288" s="435"/>
      <c r="Q1288" s="442"/>
      <c r="R1288" s="442"/>
      <c r="S1288" s="442"/>
      <c r="T1288" s="432">
        <f t="shared" si="241"/>
        <v>0</v>
      </c>
    </row>
    <row r="1289" spans="1:20" ht="22.2" hidden="1" customHeight="1">
      <c r="A1289" s="379"/>
      <c r="B1289" s="410" t="s">
        <v>992</v>
      </c>
      <c r="C1289" s="469" t="str">
        <f t="shared" si="245"/>
        <v xml:space="preserve"> </v>
      </c>
      <c r="D1289" s="440">
        <v>1</v>
      </c>
      <c r="E1289" s="422"/>
      <c r="F1289" s="441" t="str">
        <f>VLOOKUP($B1289,[1]DG!A:D,[1]DG!$C$2,)</f>
        <v>Máng che dây chằng dày 1,6mm</v>
      </c>
      <c r="G1289" s="422" t="str">
        <f>VLOOKUP($B1289,[1]DG!A:D,[1]DG!$D$2,)</f>
        <v>cái</v>
      </c>
      <c r="H1289" s="435">
        <f t="shared" si="246"/>
        <v>0</v>
      </c>
      <c r="I1289" s="435">
        <f t="shared" si="246"/>
        <v>0</v>
      </c>
      <c r="J1289" s="435">
        <f t="shared" si="246"/>
        <v>0</v>
      </c>
      <c r="K1289" s="435">
        <f t="shared" si="246"/>
        <v>0</v>
      </c>
      <c r="L1289" s="435">
        <f t="shared" si="246"/>
        <v>0</v>
      </c>
      <c r="M1289" s="435">
        <f t="shared" si="246"/>
        <v>0</v>
      </c>
      <c r="N1289" s="435">
        <f t="shared" si="246"/>
        <v>0</v>
      </c>
      <c r="O1289" s="435"/>
      <c r="P1289" s="435"/>
      <c r="Q1289" s="442"/>
      <c r="R1289" s="442"/>
      <c r="S1289" s="442"/>
      <c r="T1289" s="432">
        <f t="shared" si="241"/>
        <v>0</v>
      </c>
    </row>
    <row r="1290" spans="1:20" ht="22.2" hidden="1" customHeight="1">
      <c r="A1290" s="379"/>
      <c r="B1290" s="410" t="s">
        <v>588</v>
      </c>
      <c r="C1290" s="469" t="str">
        <f t="shared" si="245"/>
        <v xml:space="preserve"> </v>
      </c>
      <c r="D1290" s="440">
        <f>D1281</f>
        <v>1</v>
      </c>
      <c r="E1290" s="422" t="str">
        <f>VLOOKUP($B1290,[1]DG!A:D,[1]DG!$B$2,)</f>
        <v>06.3241</v>
      </c>
      <c r="F1290" s="434" t="str">
        <f>VLOOKUP($B1290,[1]DG!A:D,[1]DG!$C$2,)</f>
        <v>Lắp bộ dây néo</v>
      </c>
      <c r="G1290" s="422" t="str">
        <f>VLOOKUP($B1290,[1]DG!A:D,[1]DG!$D$2,)</f>
        <v>bộ</v>
      </c>
      <c r="H1290" s="435"/>
      <c r="I1290" s="435"/>
      <c r="J1290" s="435"/>
      <c r="K1290" s="435"/>
      <c r="L1290" s="435"/>
      <c r="M1290" s="435"/>
      <c r="N1290" s="435"/>
      <c r="O1290" s="435"/>
      <c r="P1290" s="435"/>
      <c r="Q1290" s="437"/>
      <c r="R1290" s="437"/>
      <c r="S1290" s="437"/>
      <c r="T1290" s="432">
        <f t="shared" si="241"/>
        <v>0</v>
      </c>
    </row>
    <row r="1291" spans="1:20" ht="22.2" hidden="1" customHeight="1">
      <c r="A1291" s="379"/>
      <c r="B1291" s="410" t="s">
        <v>1035</v>
      </c>
      <c r="C1291" s="469" t="str">
        <f t="shared" si="245"/>
        <v xml:space="preserve"> </v>
      </c>
      <c r="D1291" s="440">
        <v>1</v>
      </c>
      <c r="E1291" s="422" t="str">
        <f>VLOOKUP($B1291,[1]DG!A:D,[1]DG!$B$2,)</f>
        <v>06.2110</v>
      </c>
      <c r="F1291" s="434" t="str">
        <f>VLOOKUP($B1291,[1]DG!A:D,[1]DG!$C$2,)</f>
        <v>Lắp cổ dề</v>
      </c>
      <c r="G1291" s="422" t="str">
        <f>VLOOKUP($B1291,[1]DG!A:D,[1]DG!$D$2,)</f>
        <v>cái</v>
      </c>
      <c r="H1291" s="435"/>
      <c r="I1291" s="435"/>
      <c r="J1291" s="435"/>
      <c r="K1291" s="435"/>
      <c r="L1291" s="435"/>
      <c r="M1291" s="435"/>
      <c r="N1291" s="435"/>
      <c r="O1291" s="435"/>
      <c r="P1291" s="435"/>
      <c r="Q1291" s="437"/>
      <c r="R1291" s="437"/>
      <c r="S1291" s="437"/>
      <c r="T1291" s="432">
        <f t="shared" si="241"/>
        <v>0</v>
      </c>
    </row>
    <row r="1292" spans="1:20" ht="22.2" hidden="1" customHeight="1">
      <c r="A1292" s="379"/>
      <c r="B1292" s="438" t="s">
        <v>993</v>
      </c>
      <c r="C1292" s="469" t="str">
        <f t="shared" si="245"/>
        <v xml:space="preserve"> </v>
      </c>
      <c r="D1292" s="439">
        <v>0.02</v>
      </c>
      <c r="E1292" s="422" t="str">
        <f>VLOOKUP($B1292,[1]DG!A:C,2,)</f>
        <v>02.1421</v>
      </c>
      <c r="F1292" s="434" t="str">
        <f>VLOOKUP($B1292,[1]DG!A:C,3,)</f>
        <v>V/c phụ kiện vào vị trí (cự ly &lt;=100m)</v>
      </c>
      <c r="G1292" s="422" t="str">
        <f>VLOOKUP($B1292,[1]DG!A:D,4,0)</f>
        <v>tấn</v>
      </c>
      <c r="H1292" s="435"/>
      <c r="I1292" s="435"/>
      <c r="J1292" s="435"/>
      <c r="K1292" s="435"/>
      <c r="L1292" s="435"/>
      <c r="M1292" s="435"/>
      <c r="N1292" s="435"/>
      <c r="O1292" s="435"/>
      <c r="P1292" s="435"/>
      <c r="Q1292" s="437"/>
      <c r="R1292" s="437"/>
      <c r="S1292" s="437"/>
      <c r="T1292" s="432">
        <f t="shared" si="241"/>
        <v>0</v>
      </c>
    </row>
    <row r="1293" spans="1:20" ht="22.2" hidden="1" customHeight="1">
      <c r="A1293" s="423" t="s">
        <v>1043</v>
      </c>
      <c r="B1293" s="424" t="s">
        <v>1043</v>
      </c>
      <c r="C1293" s="469" t="str">
        <f t="shared" si="245"/>
        <v xml:space="preserve"> </v>
      </c>
      <c r="D1293" s="426"/>
      <c r="E1293" s="427"/>
      <c r="F1293" s="428" t="s">
        <v>1044</v>
      </c>
      <c r="G1293" s="349" t="s">
        <v>67</v>
      </c>
      <c r="H1293" s="429">
        <f>SUM(I1293:O1293)</f>
        <v>0</v>
      </c>
      <c r="I1293" s="430"/>
      <c r="J1293" s="430"/>
      <c r="K1293" s="430">
        <f>IFERROR(HLOOKUP(B1293,[1]pp3p1m!$1:$3,3,0),0)</f>
        <v>0</v>
      </c>
      <c r="L1293" s="430">
        <f>IFERROR(HLOOKUP(chitiet!B1293,[1]pp1p!$1:$3,3,0),0)</f>
        <v>0</v>
      </c>
      <c r="M1293" s="430"/>
      <c r="N1293" s="430"/>
      <c r="O1293" s="430"/>
      <c r="P1293" s="430">
        <f>H1293+Q1293-R1293</f>
        <v>0</v>
      </c>
      <c r="Q1293" s="431"/>
      <c r="R1293" s="431"/>
      <c r="S1293" s="431"/>
      <c r="T1293" s="432">
        <f>IFERROR(HLOOKUP(B1293,[1]pp1p!$1:$3,3,0),0)+IFERROR(HLOOKUP(B1293,[1]pp3p1m!$1:$3,3,0),0)</f>
        <v>0</v>
      </c>
    </row>
    <row r="1294" spans="1:20" ht="22.2" hidden="1" customHeight="1">
      <c r="A1294" s="379"/>
      <c r="B1294" s="410" t="s">
        <v>1031</v>
      </c>
      <c r="C1294" s="469" t="str">
        <f t="shared" si="245"/>
        <v xml:space="preserve"> </v>
      </c>
      <c r="D1294" s="440">
        <v>1</v>
      </c>
      <c r="E1294" s="422"/>
      <c r="F1294" s="441" t="str">
        <f>VLOOKUP($B1294,[1]DG!A:D,[1]DG!$C$2,)&amp;"-Fe8x100 nhuùng keõm"</f>
        <v>Cổ dê Ø 195 nẹp trụ-Fe8x100 nhuùng keõm</v>
      </c>
      <c r="G1294" s="422" t="str">
        <f>VLOOKUP($B1294,[1]DG!A:D,[1]DG!$D$2,)</f>
        <v>bộ</v>
      </c>
      <c r="H1294" s="435">
        <f t="shared" ref="H1294:N1303" si="247">H$1293*$D1294</f>
        <v>0</v>
      </c>
      <c r="I1294" s="435">
        <f t="shared" si="247"/>
        <v>0</v>
      </c>
      <c r="J1294" s="435">
        <f t="shared" si="247"/>
        <v>0</v>
      </c>
      <c r="K1294" s="435">
        <f t="shared" si="247"/>
        <v>0</v>
      </c>
      <c r="L1294" s="435">
        <f t="shared" si="247"/>
        <v>0</v>
      </c>
      <c r="M1294" s="435">
        <f t="shared" si="247"/>
        <v>0</v>
      </c>
      <c r="N1294" s="435">
        <f t="shared" si="247"/>
        <v>0</v>
      </c>
      <c r="O1294" s="435"/>
      <c r="P1294" s="435"/>
      <c r="Q1294" s="442"/>
      <c r="R1294" s="442"/>
      <c r="S1294" s="442"/>
      <c r="T1294" s="432">
        <f t="shared" si="241"/>
        <v>0</v>
      </c>
    </row>
    <row r="1295" spans="1:20" ht="22.2" hidden="1" customHeight="1">
      <c r="A1295" s="379"/>
      <c r="B1295" s="410" t="s">
        <v>988</v>
      </c>
      <c r="C1295" s="469" t="str">
        <f t="shared" si="245"/>
        <v xml:space="preserve"> </v>
      </c>
      <c r="D1295" s="440">
        <v>1</v>
      </c>
      <c r="E1295" s="422"/>
      <c r="F1295" s="441" t="str">
        <f>VLOOKUP($B1295,[1]DG!A:D,[1]DG!$C$2,)</f>
        <v>Sứ chằng</v>
      </c>
      <c r="G1295" s="422" t="str">
        <f>VLOOKUP($B1295,[1]DG!A:D,[1]DG!$D$2,)</f>
        <v>cái</v>
      </c>
      <c r="H1295" s="435">
        <f t="shared" si="247"/>
        <v>0</v>
      </c>
      <c r="I1295" s="435">
        <f t="shared" si="247"/>
        <v>0</v>
      </c>
      <c r="J1295" s="435">
        <f t="shared" si="247"/>
        <v>0</v>
      </c>
      <c r="K1295" s="435">
        <f t="shared" si="247"/>
        <v>0</v>
      </c>
      <c r="L1295" s="435">
        <f t="shared" si="247"/>
        <v>0</v>
      </c>
      <c r="M1295" s="435">
        <f t="shared" si="247"/>
        <v>0</v>
      </c>
      <c r="N1295" s="435">
        <f t="shared" si="247"/>
        <v>0</v>
      </c>
      <c r="O1295" s="435"/>
      <c r="P1295" s="435"/>
      <c r="Q1295" s="442"/>
      <c r="R1295" s="442"/>
      <c r="S1295" s="442"/>
      <c r="T1295" s="432">
        <f t="shared" si="241"/>
        <v>0</v>
      </c>
    </row>
    <row r="1296" spans="1:20" ht="22.2" hidden="1" customHeight="1">
      <c r="A1296" s="379"/>
      <c r="B1296" s="410" t="s">
        <v>989</v>
      </c>
      <c r="C1296" s="469" t="str">
        <f t="shared" si="245"/>
        <v xml:space="preserve"> </v>
      </c>
      <c r="D1296" s="440">
        <v>8</v>
      </c>
      <c r="E1296" s="422"/>
      <c r="F1296" s="441" t="str">
        <f>VLOOKUP($B1296,[1]DG!A:D,[1]DG!$C$2,)</f>
        <v>Kẹp cáp 3 boulon</v>
      </c>
      <c r="G1296" s="422" t="str">
        <f>VLOOKUP($B1296,[1]DG!A:D,[1]DG!$D$2,)</f>
        <v>cái</v>
      </c>
      <c r="H1296" s="435">
        <f t="shared" si="247"/>
        <v>0</v>
      </c>
      <c r="I1296" s="435">
        <f t="shared" si="247"/>
        <v>0</v>
      </c>
      <c r="J1296" s="435">
        <f t="shared" si="247"/>
        <v>0</v>
      </c>
      <c r="K1296" s="435">
        <f t="shared" si="247"/>
        <v>0</v>
      </c>
      <c r="L1296" s="435">
        <f t="shared" si="247"/>
        <v>0</v>
      </c>
      <c r="M1296" s="435">
        <f t="shared" si="247"/>
        <v>0</v>
      </c>
      <c r="N1296" s="435">
        <f t="shared" si="247"/>
        <v>0</v>
      </c>
      <c r="O1296" s="435"/>
      <c r="P1296" s="435"/>
      <c r="Q1296" s="442"/>
      <c r="R1296" s="442"/>
      <c r="S1296" s="442"/>
      <c r="T1296" s="432">
        <f t="shared" si="241"/>
        <v>0</v>
      </c>
    </row>
    <row r="1297" spans="1:20" ht="22.2" hidden="1" customHeight="1">
      <c r="A1297" s="379"/>
      <c r="B1297" s="478" t="s">
        <v>1032</v>
      </c>
      <c r="C1297" s="469" t="str">
        <f t="shared" si="245"/>
        <v xml:space="preserve"> </v>
      </c>
      <c r="D1297" s="440">
        <v>13</v>
      </c>
      <c r="E1297" s="422"/>
      <c r="F1297" s="441" t="str">
        <f>VLOOKUP($B1297,[1]DG!A:D,[1]DG!$C$2,)</f>
        <v>Kẹp hotline 4/0</v>
      </c>
      <c r="G1297" s="422" t="str">
        <f>VLOOKUP($B1297,[1]DG!A:D,[1]DG!$D$2,)</f>
        <v>cái</v>
      </c>
      <c r="H1297" s="435">
        <f t="shared" si="247"/>
        <v>0</v>
      </c>
      <c r="I1297" s="435">
        <f t="shared" si="247"/>
        <v>0</v>
      </c>
      <c r="J1297" s="435">
        <f t="shared" si="247"/>
        <v>0</v>
      </c>
      <c r="K1297" s="435">
        <f t="shared" si="247"/>
        <v>0</v>
      </c>
      <c r="L1297" s="435">
        <f t="shared" si="247"/>
        <v>0</v>
      </c>
      <c r="M1297" s="435">
        <f t="shared" si="247"/>
        <v>0</v>
      </c>
      <c r="N1297" s="435">
        <f t="shared" si="247"/>
        <v>0</v>
      </c>
      <c r="O1297" s="435"/>
      <c r="P1297" s="435"/>
      <c r="Q1297" s="442"/>
      <c r="R1297" s="442"/>
      <c r="S1297" s="442"/>
      <c r="T1297" s="432">
        <f t="shared" si="241"/>
        <v>0</v>
      </c>
    </row>
    <row r="1298" spans="1:20" ht="22.2" hidden="1" customHeight="1">
      <c r="A1298" s="379"/>
      <c r="B1298" s="410" t="s">
        <v>1003</v>
      </c>
      <c r="C1298" s="469" t="str">
        <f t="shared" si="245"/>
        <v xml:space="preserve"> </v>
      </c>
      <c r="D1298" s="440">
        <v>1</v>
      </c>
      <c r="E1298" s="422"/>
      <c r="F1298" s="441" t="str">
        <f>VLOOKUP($B1298,[1]DG!A:D,[1]DG!$C$2,)</f>
        <v>Bộ chống chằng hẹp Ø60/50x1500+2BL12x40+BL16x250/80</v>
      </c>
      <c r="G1298" s="422" t="str">
        <f>VLOOKUP($B1298,[1]DG!A:D,[1]DG!$D$2,)</f>
        <v>bộ</v>
      </c>
      <c r="H1298" s="435">
        <f t="shared" si="247"/>
        <v>0</v>
      </c>
      <c r="I1298" s="435">
        <f t="shared" si="247"/>
        <v>0</v>
      </c>
      <c r="J1298" s="435">
        <f t="shared" si="247"/>
        <v>0</v>
      </c>
      <c r="K1298" s="435">
        <f t="shared" si="247"/>
        <v>0</v>
      </c>
      <c r="L1298" s="435">
        <f t="shared" si="247"/>
        <v>0</v>
      </c>
      <c r="M1298" s="435">
        <f t="shared" si="247"/>
        <v>0</v>
      </c>
      <c r="N1298" s="435">
        <f t="shared" si="247"/>
        <v>0</v>
      </c>
      <c r="O1298" s="435"/>
      <c r="P1298" s="435"/>
      <c r="Q1298" s="442"/>
      <c r="R1298" s="442"/>
      <c r="S1298" s="442"/>
      <c r="T1298" s="432">
        <f t="shared" si="241"/>
        <v>0</v>
      </c>
    </row>
    <row r="1299" spans="1:20" ht="22.2" hidden="1" customHeight="1">
      <c r="A1299" s="379"/>
      <c r="B1299" s="410" t="s">
        <v>962</v>
      </c>
      <c r="C1299" s="469" t="str">
        <f t="shared" si="245"/>
        <v xml:space="preserve"> </v>
      </c>
      <c r="D1299" s="440">
        <v>2</v>
      </c>
      <c r="E1299" s="422"/>
      <c r="F1299" s="441" t="str">
        <f>VLOOKUP($B1299,[1]DG!A:D,[1]DG!$C$2,)</f>
        <v>Sắt dẹt 60 x 6</v>
      </c>
      <c r="G1299" s="422" t="str">
        <f>VLOOKUP($B1299,[1]DG!A:D,[1]DG!$D$2,)</f>
        <v>kg</v>
      </c>
      <c r="H1299" s="435">
        <f t="shared" si="247"/>
        <v>0</v>
      </c>
      <c r="I1299" s="435">
        <f t="shared" si="247"/>
        <v>0</v>
      </c>
      <c r="J1299" s="435">
        <f t="shared" si="247"/>
        <v>0</v>
      </c>
      <c r="K1299" s="435">
        <f t="shared" si="247"/>
        <v>0</v>
      </c>
      <c r="L1299" s="435">
        <f t="shared" si="247"/>
        <v>0</v>
      </c>
      <c r="M1299" s="435">
        <f t="shared" si="247"/>
        <v>0</v>
      </c>
      <c r="N1299" s="435">
        <f t="shared" si="247"/>
        <v>0</v>
      </c>
      <c r="O1299" s="435"/>
      <c r="P1299" s="435"/>
      <c r="Q1299" s="442"/>
      <c r="R1299" s="442"/>
      <c r="S1299" s="442"/>
      <c r="T1299" s="432">
        <f t="shared" si="241"/>
        <v>0</v>
      </c>
    </row>
    <row r="1300" spans="1:20" ht="22.2" hidden="1" customHeight="1">
      <c r="A1300" s="379"/>
      <c r="B1300" s="410" t="s">
        <v>1033</v>
      </c>
      <c r="C1300" s="469" t="str">
        <f t="shared" si="245"/>
        <v xml:space="preserve"> </v>
      </c>
      <c r="D1300" s="440">
        <v>1</v>
      </c>
      <c r="E1300" s="422"/>
      <c r="F1300" s="441" t="str">
        <f>VLOOKUP($B1300,[1]DG!A:D,[1]DG!$C$2,)</f>
        <v xml:space="preserve">Móc treo chữ U </v>
      </c>
      <c r="G1300" s="422" t="str">
        <f>VLOOKUP($B1300,[1]DG!A:D,[1]DG!$D$2,)</f>
        <v>cái</v>
      </c>
      <c r="H1300" s="435">
        <f t="shared" si="247"/>
        <v>0</v>
      </c>
      <c r="I1300" s="435">
        <f t="shared" si="247"/>
        <v>0</v>
      </c>
      <c r="J1300" s="435">
        <f t="shared" si="247"/>
        <v>0</v>
      </c>
      <c r="K1300" s="435">
        <f t="shared" si="247"/>
        <v>0</v>
      </c>
      <c r="L1300" s="435">
        <f t="shared" si="247"/>
        <v>0</v>
      </c>
      <c r="M1300" s="435">
        <f t="shared" si="247"/>
        <v>0</v>
      </c>
      <c r="N1300" s="435">
        <f t="shared" si="247"/>
        <v>0</v>
      </c>
      <c r="O1300" s="435"/>
      <c r="P1300" s="435"/>
      <c r="Q1300" s="442"/>
      <c r="R1300" s="442"/>
      <c r="S1300" s="442"/>
      <c r="T1300" s="432">
        <f t="shared" si="241"/>
        <v>0</v>
      </c>
    </row>
    <row r="1301" spans="1:20" ht="22.2" hidden="1" customHeight="1">
      <c r="A1301" s="379"/>
      <c r="B1301" s="479" t="s">
        <v>1034</v>
      </c>
      <c r="C1301" s="469" t="str">
        <f t="shared" si="245"/>
        <v xml:space="preserve"> </v>
      </c>
      <c r="D1301" s="440">
        <v>2</v>
      </c>
      <c r="E1301" s="422"/>
      <c r="F1301" s="441" t="str">
        <f>VLOOKUP($B1301,[1]DG!A:D,[1]DG!$C$2,)</f>
        <v>Boulon 16x100VRS+ 4 long đền vuông D18-50x50x3/Zn</v>
      </c>
      <c r="G1301" s="422" t="str">
        <f>VLOOKUP($B1301,[1]DG!A:D,[1]DG!$D$2,)</f>
        <v>bộ</v>
      </c>
      <c r="H1301" s="435">
        <f t="shared" si="247"/>
        <v>0</v>
      </c>
      <c r="I1301" s="435">
        <f t="shared" si="247"/>
        <v>0</v>
      </c>
      <c r="J1301" s="435">
        <f t="shared" si="247"/>
        <v>0</v>
      </c>
      <c r="K1301" s="435">
        <f t="shared" si="247"/>
        <v>0</v>
      </c>
      <c r="L1301" s="435">
        <f t="shared" si="247"/>
        <v>0</v>
      </c>
      <c r="M1301" s="435">
        <f t="shared" si="247"/>
        <v>0</v>
      </c>
      <c r="N1301" s="435">
        <f t="shared" si="247"/>
        <v>0</v>
      </c>
      <c r="O1301" s="435"/>
      <c r="P1301" s="435"/>
      <c r="Q1301" s="442"/>
      <c r="R1301" s="442"/>
      <c r="S1301" s="442"/>
      <c r="T1301" s="432">
        <f t="shared" si="241"/>
        <v>0</v>
      </c>
    </row>
    <row r="1302" spans="1:20" ht="22.2" hidden="1" customHeight="1">
      <c r="A1302" s="379"/>
      <c r="B1302" s="410" t="s">
        <v>991</v>
      </c>
      <c r="C1302" s="469" t="str">
        <f t="shared" si="245"/>
        <v xml:space="preserve"> </v>
      </c>
      <c r="D1302" s="440">
        <v>2</v>
      </c>
      <c r="E1302" s="422"/>
      <c r="F1302" s="441" t="str">
        <f>VLOOKUP($B1302,[1]DG!A:D,[1]DG!$C$2,)</f>
        <v>Yếm cáp dày 2mm</v>
      </c>
      <c r="G1302" s="422" t="str">
        <f>VLOOKUP($B1302,[1]DG!A:D,[1]DG!$D$2,)</f>
        <v>cái</v>
      </c>
      <c r="H1302" s="435">
        <f t="shared" si="247"/>
        <v>0</v>
      </c>
      <c r="I1302" s="435">
        <f t="shared" si="247"/>
        <v>0</v>
      </c>
      <c r="J1302" s="435">
        <f t="shared" si="247"/>
        <v>0</v>
      </c>
      <c r="K1302" s="435">
        <f t="shared" si="247"/>
        <v>0</v>
      </c>
      <c r="L1302" s="435">
        <f t="shared" si="247"/>
        <v>0</v>
      </c>
      <c r="M1302" s="435">
        <f t="shared" si="247"/>
        <v>0</v>
      </c>
      <c r="N1302" s="435">
        <f t="shared" si="247"/>
        <v>0</v>
      </c>
      <c r="O1302" s="435"/>
      <c r="P1302" s="435"/>
      <c r="Q1302" s="442"/>
      <c r="R1302" s="442"/>
      <c r="S1302" s="442"/>
      <c r="T1302" s="432">
        <f t="shared" si="241"/>
        <v>0</v>
      </c>
    </row>
    <row r="1303" spans="1:20" ht="22.2" hidden="1" customHeight="1">
      <c r="A1303" s="379"/>
      <c r="B1303" s="410" t="s">
        <v>992</v>
      </c>
      <c r="C1303" s="469" t="str">
        <f t="shared" si="245"/>
        <v xml:space="preserve"> </v>
      </c>
      <c r="D1303" s="440">
        <v>1</v>
      </c>
      <c r="E1303" s="422"/>
      <c r="F1303" s="441" t="str">
        <f>VLOOKUP($B1303,[1]DG!A:D,[1]DG!$C$2,)</f>
        <v>Máng che dây chằng dày 1,6mm</v>
      </c>
      <c r="G1303" s="422" t="str">
        <f>VLOOKUP($B1303,[1]DG!A:D,[1]DG!$D$2,)</f>
        <v>cái</v>
      </c>
      <c r="H1303" s="435">
        <f t="shared" si="247"/>
        <v>0</v>
      </c>
      <c r="I1303" s="435">
        <f t="shared" si="247"/>
        <v>0</v>
      </c>
      <c r="J1303" s="435">
        <f t="shared" si="247"/>
        <v>0</v>
      </c>
      <c r="K1303" s="435">
        <f t="shared" si="247"/>
        <v>0</v>
      </c>
      <c r="L1303" s="435">
        <f t="shared" si="247"/>
        <v>0</v>
      </c>
      <c r="M1303" s="435">
        <f t="shared" si="247"/>
        <v>0</v>
      </c>
      <c r="N1303" s="435">
        <f t="shared" si="247"/>
        <v>0</v>
      </c>
      <c r="O1303" s="435"/>
      <c r="P1303" s="435"/>
      <c r="Q1303" s="442"/>
      <c r="R1303" s="442"/>
      <c r="S1303" s="442"/>
      <c r="T1303" s="432">
        <f t="shared" si="241"/>
        <v>0</v>
      </c>
    </row>
    <row r="1304" spans="1:20" ht="22.2" hidden="1" customHeight="1">
      <c r="A1304" s="379"/>
      <c r="B1304" s="410" t="s">
        <v>588</v>
      </c>
      <c r="C1304" s="469" t="str">
        <f t="shared" si="245"/>
        <v xml:space="preserve"> </v>
      </c>
      <c r="D1304" s="440">
        <f>D1294</f>
        <v>1</v>
      </c>
      <c r="E1304" s="422" t="str">
        <f>VLOOKUP($B1304,[1]DG!A:D,[1]DG!$B$2,)</f>
        <v>06.3241</v>
      </c>
      <c r="F1304" s="434" t="str">
        <f>VLOOKUP($B1304,[1]DG!A:D,[1]DG!$C$2,)</f>
        <v>Lắp bộ dây néo</v>
      </c>
      <c r="G1304" s="422" t="str">
        <f>VLOOKUP($B1304,[1]DG!A:D,[1]DG!$D$2,)</f>
        <v>bộ</v>
      </c>
      <c r="H1304" s="435"/>
      <c r="I1304" s="435"/>
      <c r="J1304" s="435"/>
      <c r="K1304" s="435"/>
      <c r="L1304" s="435"/>
      <c r="M1304" s="435"/>
      <c r="N1304" s="435"/>
      <c r="O1304" s="435"/>
      <c r="P1304" s="435"/>
      <c r="Q1304" s="437"/>
      <c r="R1304" s="437"/>
      <c r="S1304" s="437"/>
      <c r="T1304" s="432">
        <f t="shared" si="241"/>
        <v>0</v>
      </c>
    </row>
    <row r="1305" spans="1:20" ht="22.2" hidden="1" customHeight="1">
      <c r="A1305" s="379"/>
      <c r="B1305" s="410" t="s">
        <v>1035</v>
      </c>
      <c r="C1305" s="469" t="str">
        <f t="shared" si="245"/>
        <v xml:space="preserve"> </v>
      </c>
      <c r="D1305" s="440">
        <v>1</v>
      </c>
      <c r="E1305" s="422" t="str">
        <f>VLOOKUP($B1305,[1]DG!A:D,[1]DG!$B$2,)</f>
        <v>06.2110</v>
      </c>
      <c r="F1305" s="434" t="str">
        <f>VLOOKUP($B1305,[1]DG!A:D,[1]DG!$C$2,)</f>
        <v>Lắp cổ dề</v>
      </c>
      <c r="G1305" s="422" t="str">
        <f>VLOOKUP($B1305,[1]DG!A:D,[1]DG!$D$2,)</f>
        <v>cái</v>
      </c>
      <c r="H1305" s="435"/>
      <c r="I1305" s="435"/>
      <c r="J1305" s="435"/>
      <c r="K1305" s="435"/>
      <c r="L1305" s="435"/>
      <c r="M1305" s="435"/>
      <c r="N1305" s="435"/>
      <c r="O1305" s="435"/>
      <c r="P1305" s="435"/>
      <c r="Q1305" s="437"/>
      <c r="R1305" s="437"/>
      <c r="S1305" s="437"/>
      <c r="T1305" s="432">
        <f t="shared" si="241"/>
        <v>0</v>
      </c>
    </row>
    <row r="1306" spans="1:20" ht="22.2" hidden="1" customHeight="1">
      <c r="A1306" s="379"/>
      <c r="B1306" s="410" t="s">
        <v>454</v>
      </c>
      <c r="C1306" s="469" t="str">
        <f t="shared" si="245"/>
        <v xml:space="preserve"> </v>
      </c>
      <c r="D1306" s="440">
        <f>D1290</f>
        <v>1</v>
      </c>
      <c r="E1306" s="422" t="str">
        <f>VLOOKUP($B1306,[1]DG!A:D,[1]DG!$B$2,)</f>
        <v>05.6011</v>
      </c>
      <c r="F1306" s="434" t="str">
        <f>VLOOKUP($B1306,[1]DG!A:D,[1]DG!$C$2,)</f>
        <v>Lắp bộ chống lệch</v>
      </c>
      <c r="G1306" s="422" t="str">
        <f>VLOOKUP($B1306,[1]DG!A:D,[1]DG!$D$2,)</f>
        <v>bộ</v>
      </c>
      <c r="H1306" s="435"/>
      <c r="I1306" s="435"/>
      <c r="J1306" s="435"/>
      <c r="K1306" s="435"/>
      <c r="L1306" s="435"/>
      <c r="M1306" s="435"/>
      <c r="N1306" s="435"/>
      <c r="O1306" s="435"/>
      <c r="P1306" s="435"/>
      <c r="Q1306" s="437"/>
      <c r="R1306" s="437"/>
      <c r="S1306" s="437"/>
      <c r="T1306" s="432">
        <f t="shared" si="241"/>
        <v>0</v>
      </c>
    </row>
    <row r="1307" spans="1:20" ht="22.2" hidden="1" customHeight="1">
      <c r="A1307" s="379"/>
      <c r="B1307" s="438" t="s">
        <v>993</v>
      </c>
      <c r="C1307" s="469" t="str">
        <f t="shared" si="245"/>
        <v xml:space="preserve"> </v>
      </c>
      <c r="D1307" s="439">
        <v>0.02</v>
      </c>
      <c r="E1307" s="422" t="str">
        <f>VLOOKUP($B1307,[1]DG!A:C,2,)</f>
        <v>02.1421</v>
      </c>
      <c r="F1307" s="434" t="str">
        <f>VLOOKUP($B1307,[1]DG!A:C,3,)</f>
        <v>V/c phụ kiện vào vị trí (cự ly &lt;=100m)</v>
      </c>
      <c r="G1307" s="422" t="str">
        <f>VLOOKUP($B1307,[1]DG!A:D,4,0)</f>
        <v>tấn</v>
      </c>
      <c r="H1307" s="435"/>
      <c r="I1307" s="435"/>
      <c r="J1307" s="435"/>
      <c r="K1307" s="435"/>
      <c r="L1307" s="435"/>
      <c r="M1307" s="435"/>
      <c r="N1307" s="435"/>
      <c r="O1307" s="435"/>
      <c r="P1307" s="435"/>
      <c r="Q1307" s="437"/>
      <c r="R1307" s="437"/>
      <c r="S1307" s="437"/>
      <c r="T1307" s="432">
        <f t="shared" si="241"/>
        <v>0</v>
      </c>
    </row>
    <row r="1308" spans="1:20" ht="22.2" hidden="1" customHeight="1">
      <c r="A1308" s="423" t="s">
        <v>1045</v>
      </c>
      <c r="B1308" s="424" t="s">
        <v>1045</v>
      </c>
      <c r="C1308" s="469" t="str">
        <f t="shared" si="245"/>
        <v xml:space="preserve"> </v>
      </c>
      <c r="D1308" s="426"/>
      <c r="E1308" s="427"/>
      <c r="F1308" s="428" t="s">
        <v>1046</v>
      </c>
      <c r="G1308" s="349" t="s">
        <v>67</v>
      </c>
      <c r="H1308" s="429">
        <f>SUM(I1308:O1308)</f>
        <v>0</v>
      </c>
      <c r="I1308" s="430"/>
      <c r="J1308" s="430"/>
      <c r="K1308" s="430">
        <f>IFERROR(HLOOKUP(B1308,[1]pp3p1m!$1:$3,3,0),0)</f>
        <v>0</v>
      </c>
      <c r="L1308" s="430">
        <f>IFERROR(HLOOKUP(chitiet!B1308,[1]pp1p!$1:$3,3,0),0)</f>
        <v>0</v>
      </c>
      <c r="M1308" s="430"/>
      <c r="N1308" s="430"/>
      <c r="O1308" s="430"/>
      <c r="P1308" s="430">
        <f>H1308+Q1308-R1308</f>
        <v>0</v>
      </c>
      <c r="Q1308" s="431"/>
      <c r="R1308" s="431"/>
      <c r="S1308" s="431"/>
      <c r="T1308" s="432">
        <f>IFERROR(HLOOKUP(B1308,[1]pp1p!$1:$3,3,0),0)+IFERROR(HLOOKUP(B1308,[1]pp3p1m!$1:$3,3,0),0)</f>
        <v>0</v>
      </c>
    </row>
    <row r="1309" spans="1:20" ht="22.2" hidden="1" customHeight="1">
      <c r="A1309" s="379"/>
      <c r="B1309" s="410" t="s">
        <v>1031</v>
      </c>
      <c r="C1309" s="469" t="str">
        <f t="shared" si="245"/>
        <v xml:space="preserve"> </v>
      </c>
      <c r="D1309" s="440">
        <v>1</v>
      </c>
      <c r="E1309" s="422"/>
      <c r="F1309" s="441" t="str">
        <f>VLOOKUP($B1309,[1]DG!A:D,[1]DG!$C$2,)&amp;"-Fe8x100 nhuùng keõm"</f>
        <v>Cổ dê Ø 195 nẹp trụ-Fe8x100 nhuùng keõm</v>
      </c>
      <c r="G1309" s="422" t="str">
        <f>VLOOKUP($B1309,[1]DG!A:D,[1]DG!$D$2,)</f>
        <v>bộ</v>
      </c>
      <c r="H1309" s="435">
        <f t="shared" ref="H1309:N1309" si="248">H$1308*$D1309</f>
        <v>0</v>
      </c>
      <c r="I1309" s="435">
        <f t="shared" si="248"/>
        <v>0</v>
      </c>
      <c r="J1309" s="435">
        <f t="shared" si="248"/>
        <v>0</v>
      </c>
      <c r="K1309" s="435">
        <f t="shared" si="248"/>
        <v>0</v>
      </c>
      <c r="L1309" s="435">
        <f t="shared" si="248"/>
        <v>0</v>
      </c>
      <c r="M1309" s="435">
        <f t="shared" si="248"/>
        <v>0</v>
      </c>
      <c r="N1309" s="435">
        <f t="shared" si="248"/>
        <v>0</v>
      </c>
      <c r="O1309" s="435"/>
      <c r="P1309" s="435"/>
      <c r="Q1309" s="442"/>
      <c r="R1309" s="442"/>
      <c r="S1309" s="442"/>
      <c r="T1309" s="432">
        <f t="shared" si="241"/>
        <v>0</v>
      </c>
    </row>
    <row r="1310" spans="1:20" ht="22.2" hidden="1" customHeight="1">
      <c r="A1310" s="379"/>
      <c r="B1310" s="410" t="s">
        <v>1040</v>
      </c>
      <c r="C1310" s="469" t="str">
        <f t="shared" si="245"/>
        <v xml:space="preserve"> </v>
      </c>
      <c r="D1310" s="440">
        <v>1</v>
      </c>
      <c r="E1310" s="422"/>
      <c r="F1310" s="441" t="str">
        <f>VLOOKUP($B1310,[1]DG!A:D,[1]DG!$C$2,)&amp;"-Fe8x100 nhuùng keõm"</f>
        <v>Cổ dê Ø 220 nẹp trụ-Fe8x100 nhuùng keõm</v>
      </c>
      <c r="G1310" s="422" t="str">
        <f>VLOOKUP($B1310,[1]DG!A:D,[1]DG!$D$2,)</f>
        <v>bộ</v>
      </c>
      <c r="H1310" s="435">
        <f t="shared" ref="H1310:N1310" si="249">H$1351*$D1310</f>
        <v>0</v>
      </c>
      <c r="I1310" s="435">
        <f t="shared" si="249"/>
        <v>0</v>
      </c>
      <c r="J1310" s="435">
        <f t="shared" si="249"/>
        <v>0</v>
      </c>
      <c r="K1310" s="435">
        <f t="shared" si="249"/>
        <v>0</v>
      </c>
      <c r="L1310" s="435">
        <f t="shared" si="249"/>
        <v>0</v>
      </c>
      <c r="M1310" s="435">
        <f t="shared" si="249"/>
        <v>0</v>
      </c>
      <c r="N1310" s="435">
        <f t="shared" si="249"/>
        <v>0</v>
      </c>
      <c r="O1310" s="435"/>
      <c r="P1310" s="435"/>
      <c r="Q1310" s="442"/>
      <c r="R1310" s="442"/>
      <c r="S1310" s="442"/>
      <c r="T1310" s="432">
        <f t="shared" si="241"/>
        <v>0</v>
      </c>
    </row>
    <row r="1311" spans="1:20" ht="22.2" hidden="1" customHeight="1">
      <c r="A1311" s="379"/>
      <c r="B1311" s="410" t="s">
        <v>988</v>
      </c>
      <c r="C1311" s="469" t="str">
        <f t="shared" si="245"/>
        <v xml:space="preserve"> </v>
      </c>
      <c r="D1311" s="440">
        <v>2</v>
      </c>
      <c r="E1311" s="422"/>
      <c r="F1311" s="441" t="str">
        <f>VLOOKUP($B1311,[1]DG!A:D,[1]DG!$C$2,)</f>
        <v>Sứ chằng</v>
      </c>
      <c r="G1311" s="422" t="str">
        <f>VLOOKUP($B1311,[1]DG!A:D,[1]DG!$D$2,)</f>
        <v>cái</v>
      </c>
      <c r="H1311" s="435">
        <f t="shared" ref="H1311:N1318" si="250">H$1308*$D1311</f>
        <v>0</v>
      </c>
      <c r="I1311" s="435">
        <f t="shared" si="250"/>
        <v>0</v>
      </c>
      <c r="J1311" s="435">
        <f t="shared" si="250"/>
        <v>0</v>
      </c>
      <c r="K1311" s="435">
        <f t="shared" si="250"/>
        <v>0</v>
      </c>
      <c r="L1311" s="435">
        <f t="shared" si="250"/>
        <v>0</v>
      </c>
      <c r="M1311" s="435">
        <f t="shared" si="250"/>
        <v>0</v>
      </c>
      <c r="N1311" s="435">
        <f t="shared" si="250"/>
        <v>0</v>
      </c>
      <c r="O1311" s="435"/>
      <c r="P1311" s="435"/>
      <c r="Q1311" s="442"/>
      <c r="R1311" s="442"/>
      <c r="S1311" s="442"/>
      <c r="T1311" s="432">
        <f t="shared" si="241"/>
        <v>0</v>
      </c>
    </row>
    <row r="1312" spans="1:20" ht="22.2" hidden="1" customHeight="1">
      <c r="A1312" s="379"/>
      <c r="B1312" s="410" t="s">
        <v>989</v>
      </c>
      <c r="C1312" s="469" t="str">
        <f t="shared" si="245"/>
        <v xml:space="preserve"> </v>
      </c>
      <c r="D1312" s="440">
        <v>16</v>
      </c>
      <c r="E1312" s="422"/>
      <c r="F1312" s="441" t="str">
        <f>VLOOKUP($B1312,[1]DG!A:D,[1]DG!$C$2,)</f>
        <v>Kẹp cáp 3 boulon</v>
      </c>
      <c r="G1312" s="422" t="str">
        <f>VLOOKUP($B1312,[1]DG!A:D,[1]DG!$D$2,)</f>
        <v>cái</v>
      </c>
      <c r="H1312" s="435">
        <f t="shared" si="250"/>
        <v>0</v>
      </c>
      <c r="I1312" s="435">
        <f t="shared" si="250"/>
        <v>0</v>
      </c>
      <c r="J1312" s="435">
        <f t="shared" si="250"/>
        <v>0</v>
      </c>
      <c r="K1312" s="435">
        <f t="shared" si="250"/>
        <v>0</v>
      </c>
      <c r="L1312" s="435">
        <f t="shared" si="250"/>
        <v>0</v>
      </c>
      <c r="M1312" s="435">
        <f t="shared" si="250"/>
        <v>0</v>
      </c>
      <c r="N1312" s="435">
        <f t="shared" si="250"/>
        <v>0</v>
      </c>
      <c r="O1312" s="435"/>
      <c r="P1312" s="435"/>
      <c r="Q1312" s="442"/>
      <c r="R1312" s="442"/>
      <c r="S1312" s="442"/>
      <c r="T1312" s="432">
        <f t="shared" si="241"/>
        <v>0</v>
      </c>
    </row>
    <row r="1313" spans="1:20" ht="22.2" hidden="1" customHeight="1">
      <c r="A1313" s="379"/>
      <c r="B1313" s="478" t="s">
        <v>1032</v>
      </c>
      <c r="C1313" s="469" t="str">
        <f t="shared" si="245"/>
        <v xml:space="preserve"> </v>
      </c>
      <c r="D1313" s="440">
        <v>30</v>
      </c>
      <c r="E1313" s="422"/>
      <c r="F1313" s="441" t="str">
        <f>VLOOKUP($B1313,[1]DG!A:D,[1]DG!$C$2,)</f>
        <v>Kẹp hotline 4/0</v>
      </c>
      <c r="G1313" s="422" t="str">
        <f>VLOOKUP($B1313,[1]DG!A:D,[1]DG!$D$2,)</f>
        <v>cái</v>
      </c>
      <c r="H1313" s="435">
        <f t="shared" si="250"/>
        <v>0</v>
      </c>
      <c r="I1313" s="435">
        <f t="shared" si="250"/>
        <v>0</v>
      </c>
      <c r="J1313" s="435">
        <f t="shared" si="250"/>
        <v>0</v>
      </c>
      <c r="K1313" s="435">
        <f t="shared" si="250"/>
        <v>0</v>
      </c>
      <c r="L1313" s="435">
        <f t="shared" si="250"/>
        <v>0</v>
      </c>
      <c r="M1313" s="435">
        <f t="shared" si="250"/>
        <v>0</v>
      </c>
      <c r="N1313" s="435">
        <f t="shared" si="250"/>
        <v>0</v>
      </c>
      <c r="O1313" s="435"/>
      <c r="P1313" s="435"/>
      <c r="Q1313" s="442"/>
      <c r="R1313" s="442"/>
      <c r="S1313" s="442"/>
      <c r="T1313" s="432">
        <f t="shared" si="241"/>
        <v>0</v>
      </c>
    </row>
    <row r="1314" spans="1:20" ht="22.2" hidden="1" customHeight="1">
      <c r="A1314" s="379"/>
      <c r="B1314" s="410" t="s">
        <v>962</v>
      </c>
      <c r="C1314" s="469" t="str">
        <f t="shared" si="245"/>
        <v xml:space="preserve"> </v>
      </c>
      <c r="D1314" s="440">
        <v>4</v>
      </c>
      <c r="E1314" s="422"/>
      <c r="F1314" s="441" t="str">
        <f>VLOOKUP($B1314,[1]DG!A:D,[1]DG!$C$2,)</f>
        <v>Sắt dẹt 60 x 6</v>
      </c>
      <c r="G1314" s="422" t="str">
        <f>VLOOKUP($B1314,[1]DG!A:D,[1]DG!$D$2,)</f>
        <v>kg</v>
      </c>
      <c r="H1314" s="435">
        <f t="shared" si="250"/>
        <v>0</v>
      </c>
      <c r="I1314" s="435">
        <f t="shared" si="250"/>
        <v>0</v>
      </c>
      <c r="J1314" s="435">
        <f t="shared" si="250"/>
        <v>0</v>
      </c>
      <c r="K1314" s="435">
        <f t="shared" si="250"/>
        <v>0</v>
      </c>
      <c r="L1314" s="435">
        <f t="shared" si="250"/>
        <v>0</v>
      </c>
      <c r="M1314" s="435">
        <f t="shared" si="250"/>
        <v>0</v>
      </c>
      <c r="N1314" s="435">
        <f t="shared" si="250"/>
        <v>0</v>
      </c>
      <c r="O1314" s="435"/>
      <c r="P1314" s="435"/>
      <c r="Q1314" s="442"/>
      <c r="R1314" s="442"/>
      <c r="S1314" s="442"/>
      <c r="T1314" s="432">
        <f t="shared" si="241"/>
        <v>0</v>
      </c>
    </row>
    <row r="1315" spans="1:20" ht="22.2" hidden="1" customHeight="1">
      <c r="A1315" s="379"/>
      <c r="B1315" s="410" t="s">
        <v>1033</v>
      </c>
      <c r="C1315" s="469" t="str">
        <f t="shared" si="245"/>
        <v xml:space="preserve"> </v>
      </c>
      <c r="D1315" s="440">
        <v>2</v>
      </c>
      <c r="E1315" s="422"/>
      <c r="F1315" s="441" t="str">
        <f>VLOOKUP($B1315,[1]DG!A:D,[1]DG!$C$2,)</f>
        <v xml:space="preserve">Móc treo chữ U </v>
      </c>
      <c r="G1315" s="422" t="str">
        <f>VLOOKUP($B1315,[1]DG!A:D,[1]DG!$D$2,)</f>
        <v>cái</v>
      </c>
      <c r="H1315" s="435">
        <f t="shared" si="250"/>
        <v>0</v>
      </c>
      <c r="I1315" s="435">
        <f t="shared" si="250"/>
        <v>0</v>
      </c>
      <c r="J1315" s="435">
        <f t="shared" si="250"/>
        <v>0</v>
      </c>
      <c r="K1315" s="435">
        <f t="shared" si="250"/>
        <v>0</v>
      </c>
      <c r="L1315" s="435">
        <f t="shared" si="250"/>
        <v>0</v>
      </c>
      <c r="M1315" s="435">
        <f t="shared" si="250"/>
        <v>0</v>
      </c>
      <c r="N1315" s="435">
        <f t="shared" si="250"/>
        <v>0</v>
      </c>
      <c r="O1315" s="435"/>
      <c r="P1315" s="435"/>
      <c r="Q1315" s="442"/>
      <c r="R1315" s="442"/>
      <c r="S1315" s="442"/>
      <c r="T1315" s="432">
        <f t="shared" si="241"/>
        <v>0</v>
      </c>
    </row>
    <row r="1316" spans="1:20" ht="22.2" hidden="1" customHeight="1">
      <c r="A1316" s="379"/>
      <c r="B1316" s="479" t="s">
        <v>1034</v>
      </c>
      <c r="C1316" s="469" t="str">
        <f t="shared" si="245"/>
        <v xml:space="preserve"> </v>
      </c>
      <c r="D1316" s="440">
        <v>4</v>
      </c>
      <c r="E1316" s="422"/>
      <c r="F1316" s="441" t="str">
        <f>VLOOKUP($B1316,[1]DG!A:D,[1]DG!$C$2,)</f>
        <v>Boulon 16x100VRS+ 4 long đền vuông D18-50x50x3/Zn</v>
      </c>
      <c r="G1316" s="422" t="str">
        <f>VLOOKUP($B1316,[1]DG!A:D,[1]DG!$D$2,)</f>
        <v>bộ</v>
      </c>
      <c r="H1316" s="435">
        <f t="shared" si="250"/>
        <v>0</v>
      </c>
      <c r="I1316" s="435">
        <f t="shared" si="250"/>
        <v>0</v>
      </c>
      <c r="J1316" s="435">
        <f t="shared" si="250"/>
        <v>0</v>
      </c>
      <c r="K1316" s="435">
        <f t="shared" si="250"/>
        <v>0</v>
      </c>
      <c r="L1316" s="435">
        <f t="shared" si="250"/>
        <v>0</v>
      </c>
      <c r="M1316" s="435">
        <f t="shared" si="250"/>
        <v>0</v>
      </c>
      <c r="N1316" s="435">
        <f t="shared" si="250"/>
        <v>0</v>
      </c>
      <c r="O1316" s="435"/>
      <c r="P1316" s="435"/>
      <c r="Q1316" s="442"/>
      <c r="R1316" s="442"/>
      <c r="S1316" s="442"/>
      <c r="T1316" s="432">
        <f t="shared" si="241"/>
        <v>0</v>
      </c>
    </row>
    <row r="1317" spans="1:20" ht="22.2" hidden="1" customHeight="1">
      <c r="A1317" s="379"/>
      <c r="B1317" s="410" t="s">
        <v>991</v>
      </c>
      <c r="C1317" s="469" t="str">
        <f t="shared" si="245"/>
        <v xml:space="preserve"> </v>
      </c>
      <c r="D1317" s="440">
        <v>4</v>
      </c>
      <c r="E1317" s="422"/>
      <c r="F1317" s="441" t="str">
        <f>VLOOKUP($B1317,[1]DG!A:D,[1]DG!$C$2,)</f>
        <v>Yếm cáp dày 2mm</v>
      </c>
      <c r="G1317" s="422" t="str">
        <f>VLOOKUP($B1317,[1]DG!A:D,[1]DG!$D$2,)</f>
        <v>cái</v>
      </c>
      <c r="H1317" s="435">
        <f t="shared" si="250"/>
        <v>0</v>
      </c>
      <c r="I1317" s="435">
        <f t="shared" si="250"/>
        <v>0</v>
      </c>
      <c r="J1317" s="435">
        <f t="shared" si="250"/>
        <v>0</v>
      </c>
      <c r="K1317" s="435">
        <f t="shared" si="250"/>
        <v>0</v>
      </c>
      <c r="L1317" s="435">
        <f t="shared" si="250"/>
        <v>0</v>
      </c>
      <c r="M1317" s="435">
        <f t="shared" si="250"/>
        <v>0</v>
      </c>
      <c r="N1317" s="435">
        <f t="shared" si="250"/>
        <v>0</v>
      </c>
      <c r="O1317" s="435"/>
      <c r="P1317" s="435"/>
      <c r="Q1317" s="442"/>
      <c r="R1317" s="442"/>
      <c r="S1317" s="442"/>
      <c r="T1317" s="432">
        <f t="shared" si="241"/>
        <v>0</v>
      </c>
    </row>
    <row r="1318" spans="1:20" ht="22.2" hidden="1" customHeight="1">
      <c r="A1318" s="379"/>
      <c r="B1318" s="410" t="s">
        <v>992</v>
      </c>
      <c r="C1318" s="469" t="str">
        <f t="shared" si="245"/>
        <v xml:space="preserve"> </v>
      </c>
      <c r="D1318" s="440">
        <v>2</v>
      </c>
      <c r="E1318" s="422"/>
      <c r="F1318" s="441" t="str">
        <f>VLOOKUP($B1318,[1]DG!A:D,[1]DG!$C$2,)</f>
        <v>Máng che dây chằng dày 1,6mm</v>
      </c>
      <c r="G1318" s="422" t="str">
        <f>VLOOKUP($B1318,[1]DG!A:D,[1]DG!$D$2,)</f>
        <v>cái</v>
      </c>
      <c r="H1318" s="435">
        <f t="shared" si="250"/>
        <v>0</v>
      </c>
      <c r="I1318" s="435">
        <f t="shared" si="250"/>
        <v>0</v>
      </c>
      <c r="J1318" s="435">
        <f t="shared" si="250"/>
        <v>0</v>
      </c>
      <c r="K1318" s="435">
        <f t="shared" si="250"/>
        <v>0</v>
      </c>
      <c r="L1318" s="435">
        <f t="shared" si="250"/>
        <v>0</v>
      </c>
      <c r="M1318" s="435">
        <f t="shared" si="250"/>
        <v>0</v>
      </c>
      <c r="N1318" s="435">
        <f t="shared" si="250"/>
        <v>0</v>
      </c>
      <c r="O1318" s="435"/>
      <c r="P1318" s="435"/>
      <c r="Q1318" s="442"/>
      <c r="R1318" s="442"/>
      <c r="S1318" s="442"/>
      <c r="T1318" s="432">
        <f t="shared" si="241"/>
        <v>0</v>
      </c>
    </row>
    <row r="1319" spans="1:20" ht="22.2" hidden="1" customHeight="1">
      <c r="A1319" s="379"/>
      <c r="B1319" s="410" t="s">
        <v>588</v>
      </c>
      <c r="C1319" s="469" t="str">
        <f t="shared" si="245"/>
        <v xml:space="preserve"> </v>
      </c>
      <c r="D1319" s="440">
        <f>D1309</f>
        <v>1</v>
      </c>
      <c r="E1319" s="422" t="str">
        <f>VLOOKUP($B1319,[1]DG!A:D,[1]DG!$B$2,)</f>
        <v>06.3241</v>
      </c>
      <c r="F1319" s="434" t="str">
        <f>VLOOKUP($B1319,[1]DG!A:D,[1]DG!$C$2,)</f>
        <v>Lắp bộ dây néo</v>
      </c>
      <c r="G1319" s="422" t="str">
        <f>VLOOKUP($B1319,[1]DG!A:D,[1]DG!$D$2,)</f>
        <v>bộ</v>
      </c>
      <c r="H1319" s="435"/>
      <c r="I1319" s="435"/>
      <c r="J1319" s="435"/>
      <c r="K1319" s="435"/>
      <c r="L1319" s="435"/>
      <c r="M1319" s="435"/>
      <c r="N1319" s="435"/>
      <c r="O1319" s="435"/>
      <c r="P1319" s="435"/>
      <c r="Q1319" s="437"/>
      <c r="R1319" s="437"/>
      <c r="S1319" s="437"/>
      <c r="T1319" s="432">
        <f t="shared" si="241"/>
        <v>0</v>
      </c>
    </row>
    <row r="1320" spans="1:20" ht="22.2" hidden="1" customHeight="1">
      <c r="A1320" s="379"/>
      <c r="B1320" s="410" t="s">
        <v>1035</v>
      </c>
      <c r="C1320" s="469" t="str">
        <f t="shared" si="245"/>
        <v xml:space="preserve"> </v>
      </c>
      <c r="D1320" s="440">
        <v>2</v>
      </c>
      <c r="E1320" s="422" t="str">
        <f>VLOOKUP($B1320,[1]DG!A:D,[1]DG!$B$2,)</f>
        <v>06.2110</v>
      </c>
      <c r="F1320" s="434" t="str">
        <f>VLOOKUP($B1320,[1]DG!A:D,[1]DG!$C$2,)</f>
        <v>Lắp cổ dề</v>
      </c>
      <c r="G1320" s="422" t="str">
        <f>VLOOKUP($B1320,[1]DG!A:D,[1]DG!$D$2,)</f>
        <v>cái</v>
      </c>
      <c r="H1320" s="435"/>
      <c r="I1320" s="435"/>
      <c r="J1320" s="435"/>
      <c r="K1320" s="435"/>
      <c r="L1320" s="435"/>
      <c r="M1320" s="435"/>
      <c r="N1320" s="435"/>
      <c r="O1320" s="435"/>
      <c r="P1320" s="435"/>
      <c r="Q1320" s="437"/>
      <c r="R1320" s="437"/>
      <c r="S1320" s="437"/>
      <c r="T1320" s="432">
        <f t="shared" si="241"/>
        <v>0</v>
      </c>
    </row>
    <row r="1321" spans="1:20" ht="22.2" hidden="1" customHeight="1">
      <c r="A1321" s="379"/>
      <c r="B1321" s="438" t="s">
        <v>993</v>
      </c>
      <c r="C1321" s="469" t="str">
        <f t="shared" si="245"/>
        <v xml:space="preserve"> </v>
      </c>
      <c r="D1321" s="439">
        <v>0.02</v>
      </c>
      <c r="E1321" s="422" t="str">
        <f>VLOOKUP($B1321,[1]DG!A:C,2,)</f>
        <v>02.1421</v>
      </c>
      <c r="F1321" s="434" t="str">
        <f>VLOOKUP($B1321,[1]DG!A:C,3,)</f>
        <v>V/c phụ kiện vào vị trí (cự ly &lt;=100m)</v>
      </c>
      <c r="G1321" s="422" t="str">
        <f>VLOOKUP($B1321,[1]DG!A:D,4,0)</f>
        <v>tấn</v>
      </c>
      <c r="H1321" s="435"/>
      <c r="I1321" s="435"/>
      <c r="J1321" s="435"/>
      <c r="K1321" s="435"/>
      <c r="L1321" s="435"/>
      <c r="M1321" s="435"/>
      <c r="N1321" s="435"/>
      <c r="O1321" s="435"/>
      <c r="P1321" s="435"/>
      <c r="Q1321" s="437"/>
      <c r="R1321" s="437"/>
      <c r="S1321" s="437"/>
      <c r="T1321" s="432">
        <f t="shared" si="241"/>
        <v>0</v>
      </c>
    </row>
    <row r="1322" spans="1:20" ht="22.2" hidden="1" customHeight="1">
      <c r="A1322" s="423" t="s">
        <v>1047</v>
      </c>
      <c r="B1322" s="424" t="s">
        <v>1047</v>
      </c>
      <c r="C1322" s="469" t="str">
        <f t="shared" si="245"/>
        <v xml:space="preserve"> </v>
      </c>
      <c r="D1322" s="426"/>
      <c r="E1322" s="427"/>
      <c r="F1322" s="428" t="s">
        <v>1048</v>
      </c>
      <c r="G1322" s="349" t="s">
        <v>67</v>
      </c>
      <c r="H1322" s="429">
        <f>SUM(I1322:O1322)</f>
        <v>0</v>
      </c>
      <c r="I1322" s="430"/>
      <c r="J1322" s="430"/>
      <c r="K1322" s="430">
        <f>IFERROR(HLOOKUP(B1322,[1]pp3p1m!$1:$3,3,0),0)</f>
        <v>0</v>
      </c>
      <c r="L1322" s="430">
        <f>IFERROR(HLOOKUP(chitiet!B1322,[1]pp1p!$1:$3,3,0),0)</f>
        <v>0</v>
      </c>
      <c r="M1322" s="430"/>
      <c r="N1322" s="430"/>
      <c r="O1322" s="430"/>
      <c r="P1322" s="430">
        <f>H1322+Q1322-R1322</f>
        <v>0</v>
      </c>
      <c r="Q1322" s="431"/>
      <c r="R1322" s="431"/>
      <c r="S1322" s="431"/>
      <c r="T1322" s="432">
        <f>IFERROR(HLOOKUP(B1322,[1]pp1p!$1:$3,3,0),0)+IFERROR(HLOOKUP(B1322,[1]pp3p1m!$1:$3,3,0),0)</f>
        <v>0</v>
      </c>
    </row>
    <row r="1323" spans="1:20" ht="22.2" hidden="1" customHeight="1">
      <c r="A1323" s="379"/>
      <c r="B1323" s="410" t="s">
        <v>1031</v>
      </c>
      <c r="C1323" s="469" t="str">
        <f t="shared" si="245"/>
        <v xml:space="preserve"> </v>
      </c>
      <c r="D1323" s="440">
        <v>1</v>
      </c>
      <c r="E1323" s="422"/>
      <c r="F1323" s="441" t="str">
        <f>VLOOKUP($B1323,[1]DG!A:D,[1]DG!$C$2,)&amp;"-Fe8x100 nhuùng keõm"</f>
        <v>Cổ dê Ø 195 nẹp trụ-Fe8x100 nhuùng keõm</v>
      </c>
      <c r="G1323" s="422" t="str">
        <f>VLOOKUP($B1323,[1]DG!A:D,[1]DG!$D$2,)</f>
        <v>bộ</v>
      </c>
      <c r="H1323" s="435">
        <f t="shared" ref="H1323:N1331" si="251">H$1322*$D1323</f>
        <v>0</v>
      </c>
      <c r="I1323" s="435">
        <f t="shared" si="251"/>
        <v>0</v>
      </c>
      <c r="J1323" s="435">
        <f t="shared" si="251"/>
        <v>0</v>
      </c>
      <c r="K1323" s="435">
        <f t="shared" si="251"/>
        <v>0</v>
      </c>
      <c r="L1323" s="435">
        <f t="shared" si="251"/>
        <v>0</v>
      </c>
      <c r="M1323" s="435">
        <f t="shared" si="251"/>
        <v>0</v>
      </c>
      <c r="N1323" s="435">
        <f t="shared" si="251"/>
        <v>0</v>
      </c>
      <c r="O1323" s="435"/>
      <c r="P1323" s="435"/>
      <c r="Q1323" s="442"/>
      <c r="R1323" s="442"/>
      <c r="S1323" s="442"/>
      <c r="T1323" s="432">
        <f t="shared" ref="T1323:T1386" si="252">IFERROR(HLOOKUP(B1323,BangKeTru,3,0),0)</f>
        <v>0</v>
      </c>
    </row>
    <row r="1324" spans="1:20" ht="22.2" hidden="1" customHeight="1">
      <c r="A1324" s="379"/>
      <c r="B1324" s="410" t="s">
        <v>988</v>
      </c>
      <c r="C1324" s="469" t="str">
        <f t="shared" si="245"/>
        <v xml:space="preserve"> </v>
      </c>
      <c r="D1324" s="440">
        <v>2</v>
      </c>
      <c r="E1324" s="422"/>
      <c r="F1324" s="441" t="str">
        <f>VLOOKUP($B1324,[1]DG!A:D,[1]DG!$C$2,)</f>
        <v>Sứ chằng</v>
      </c>
      <c r="G1324" s="422" t="str">
        <f>VLOOKUP($B1324,[1]DG!A:D,[1]DG!$D$2,)</f>
        <v>cái</v>
      </c>
      <c r="H1324" s="435">
        <f t="shared" si="251"/>
        <v>0</v>
      </c>
      <c r="I1324" s="435">
        <f t="shared" si="251"/>
        <v>0</v>
      </c>
      <c r="J1324" s="435">
        <f t="shared" si="251"/>
        <v>0</v>
      </c>
      <c r="K1324" s="435">
        <f t="shared" si="251"/>
        <v>0</v>
      </c>
      <c r="L1324" s="435">
        <f t="shared" si="251"/>
        <v>0</v>
      </c>
      <c r="M1324" s="435">
        <f t="shared" si="251"/>
        <v>0</v>
      </c>
      <c r="N1324" s="435">
        <f t="shared" si="251"/>
        <v>0</v>
      </c>
      <c r="O1324" s="435"/>
      <c r="P1324" s="435"/>
      <c r="Q1324" s="442"/>
      <c r="R1324" s="442"/>
      <c r="S1324" s="442"/>
      <c r="T1324" s="432">
        <f t="shared" si="252"/>
        <v>0</v>
      </c>
    </row>
    <row r="1325" spans="1:20" ht="22.2" hidden="1" customHeight="1">
      <c r="A1325" s="379"/>
      <c r="B1325" s="410" t="s">
        <v>989</v>
      </c>
      <c r="C1325" s="469" t="str">
        <f t="shared" si="245"/>
        <v xml:space="preserve"> </v>
      </c>
      <c r="D1325" s="440">
        <v>8</v>
      </c>
      <c r="E1325" s="422"/>
      <c r="F1325" s="441" t="str">
        <f>VLOOKUP($B1325,[1]DG!A:D,[1]DG!$C$2,)</f>
        <v>Kẹp cáp 3 boulon</v>
      </c>
      <c r="G1325" s="422" t="str">
        <f>VLOOKUP($B1325,[1]DG!A:D,[1]DG!$D$2,)</f>
        <v>cái</v>
      </c>
      <c r="H1325" s="435">
        <f t="shared" si="251"/>
        <v>0</v>
      </c>
      <c r="I1325" s="435">
        <f t="shared" si="251"/>
        <v>0</v>
      </c>
      <c r="J1325" s="435">
        <f t="shared" si="251"/>
        <v>0</v>
      </c>
      <c r="K1325" s="435">
        <f t="shared" si="251"/>
        <v>0</v>
      </c>
      <c r="L1325" s="435">
        <f t="shared" si="251"/>
        <v>0</v>
      </c>
      <c r="M1325" s="435">
        <f t="shared" si="251"/>
        <v>0</v>
      </c>
      <c r="N1325" s="435">
        <f t="shared" si="251"/>
        <v>0</v>
      </c>
      <c r="O1325" s="435"/>
      <c r="P1325" s="435"/>
      <c r="Q1325" s="442"/>
      <c r="R1325" s="442"/>
      <c r="S1325" s="442"/>
      <c r="T1325" s="432">
        <f t="shared" si="252"/>
        <v>0</v>
      </c>
    </row>
    <row r="1326" spans="1:20" ht="22.2" hidden="1" customHeight="1">
      <c r="A1326" s="379"/>
      <c r="B1326" s="478" t="s">
        <v>1032</v>
      </c>
      <c r="C1326" s="469" t="str">
        <f t="shared" si="245"/>
        <v xml:space="preserve"> </v>
      </c>
      <c r="D1326" s="440">
        <v>19</v>
      </c>
      <c r="E1326" s="422"/>
      <c r="F1326" s="441" t="str">
        <f>VLOOKUP($B1326,[1]DG!A:D,[1]DG!$C$2,)</f>
        <v>Kẹp hotline 4/0</v>
      </c>
      <c r="G1326" s="422" t="str">
        <f>VLOOKUP($B1326,[1]DG!A:D,[1]DG!$D$2,)</f>
        <v>cái</v>
      </c>
      <c r="H1326" s="435">
        <f t="shared" si="251"/>
        <v>0</v>
      </c>
      <c r="I1326" s="435">
        <f t="shared" si="251"/>
        <v>0</v>
      </c>
      <c r="J1326" s="435">
        <f t="shared" si="251"/>
        <v>0</v>
      </c>
      <c r="K1326" s="435">
        <f t="shared" si="251"/>
        <v>0</v>
      </c>
      <c r="L1326" s="435">
        <f t="shared" si="251"/>
        <v>0</v>
      </c>
      <c r="M1326" s="435">
        <f t="shared" si="251"/>
        <v>0</v>
      </c>
      <c r="N1326" s="435">
        <f t="shared" si="251"/>
        <v>0</v>
      </c>
      <c r="O1326" s="435"/>
      <c r="P1326" s="435"/>
      <c r="Q1326" s="442"/>
      <c r="R1326" s="442"/>
      <c r="S1326" s="442"/>
      <c r="T1326" s="432">
        <f t="shared" si="252"/>
        <v>0</v>
      </c>
    </row>
    <row r="1327" spans="1:20" ht="22.2" hidden="1" customHeight="1">
      <c r="A1327" s="379"/>
      <c r="B1327" s="410" t="s">
        <v>962</v>
      </c>
      <c r="C1327" s="469" t="str">
        <f t="shared" si="245"/>
        <v xml:space="preserve"> </v>
      </c>
      <c r="D1327" s="440">
        <v>2</v>
      </c>
      <c r="E1327" s="422"/>
      <c r="F1327" s="441" t="str">
        <f>VLOOKUP($B1327,[1]DG!A:D,[1]DG!$C$2,)</f>
        <v>Sắt dẹt 60 x 6</v>
      </c>
      <c r="G1327" s="422" t="str">
        <f>VLOOKUP($B1327,[1]DG!A:D,[1]DG!$D$2,)</f>
        <v>kg</v>
      </c>
      <c r="H1327" s="435">
        <f t="shared" si="251"/>
        <v>0</v>
      </c>
      <c r="I1327" s="435">
        <f t="shared" si="251"/>
        <v>0</v>
      </c>
      <c r="J1327" s="435">
        <f t="shared" si="251"/>
        <v>0</v>
      </c>
      <c r="K1327" s="435">
        <f t="shared" si="251"/>
        <v>0</v>
      </c>
      <c r="L1327" s="435">
        <f t="shared" si="251"/>
        <v>0</v>
      </c>
      <c r="M1327" s="435">
        <f t="shared" si="251"/>
        <v>0</v>
      </c>
      <c r="N1327" s="435">
        <f t="shared" si="251"/>
        <v>0</v>
      </c>
      <c r="O1327" s="435"/>
      <c r="P1327" s="435"/>
      <c r="Q1327" s="442"/>
      <c r="R1327" s="442"/>
      <c r="S1327" s="442"/>
      <c r="T1327" s="432">
        <f t="shared" si="252"/>
        <v>0</v>
      </c>
    </row>
    <row r="1328" spans="1:20" ht="22.2" hidden="1" customHeight="1">
      <c r="A1328" s="379"/>
      <c r="B1328" s="410" t="s">
        <v>1033</v>
      </c>
      <c r="C1328" s="469" t="str">
        <f t="shared" si="245"/>
        <v xml:space="preserve"> </v>
      </c>
      <c r="D1328" s="440">
        <v>1</v>
      </c>
      <c r="E1328" s="422"/>
      <c r="F1328" s="441" t="str">
        <f>VLOOKUP($B1328,[1]DG!A:D,[1]DG!$C$2,)</f>
        <v xml:space="preserve">Móc treo chữ U </v>
      </c>
      <c r="G1328" s="422" t="str">
        <f>VLOOKUP($B1328,[1]DG!A:D,[1]DG!$D$2,)</f>
        <v>cái</v>
      </c>
      <c r="H1328" s="435">
        <f t="shared" si="251"/>
        <v>0</v>
      </c>
      <c r="I1328" s="435">
        <f t="shared" si="251"/>
        <v>0</v>
      </c>
      <c r="J1328" s="435">
        <f t="shared" si="251"/>
        <v>0</v>
      </c>
      <c r="K1328" s="435">
        <f t="shared" si="251"/>
        <v>0</v>
      </c>
      <c r="L1328" s="435">
        <f t="shared" si="251"/>
        <v>0</v>
      </c>
      <c r="M1328" s="435">
        <f t="shared" si="251"/>
        <v>0</v>
      </c>
      <c r="N1328" s="435">
        <f t="shared" si="251"/>
        <v>0</v>
      </c>
      <c r="O1328" s="435"/>
      <c r="P1328" s="435"/>
      <c r="Q1328" s="442"/>
      <c r="R1328" s="442"/>
      <c r="S1328" s="442"/>
      <c r="T1328" s="432">
        <f t="shared" si="252"/>
        <v>0</v>
      </c>
    </row>
    <row r="1329" spans="1:20" ht="22.2" hidden="1" customHeight="1">
      <c r="A1329" s="379"/>
      <c r="B1329" s="479" t="s">
        <v>1034</v>
      </c>
      <c r="C1329" s="469" t="str">
        <f t="shared" si="245"/>
        <v xml:space="preserve"> </v>
      </c>
      <c r="D1329" s="440">
        <v>2</v>
      </c>
      <c r="E1329" s="422"/>
      <c r="F1329" s="441" t="str">
        <f>VLOOKUP($B1329,[1]DG!A:D,[1]DG!$C$2,)</f>
        <v>Boulon 16x100VRS+ 4 long đền vuông D18-50x50x3/Zn</v>
      </c>
      <c r="G1329" s="422" t="str">
        <f>VLOOKUP($B1329,[1]DG!A:D,[1]DG!$D$2,)</f>
        <v>bộ</v>
      </c>
      <c r="H1329" s="435">
        <f t="shared" si="251"/>
        <v>0</v>
      </c>
      <c r="I1329" s="435">
        <f t="shared" si="251"/>
        <v>0</v>
      </c>
      <c r="J1329" s="435">
        <f t="shared" si="251"/>
        <v>0</v>
      </c>
      <c r="K1329" s="435">
        <f t="shared" si="251"/>
        <v>0</v>
      </c>
      <c r="L1329" s="435">
        <f t="shared" si="251"/>
        <v>0</v>
      </c>
      <c r="M1329" s="435">
        <f t="shared" si="251"/>
        <v>0</v>
      </c>
      <c r="N1329" s="435">
        <f t="shared" si="251"/>
        <v>0</v>
      </c>
      <c r="O1329" s="435"/>
      <c r="P1329" s="435"/>
      <c r="Q1329" s="442"/>
      <c r="R1329" s="442"/>
      <c r="S1329" s="442"/>
      <c r="T1329" s="432">
        <f t="shared" si="252"/>
        <v>0</v>
      </c>
    </row>
    <row r="1330" spans="1:20" ht="22.2" hidden="1" customHeight="1">
      <c r="A1330" s="379"/>
      <c r="B1330" s="410" t="s">
        <v>991</v>
      </c>
      <c r="C1330" s="469" t="str">
        <f t="shared" si="245"/>
        <v xml:space="preserve"> </v>
      </c>
      <c r="D1330" s="440">
        <v>2</v>
      </c>
      <c r="E1330" s="422"/>
      <c r="F1330" s="441" t="str">
        <f>VLOOKUP($B1330,[1]DG!A:D,[1]DG!$C$2,)</f>
        <v>Yếm cáp dày 2mm</v>
      </c>
      <c r="G1330" s="422" t="str">
        <f>VLOOKUP($B1330,[1]DG!A:D,[1]DG!$D$2,)</f>
        <v>cái</v>
      </c>
      <c r="H1330" s="435">
        <f t="shared" si="251"/>
        <v>0</v>
      </c>
      <c r="I1330" s="435">
        <f t="shared" si="251"/>
        <v>0</v>
      </c>
      <c r="J1330" s="435">
        <f t="shared" si="251"/>
        <v>0</v>
      </c>
      <c r="K1330" s="435">
        <f t="shared" si="251"/>
        <v>0</v>
      </c>
      <c r="L1330" s="435">
        <f t="shared" si="251"/>
        <v>0</v>
      </c>
      <c r="M1330" s="435">
        <f t="shared" si="251"/>
        <v>0</v>
      </c>
      <c r="N1330" s="435">
        <f t="shared" si="251"/>
        <v>0</v>
      </c>
      <c r="O1330" s="435"/>
      <c r="P1330" s="435"/>
      <c r="Q1330" s="442"/>
      <c r="R1330" s="442"/>
      <c r="S1330" s="442"/>
      <c r="T1330" s="432">
        <f t="shared" si="252"/>
        <v>0</v>
      </c>
    </row>
    <row r="1331" spans="1:20" ht="22.2" hidden="1" customHeight="1">
      <c r="A1331" s="379"/>
      <c r="B1331" s="410" t="s">
        <v>992</v>
      </c>
      <c r="C1331" s="469" t="str">
        <f t="shared" si="245"/>
        <v xml:space="preserve"> </v>
      </c>
      <c r="D1331" s="440">
        <v>1</v>
      </c>
      <c r="E1331" s="422"/>
      <c r="F1331" s="441" t="str">
        <f>VLOOKUP($B1331,[1]DG!A:D,[1]DG!$C$2,)</f>
        <v>Máng che dây chằng dày 1,6mm</v>
      </c>
      <c r="G1331" s="422" t="str">
        <f>VLOOKUP($B1331,[1]DG!A:D,[1]DG!$D$2,)</f>
        <v>cái</v>
      </c>
      <c r="H1331" s="435">
        <f t="shared" si="251"/>
        <v>0</v>
      </c>
      <c r="I1331" s="435">
        <f t="shared" si="251"/>
        <v>0</v>
      </c>
      <c r="J1331" s="435">
        <f t="shared" si="251"/>
        <v>0</v>
      </c>
      <c r="K1331" s="435">
        <f t="shared" si="251"/>
        <v>0</v>
      </c>
      <c r="L1331" s="435">
        <f t="shared" si="251"/>
        <v>0</v>
      </c>
      <c r="M1331" s="435">
        <f t="shared" si="251"/>
        <v>0</v>
      </c>
      <c r="N1331" s="435">
        <f t="shared" si="251"/>
        <v>0</v>
      </c>
      <c r="O1331" s="435"/>
      <c r="P1331" s="435"/>
      <c r="Q1331" s="442"/>
      <c r="R1331" s="442"/>
      <c r="S1331" s="442"/>
      <c r="T1331" s="432">
        <f t="shared" si="252"/>
        <v>0</v>
      </c>
    </row>
    <row r="1332" spans="1:20" ht="22.2" hidden="1" customHeight="1">
      <c r="A1332" s="379"/>
      <c r="B1332" s="410" t="s">
        <v>588</v>
      </c>
      <c r="C1332" s="469" t="str">
        <f t="shared" si="245"/>
        <v xml:space="preserve"> </v>
      </c>
      <c r="D1332" s="440">
        <f>D1323</f>
        <v>1</v>
      </c>
      <c r="E1332" s="422" t="str">
        <f>VLOOKUP($B1332,[1]DG!A:D,[1]DG!$B$2,)</f>
        <v>06.3241</v>
      </c>
      <c r="F1332" s="434" t="str">
        <f>VLOOKUP($B1332,[1]DG!A:D,[1]DG!$C$2,)</f>
        <v>Lắp bộ dây néo</v>
      </c>
      <c r="G1332" s="422" t="str">
        <f>VLOOKUP($B1332,[1]DG!A:D,[1]DG!$D$2,)</f>
        <v>bộ</v>
      </c>
      <c r="H1332" s="435"/>
      <c r="I1332" s="435"/>
      <c r="J1332" s="435"/>
      <c r="K1332" s="435"/>
      <c r="L1332" s="435"/>
      <c r="M1332" s="435"/>
      <c r="N1332" s="435"/>
      <c r="O1332" s="435"/>
      <c r="P1332" s="435"/>
      <c r="Q1332" s="437"/>
      <c r="R1332" s="437"/>
      <c r="S1332" s="437"/>
      <c r="T1332" s="432">
        <f t="shared" si="252"/>
        <v>0</v>
      </c>
    </row>
    <row r="1333" spans="1:20" ht="22.2" hidden="1" customHeight="1">
      <c r="A1333" s="379"/>
      <c r="B1333" s="410" t="s">
        <v>1035</v>
      </c>
      <c r="C1333" s="469" t="str">
        <f t="shared" si="245"/>
        <v xml:space="preserve"> </v>
      </c>
      <c r="D1333" s="440">
        <v>1</v>
      </c>
      <c r="E1333" s="422" t="str">
        <f>VLOOKUP($B1333,[1]DG!A:D,[1]DG!$B$2,)</f>
        <v>06.2110</v>
      </c>
      <c r="F1333" s="434" t="str">
        <f>VLOOKUP($B1333,[1]DG!A:D,[1]DG!$C$2,)</f>
        <v>Lắp cổ dề</v>
      </c>
      <c r="G1333" s="422" t="str">
        <f>VLOOKUP($B1333,[1]DG!A:D,[1]DG!$D$2,)</f>
        <v>cái</v>
      </c>
      <c r="H1333" s="435"/>
      <c r="I1333" s="435"/>
      <c r="J1333" s="435"/>
      <c r="K1333" s="435"/>
      <c r="L1333" s="435"/>
      <c r="M1333" s="435"/>
      <c r="N1333" s="435"/>
      <c r="O1333" s="435"/>
      <c r="P1333" s="435"/>
      <c r="Q1333" s="437"/>
      <c r="R1333" s="437"/>
      <c r="S1333" s="437"/>
      <c r="T1333" s="432">
        <f t="shared" si="252"/>
        <v>0</v>
      </c>
    </row>
    <row r="1334" spans="1:20" ht="22.2" hidden="1" customHeight="1">
      <c r="A1334" s="379"/>
      <c r="B1334" s="438" t="s">
        <v>993</v>
      </c>
      <c r="C1334" s="469" t="str">
        <f t="shared" si="245"/>
        <v xml:space="preserve"> </v>
      </c>
      <c r="D1334" s="439">
        <v>0.02</v>
      </c>
      <c r="E1334" s="422" t="str">
        <f>VLOOKUP($B1334,[1]DG!A:C,2,)</f>
        <v>02.1421</v>
      </c>
      <c r="F1334" s="434" t="str">
        <f>VLOOKUP($B1334,[1]DG!A:C,3,)</f>
        <v>V/c phụ kiện vào vị trí (cự ly &lt;=100m)</v>
      </c>
      <c r="G1334" s="422" t="str">
        <f>VLOOKUP($B1334,[1]DG!A:D,4,0)</f>
        <v>tấn</v>
      </c>
      <c r="H1334" s="435"/>
      <c r="I1334" s="435"/>
      <c r="J1334" s="435"/>
      <c r="K1334" s="435"/>
      <c r="L1334" s="435"/>
      <c r="M1334" s="435"/>
      <c r="N1334" s="435"/>
      <c r="O1334" s="435"/>
      <c r="P1334" s="435"/>
      <c r="Q1334" s="437"/>
      <c r="R1334" s="437"/>
      <c r="S1334" s="437"/>
      <c r="T1334" s="432">
        <f t="shared" si="252"/>
        <v>0</v>
      </c>
    </row>
    <row r="1335" spans="1:20" ht="22.2" hidden="1" customHeight="1">
      <c r="A1335" s="423" t="s">
        <v>1049</v>
      </c>
      <c r="B1335" s="424" t="s">
        <v>1049</v>
      </c>
      <c r="C1335" s="469" t="str">
        <f t="shared" si="245"/>
        <v xml:space="preserve"> </v>
      </c>
      <c r="D1335" s="426"/>
      <c r="E1335" s="427"/>
      <c r="F1335" s="428" t="s">
        <v>1050</v>
      </c>
      <c r="G1335" s="349" t="s">
        <v>67</v>
      </c>
      <c r="H1335" s="429">
        <f>SUM(I1335:O1335)</f>
        <v>0</v>
      </c>
      <c r="I1335" s="430"/>
      <c r="J1335" s="430"/>
      <c r="K1335" s="430">
        <f>IFERROR(HLOOKUP(B1335,[1]pp3p1m!$1:$3,3,0),0)</f>
        <v>0</v>
      </c>
      <c r="L1335" s="430">
        <f>IFERROR(HLOOKUP(chitiet!B1335,[1]pp1p!$1:$3,3,0),0)</f>
        <v>0</v>
      </c>
      <c r="M1335" s="430"/>
      <c r="N1335" s="430"/>
      <c r="O1335" s="430"/>
      <c r="P1335" s="430">
        <f>H1335+Q1335-R1335</f>
        <v>0</v>
      </c>
      <c r="Q1335" s="431"/>
      <c r="R1335" s="431"/>
      <c r="S1335" s="431"/>
      <c r="T1335" s="432">
        <f>IFERROR(HLOOKUP(B1335,[1]pp1p!$1:$3,3,0),0)+IFERROR(HLOOKUP(B1335,[1]pp3p1m!$1:$3,3,0),0)</f>
        <v>0</v>
      </c>
    </row>
    <row r="1336" spans="1:20" ht="22.2" hidden="1" customHeight="1">
      <c r="A1336" s="379"/>
      <c r="B1336" s="410" t="s">
        <v>1031</v>
      </c>
      <c r="C1336" s="469" t="str">
        <f t="shared" si="245"/>
        <v xml:space="preserve"> </v>
      </c>
      <c r="D1336" s="440">
        <v>1</v>
      </c>
      <c r="E1336" s="422"/>
      <c r="F1336" s="441" t="str">
        <f>VLOOKUP($B1336,[1]DG!A:D,[1]DG!$C$2,)&amp;"-Fe8x100 nhuùng keõm"</f>
        <v>Cổ dê Ø 195 nẹp trụ-Fe8x100 nhuùng keõm</v>
      </c>
      <c r="G1336" s="422" t="str">
        <f>VLOOKUP($B1336,[1]DG!A:D,[1]DG!$D$2,)</f>
        <v>bộ</v>
      </c>
      <c r="H1336" s="435">
        <f t="shared" ref="H1336:N1346" si="253">H$1335*$D1336</f>
        <v>0</v>
      </c>
      <c r="I1336" s="435">
        <f t="shared" si="253"/>
        <v>0</v>
      </c>
      <c r="J1336" s="435">
        <f t="shared" si="253"/>
        <v>0</v>
      </c>
      <c r="K1336" s="435">
        <f t="shared" si="253"/>
        <v>0</v>
      </c>
      <c r="L1336" s="435">
        <f t="shared" si="253"/>
        <v>0</v>
      </c>
      <c r="M1336" s="435">
        <f t="shared" si="253"/>
        <v>0</v>
      </c>
      <c r="N1336" s="435">
        <f t="shared" si="253"/>
        <v>0</v>
      </c>
      <c r="O1336" s="435"/>
      <c r="P1336" s="435"/>
      <c r="Q1336" s="442"/>
      <c r="R1336" s="442"/>
      <c r="S1336" s="442"/>
      <c r="T1336" s="432">
        <f t="shared" si="252"/>
        <v>0</v>
      </c>
    </row>
    <row r="1337" spans="1:20" ht="22.2" hidden="1" customHeight="1">
      <c r="A1337" s="379"/>
      <c r="B1337" s="410" t="s">
        <v>988</v>
      </c>
      <c r="C1337" s="469" t="str">
        <f t="shared" si="245"/>
        <v xml:space="preserve"> </v>
      </c>
      <c r="D1337" s="440">
        <v>1</v>
      </c>
      <c r="E1337" s="422"/>
      <c r="F1337" s="441" t="str">
        <f>VLOOKUP($B1337,[1]DG!A:D,[1]DG!$C$2,)</f>
        <v>Sứ chằng</v>
      </c>
      <c r="G1337" s="422" t="str">
        <f>VLOOKUP($B1337,[1]DG!A:D,[1]DG!$D$2,)</f>
        <v>cái</v>
      </c>
      <c r="H1337" s="435">
        <f t="shared" si="253"/>
        <v>0</v>
      </c>
      <c r="I1337" s="435">
        <f t="shared" si="253"/>
        <v>0</v>
      </c>
      <c r="J1337" s="435">
        <f t="shared" si="253"/>
        <v>0</v>
      </c>
      <c r="K1337" s="435">
        <f t="shared" si="253"/>
        <v>0</v>
      </c>
      <c r="L1337" s="435">
        <f t="shared" si="253"/>
        <v>0</v>
      </c>
      <c r="M1337" s="435">
        <f t="shared" si="253"/>
        <v>0</v>
      </c>
      <c r="N1337" s="435">
        <f t="shared" si="253"/>
        <v>0</v>
      </c>
      <c r="O1337" s="435"/>
      <c r="P1337" s="435"/>
      <c r="Q1337" s="442"/>
      <c r="R1337" s="442"/>
      <c r="S1337" s="442"/>
      <c r="T1337" s="432">
        <f t="shared" si="252"/>
        <v>0</v>
      </c>
    </row>
    <row r="1338" spans="1:20" ht="22.2" hidden="1" customHeight="1">
      <c r="A1338" s="379"/>
      <c r="B1338" s="410" t="s">
        <v>989</v>
      </c>
      <c r="C1338" s="469" t="str">
        <f t="shared" ref="C1338:C1401" si="254">IF(OR(P1338&lt;&gt;0,H1338&lt;&gt;0),"x"," ")</f>
        <v xml:space="preserve"> </v>
      </c>
      <c r="D1338" s="440">
        <v>8</v>
      </c>
      <c r="E1338" s="422"/>
      <c r="F1338" s="441" t="str">
        <f>VLOOKUP($B1338,[1]DG!A:D,[1]DG!$C$2,)</f>
        <v>Kẹp cáp 3 boulon</v>
      </c>
      <c r="G1338" s="422" t="str">
        <f>VLOOKUP($B1338,[1]DG!A:D,[1]DG!$D$2,)</f>
        <v>cái</v>
      </c>
      <c r="H1338" s="435">
        <f t="shared" si="253"/>
        <v>0</v>
      </c>
      <c r="I1338" s="435">
        <f t="shared" si="253"/>
        <v>0</v>
      </c>
      <c r="J1338" s="435">
        <f t="shared" si="253"/>
        <v>0</v>
      </c>
      <c r="K1338" s="435">
        <f t="shared" si="253"/>
        <v>0</v>
      </c>
      <c r="L1338" s="435">
        <f t="shared" si="253"/>
        <v>0</v>
      </c>
      <c r="M1338" s="435">
        <f t="shared" si="253"/>
        <v>0</v>
      </c>
      <c r="N1338" s="435">
        <f t="shared" si="253"/>
        <v>0</v>
      </c>
      <c r="O1338" s="435"/>
      <c r="P1338" s="435"/>
      <c r="Q1338" s="442"/>
      <c r="R1338" s="442"/>
      <c r="S1338" s="442"/>
      <c r="T1338" s="432">
        <f t="shared" si="252"/>
        <v>0</v>
      </c>
    </row>
    <row r="1339" spans="1:20" ht="22.2" hidden="1" customHeight="1">
      <c r="A1339" s="379"/>
      <c r="B1339" s="478" t="s">
        <v>1032</v>
      </c>
      <c r="C1339" s="469" t="str">
        <f t="shared" si="254"/>
        <v xml:space="preserve"> </v>
      </c>
      <c r="D1339" s="440">
        <v>15</v>
      </c>
      <c r="E1339" s="422"/>
      <c r="F1339" s="441" t="str">
        <f>VLOOKUP($B1339,[1]DG!A:D,[1]DG!$C$2,)</f>
        <v>Kẹp hotline 4/0</v>
      </c>
      <c r="G1339" s="422" t="str">
        <f>VLOOKUP($B1339,[1]DG!A:D,[1]DG!$D$2,)</f>
        <v>cái</v>
      </c>
      <c r="H1339" s="435">
        <f t="shared" si="253"/>
        <v>0</v>
      </c>
      <c r="I1339" s="435">
        <f t="shared" si="253"/>
        <v>0</v>
      </c>
      <c r="J1339" s="435">
        <f t="shared" si="253"/>
        <v>0</v>
      </c>
      <c r="K1339" s="435">
        <f t="shared" si="253"/>
        <v>0</v>
      </c>
      <c r="L1339" s="435">
        <f t="shared" si="253"/>
        <v>0</v>
      </c>
      <c r="M1339" s="435">
        <f t="shared" si="253"/>
        <v>0</v>
      </c>
      <c r="N1339" s="435">
        <f t="shared" si="253"/>
        <v>0</v>
      </c>
      <c r="O1339" s="435"/>
      <c r="P1339" s="435"/>
      <c r="Q1339" s="442"/>
      <c r="R1339" s="442"/>
      <c r="S1339" s="442"/>
      <c r="T1339" s="432">
        <f t="shared" si="252"/>
        <v>0</v>
      </c>
    </row>
    <row r="1340" spans="1:20" ht="22.2" hidden="1" customHeight="1">
      <c r="A1340" s="379"/>
      <c r="B1340" s="410" t="s">
        <v>1003</v>
      </c>
      <c r="C1340" s="469" t="str">
        <f t="shared" si="254"/>
        <v xml:space="preserve"> </v>
      </c>
      <c r="D1340" s="440">
        <v>1</v>
      </c>
      <c r="E1340" s="422"/>
      <c r="F1340" s="441" t="str">
        <f>VLOOKUP($B1340,[1]DG!A:D,[1]DG!$C$2,)</f>
        <v>Bộ chống chằng hẹp Ø60/50x1500+2BL12x40+BL16x250/80</v>
      </c>
      <c r="G1340" s="422" t="str">
        <f>VLOOKUP($B1340,[1]DG!A:D,[1]DG!$D$2,)</f>
        <v>bộ</v>
      </c>
      <c r="H1340" s="435">
        <f t="shared" si="253"/>
        <v>0</v>
      </c>
      <c r="I1340" s="435">
        <f t="shared" si="253"/>
        <v>0</v>
      </c>
      <c r="J1340" s="435">
        <f t="shared" si="253"/>
        <v>0</v>
      </c>
      <c r="K1340" s="435">
        <f t="shared" si="253"/>
        <v>0</v>
      </c>
      <c r="L1340" s="435">
        <f t="shared" si="253"/>
        <v>0</v>
      </c>
      <c r="M1340" s="435">
        <f t="shared" si="253"/>
        <v>0</v>
      </c>
      <c r="N1340" s="435">
        <f t="shared" si="253"/>
        <v>0</v>
      </c>
      <c r="O1340" s="435"/>
      <c r="P1340" s="435"/>
      <c r="Q1340" s="442"/>
      <c r="R1340" s="442"/>
      <c r="S1340" s="442"/>
      <c r="T1340" s="432">
        <f t="shared" si="252"/>
        <v>0</v>
      </c>
    </row>
    <row r="1341" spans="1:20" ht="22.2" hidden="1" customHeight="1">
      <c r="A1341" s="379"/>
      <c r="B1341" s="410" t="s">
        <v>962</v>
      </c>
      <c r="C1341" s="469" t="str">
        <f t="shared" si="254"/>
        <v xml:space="preserve"> </v>
      </c>
      <c r="D1341" s="440">
        <v>2</v>
      </c>
      <c r="E1341" s="422"/>
      <c r="F1341" s="441" t="str">
        <f>VLOOKUP($B1341,[1]DG!A:D,[1]DG!$C$2,)</f>
        <v>Sắt dẹt 60 x 6</v>
      </c>
      <c r="G1341" s="422" t="str">
        <f>VLOOKUP($B1341,[1]DG!A:D,[1]DG!$D$2,)</f>
        <v>kg</v>
      </c>
      <c r="H1341" s="435">
        <f t="shared" si="253"/>
        <v>0</v>
      </c>
      <c r="I1341" s="435">
        <f t="shared" si="253"/>
        <v>0</v>
      </c>
      <c r="J1341" s="435">
        <f t="shared" si="253"/>
        <v>0</v>
      </c>
      <c r="K1341" s="435">
        <f t="shared" si="253"/>
        <v>0</v>
      </c>
      <c r="L1341" s="435">
        <f t="shared" si="253"/>
        <v>0</v>
      </c>
      <c r="M1341" s="435">
        <f t="shared" si="253"/>
        <v>0</v>
      </c>
      <c r="N1341" s="435">
        <f t="shared" si="253"/>
        <v>0</v>
      </c>
      <c r="O1341" s="435"/>
      <c r="P1341" s="435"/>
      <c r="Q1341" s="442"/>
      <c r="R1341" s="442"/>
      <c r="S1341" s="442"/>
      <c r="T1341" s="432">
        <f t="shared" si="252"/>
        <v>0</v>
      </c>
    </row>
    <row r="1342" spans="1:20" ht="22.2" hidden="1" customHeight="1">
      <c r="A1342" s="379"/>
      <c r="B1342" s="410" t="s">
        <v>1033</v>
      </c>
      <c r="C1342" s="469" t="str">
        <f t="shared" si="254"/>
        <v xml:space="preserve"> </v>
      </c>
      <c r="D1342" s="440">
        <v>1</v>
      </c>
      <c r="E1342" s="422"/>
      <c r="F1342" s="441" t="str">
        <f>VLOOKUP($B1342,[1]DG!A:D,[1]DG!$C$2,)</f>
        <v xml:space="preserve">Móc treo chữ U </v>
      </c>
      <c r="G1342" s="422" t="str">
        <f>VLOOKUP($B1342,[1]DG!A:D,[1]DG!$D$2,)</f>
        <v>cái</v>
      </c>
      <c r="H1342" s="435">
        <f t="shared" si="253"/>
        <v>0</v>
      </c>
      <c r="I1342" s="435">
        <f t="shared" si="253"/>
        <v>0</v>
      </c>
      <c r="J1342" s="435">
        <f t="shared" si="253"/>
        <v>0</v>
      </c>
      <c r="K1342" s="435">
        <f t="shared" si="253"/>
        <v>0</v>
      </c>
      <c r="L1342" s="435">
        <f t="shared" si="253"/>
        <v>0</v>
      </c>
      <c r="M1342" s="435">
        <f t="shared" si="253"/>
        <v>0</v>
      </c>
      <c r="N1342" s="435">
        <f t="shared" si="253"/>
        <v>0</v>
      </c>
      <c r="O1342" s="435"/>
      <c r="P1342" s="435"/>
      <c r="Q1342" s="442"/>
      <c r="R1342" s="442"/>
      <c r="S1342" s="442"/>
      <c r="T1342" s="432">
        <f t="shared" si="252"/>
        <v>0</v>
      </c>
    </row>
    <row r="1343" spans="1:20" ht="22.2" hidden="1" customHeight="1">
      <c r="A1343" s="379"/>
      <c r="B1343" s="479" t="s">
        <v>1034</v>
      </c>
      <c r="C1343" s="469" t="str">
        <f t="shared" si="254"/>
        <v xml:space="preserve"> </v>
      </c>
      <c r="D1343" s="440">
        <v>2</v>
      </c>
      <c r="E1343" s="422"/>
      <c r="F1343" s="441" t="str">
        <f>VLOOKUP($B1343,[1]DG!A:D,[1]DG!$C$2,)</f>
        <v>Boulon 16x100VRS+ 4 long đền vuông D18-50x50x3/Zn</v>
      </c>
      <c r="G1343" s="422" t="str">
        <f>VLOOKUP($B1343,[1]DG!A:D,[1]DG!$D$2,)</f>
        <v>bộ</v>
      </c>
      <c r="H1343" s="435">
        <f t="shared" si="253"/>
        <v>0</v>
      </c>
      <c r="I1343" s="435">
        <f t="shared" si="253"/>
        <v>0</v>
      </c>
      <c r="J1343" s="435">
        <f t="shared" si="253"/>
        <v>0</v>
      </c>
      <c r="K1343" s="435">
        <f t="shared" si="253"/>
        <v>0</v>
      </c>
      <c r="L1343" s="435">
        <f t="shared" si="253"/>
        <v>0</v>
      </c>
      <c r="M1343" s="435">
        <f t="shared" si="253"/>
        <v>0</v>
      </c>
      <c r="N1343" s="435">
        <f t="shared" si="253"/>
        <v>0</v>
      </c>
      <c r="O1343" s="435"/>
      <c r="P1343" s="435"/>
      <c r="Q1343" s="442"/>
      <c r="R1343" s="442"/>
      <c r="S1343" s="442"/>
      <c r="T1343" s="432">
        <f t="shared" si="252"/>
        <v>0</v>
      </c>
    </row>
    <row r="1344" spans="1:20" ht="22.2" hidden="1" customHeight="1">
      <c r="A1344" s="379"/>
      <c r="B1344" s="479" t="s">
        <v>1051</v>
      </c>
      <c r="C1344" s="469" t="str">
        <f t="shared" si="254"/>
        <v xml:space="preserve"> </v>
      </c>
      <c r="D1344" s="440">
        <v>1</v>
      </c>
      <c r="E1344" s="422"/>
      <c r="F1344" s="441" t="str">
        <f>VLOOKUP($B1344,[1]DG!A:D,[1]DG!$C$2,)</f>
        <v>Boulon 16x270/80+ 2 long đền vuông D18-50x50x3/Zn</v>
      </c>
      <c r="G1344" s="422" t="str">
        <f>VLOOKUP($B1344,[1]DG!A:D,[1]DG!$D$2,)</f>
        <v>bộ</v>
      </c>
      <c r="H1344" s="435">
        <f t="shared" si="253"/>
        <v>0</v>
      </c>
      <c r="I1344" s="435">
        <f t="shared" si="253"/>
        <v>0</v>
      </c>
      <c r="J1344" s="435">
        <f t="shared" si="253"/>
        <v>0</v>
      </c>
      <c r="K1344" s="435">
        <f t="shared" si="253"/>
        <v>0</v>
      </c>
      <c r="L1344" s="435">
        <f t="shared" si="253"/>
        <v>0</v>
      </c>
      <c r="M1344" s="435">
        <f t="shared" si="253"/>
        <v>0</v>
      </c>
      <c r="N1344" s="435">
        <f t="shared" si="253"/>
        <v>0</v>
      </c>
      <c r="O1344" s="435"/>
      <c r="P1344" s="435"/>
      <c r="Q1344" s="442"/>
      <c r="R1344" s="442"/>
      <c r="S1344" s="442"/>
      <c r="T1344" s="432">
        <f t="shared" si="252"/>
        <v>0</v>
      </c>
    </row>
    <row r="1345" spans="1:20" ht="22.2" hidden="1" customHeight="1">
      <c r="A1345" s="379"/>
      <c r="B1345" s="410" t="s">
        <v>991</v>
      </c>
      <c r="C1345" s="469" t="str">
        <f t="shared" si="254"/>
        <v xml:space="preserve"> </v>
      </c>
      <c r="D1345" s="440">
        <v>2</v>
      </c>
      <c r="E1345" s="422"/>
      <c r="F1345" s="441" t="str">
        <f>VLOOKUP($B1345,[1]DG!A:D,[1]DG!$C$2,)</f>
        <v>Yếm cáp dày 2mm</v>
      </c>
      <c r="G1345" s="422" t="str">
        <f>VLOOKUP($B1345,[1]DG!A:D,[1]DG!$D$2,)</f>
        <v>cái</v>
      </c>
      <c r="H1345" s="435">
        <f t="shared" si="253"/>
        <v>0</v>
      </c>
      <c r="I1345" s="435">
        <f t="shared" si="253"/>
        <v>0</v>
      </c>
      <c r="J1345" s="435">
        <f t="shared" si="253"/>
        <v>0</v>
      </c>
      <c r="K1345" s="435">
        <f t="shared" si="253"/>
        <v>0</v>
      </c>
      <c r="L1345" s="435">
        <f t="shared" si="253"/>
        <v>0</v>
      </c>
      <c r="M1345" s="435">
        <f t="shared" si="253"/>
        <v>0</v>
      </c>
      <c r="N1345" s="435">
        <f t="shared" si="253"/>
        <v>0</v>
      </c>
      <c r="O1345" s="435"/>
      <c r="P1345" s="435"/>
      <c r="Q1345" s="442"/>
      <c r="R1345" s="442"/>
      <c r="S1345" s="442"/>
      <c r="T1345" s="432">
        <f t="shared" si="252"/>
        <v>0</v>
      </c>
    </row>
    <row r="1346" spans="1:20" ht="22.2" hidden="1" customHeight="1">
      <c r="A1346" s="379"/>
      <c r="B1346" s="410" t="s">
        <v>992</v>
      </c>
      <c r="C1346" s="469" t="str">
        <f t="shared" si="254"/>
        <v xml:space="preserve"> </v>
      </c>
      <c r="D1346" s="440">
        <v>1</v>
      </c>
      <c r="E1346" s="422"/>
      <c r="F1346" s="441" t="str">
        <f>VLOOKUP($B1346,[1]DG!A:D,[1]DG!$C$2,)</f>
        <v>Máng che dây chằng dày 1,6mm</v>
      </c>
      <c r="G1346" s="422" t="str">
        <f>VLOOKUP($B1346,[1]DG!A:D,[1]DG!$D$2,)</f>
        <v>cái</v>
      </c>
      <c r="H1346" s="435">
        <f t="shared" si="253"/>
        <v>0</v>
      </c>
      <c r="I1346" s="435">
        <f t="shared" si="253"/>
        <v>0</v>
      </c>
      <c r="J1346" s="435">
        <f t="shared" si="253"/>
        <v>0</v>
      </c>
      <c r="K1346" s="435">
        <f t="shared" si="253"/>
        <v>0</v>
      </c>
      <c r="L1346" s="435">
        <f t="shared" si="253"/>
        <v>0</v>
      </c>
      <c r="M1346" s="435">
        <f t="shared" si="253"/>
        <v>0</v>
      </c>
      <c r="N1346" s="435">
        <f t="shared" si="253"/>
        <v>0</v>
      </c>
      <c r="O1346" s="435"/>
      <c r="P1346" s="435"/>
      <c r="Q1346" s="442"/>
      <c r="R1346" s="442"/>
      <c r="S1346" s="442"/>
      <c r="T1346" s="432">
        <f t="shared" si="252"/>
        <v>0</v>
      </c>
    </row>
    <row r="1347" spans="1:20" ht="22.2" hidden="1" customHeight="1">
      <c r="A1347" s="379"/>
      <c r="B1347" s="410" t="s">
        <v>588</v>
      </c>
      <c r="C1347" s="469" t="str">
        <f t="shared" si="254"/>
        <v xml:space="preserve"> </v>
      </c>
      <c r="D1347" s="440">
        <f>D1336</f>
        <v>1</v>
      </c>
      <c r="E1347" s="422" t="str">
        <f>VLOOKUP($B1347,[1]DG!A:D,[1]DG!$B$2,)</f>
        <v>06.3241</v>
      </c>
      <c r="F1347" s="434" t="str">
        <f>VLOOKUP($B1347,[1]DG!A:D,[1]DG!$C$2,)</f>
        <v>Lắp bộ dây néo</v>
      </c>
      <c r="G1347" s="422" t="str">
        <f>VLOOKUP($B1347,[1]DG!A:D,[1]DG!$D$2,)</f>
        <v>bộ</v>
      </c>
      <c r="H1347" s="435"/>
      <c r="I1347" s="435"/>
      <c r="J1347" s="435"/>
      <c r="K1347" s="435"/>
      <c r="L1347" s="435"/>
      <c r="M1347" s="435"/>
      <c r="N1347" s="435"/>
      <c r="O1347" s="435"/>
      <c r="P1347" s="435"/>
      <c r="Q1347" s="437"/>
      <c r="R1347" s="437"/>
      <c r="S1347" s="437"/>
      <c r="T1347" s="432">
        <f t="shared" si="252"/>
        <v>0</v>
      </c>
    </row>
    <row r="1348" spans="1:20" ht="22.2" hidden="1" customHeight="1">
      <c r="A1348" s="379"/>
      <c r="B1348" s="410" t="s">
        <v>1035</v>
      </c>
      <c r="C1348" s="469" t="str">
        <f t="shared" si="254"/>
        <v xml:space="preserve"> </v>
      </c>
      <c r="D1348" s="440">
        <v>1</v>
      </c>
      <c r="E1348" s="422" t="str">
        <f>VLOOKUP($B1348,[1]DG!A:D,[1]DG!$B$2,)</f>
        <v>06.2110</v>
      </c>
      <c r="F1348" s="434" t="str">
        <f>VLOOKUP($B1348,[1]DG!A:D,[1]DG!$C$2,)</f>
        <v>Lắp cổ dề</v>
      </c>
      <c r="G1348" s="422" t="str">
        <f>VLOOKUP($B1348,[1]DG!A:D,[1]DG!$D$2,)</f>
        <v>cái</v>
      </c>
      <c r="H1348" s="435"/>
      <c r="I1348" s="435"/>
      <c r="J1348" s="435"/>
      <c r="K1348" s="435"/>
      <c r="L1348" s="435"/>
      <c r="M1348" s="435"/>
      <c r="N1348" s="435"/>
      <c r="O1348" s="435"/>
      <c r="P1348" s="435"/>
      <c r="Q1348" s="437"/>
      <c r="R1348" s="437"/>
      <c r="S1348" s="437"/>
      <c r="T1348" s="432">
        <f t="shared" si="252"/>
        <v>0</v>
      </c>
    </row>
    <row r="1349" spans="1:20" ht="22.2" hidden="1" customHeight="1">
      <c r="A1349" s="379"/>
      <c r="B1349" s="410" t="s">
        <v>454</v>
      </c>
      <c r="C1349" s="469" t="str">
        <f t="shared" si="254"/>
        <v xml:space="preserve"> </v>
      </c>
      <c r="D1349" s="440">
        <f>D1332</f>
        <v>1</v>
      </c>
      <c r="E1349" s="422" t="str">
        <f>VLOOKUP($B1349,[1]DG!A:D,[1]DG!$B$2,)</f>
        <v>05.6011</v>
      </c>
      <c r="F1349" s="434" t="str">
        <f>VLOOKUP($B1349,[1]DG!A:D,[1]DG!$C$2,)</f>
        <v>Lắp bộ chống lệch</v>
      </c>
      <c r="G1349" s="422" t="str">
        <f>VLOOKUP($B1349,[1]DG!A:D,[1]DG!$D$2,)</f>
        <v>bộ</v>
      </c>
      <c r="H1349" s="435"/>
      <c r="I1349" s="435"/>
      <c r="J1349" s="435"/>
      <c r="K1349" s="435"/>
      <c r="L1349" s="435"/>
      <c r="M1349" s="435"/>
      <c r="N1349" s="435"/>
      <c r="O1349" s="435"/>
      <c r="P1349" s="435"/>
      <c r="Q1349" s="437"/>
      <c r="R1349" s="437"/>
      <c r="S1349" s="437"/>
      <c r="T1349" s="432">
        <f t="shared" si="252"/>
        <v>0</v>
      </c>
    </row>
    <row r="1350" spans="1:20" ht="22.2" hidden="1" customHeight="1">
      <c r="A1350" s="379"/>
      <c r="B1350" s="438" t="s">
        <v>993</v>
      </c>
      <c r="C1350" s="469" t="str">
        <f t="shared" si="254"/>
        <v xml:space="preserve"> </v>
      </c>
      <c r="D1350" s="439">
        <v>0.02</v>
      </c>
      <c r="E1350" s="422" t="str">
        <f>VLOOKUP($B1350,[1]DG!A:C,2,)</f>
        <v>02.1421</v>
      </c>
      <c r="F1350" s="434" t="str">
        <f>VLOOKUP($B1350,[1]DG!A:C,3,)</f>
        <v>V/c phụ kiện vào vị trí (cự ly &lt;=100m)</v>
      </c>
      <c r="G1350" s="422" t="str">
        <f>VLOOKUP($B1350,[1]DG!A:D,4,0)</f>
        <v>tấn</v>
      </c>
      <c r="H1350" s="435"/>
      <c r="I1350" s="435"/>
      <c r="J1350" s="435"/>
      <c r="K1350" s="435"/>
      <c r="L1350" s="435"/>
      <c r="M1350" s="435"/>
      <c r="N1350" s="435"/>
      <c r="O1350" s="435"/>
      <c r="P1350" s="435"/>
      <c r="Q1350" s="437"/>
      <c r="R1350" s="437"/>
      <c r="S1350" s="437"/>
      <c r="T1350" s="432">
        <f t="shared" si="252"/>
        <v>0</v>
      </c>
    </row>
    <row r="1351" spans="1:20" ht="22.2" hidden="1" customHeight="1">
      <c r="A1351" s="423" t="s">
        <v>1052</v>
      </c>
      <c r="B1351" s="424" t="s">
        <v>1052</v>
      </c>
      <c r="C1351" s="469" t="str">
        <f t="shared" si="254"/>
        <v xml:space="preserve"> </v>
      </c>
      <c r="D1351" s="426"/>
      <c r="E1351" s="427"/>
      <c r="F1351" s="428" t="s">
        <v>1053</v>
      </c>
      <c r="G1351" s="349" t="s">
        <v>67</v>
      </c>
      <c r="H1351" s="429">
        <f>SUM(I1351:O1351)</f>
        <v>0</v>
      </c>
      <c r="I1351" s="430"/>
      <c r="J1351" s="430"/>
      <c r="K1351" s="430">
        <f>IFERROR(HLOOKUP(B1351,[1]pp3p1m!$1:$3,3,0),0)</f>
        <v>0</v>
      </c>
      <c r="L1351" s="430">
        <f>IFERROR(HLOOKUP(chitiet!B1351,[1]pp1p!$1:$3,3,0),0)</f>
        <v>0</v>
      </c>
      <c r="M1351" s="430"/>
      <c r="N1351" s="430"/>
      <c r="O1351" s="430"/>
      <c r="P1351" s="430">
        <f>H1351+Q1351-R1351</f>
        <v>0</v>
      </c>
      <c r="Q1351" s="431"/>
      <c r="R1351" s="431"/>
      <c r="S1351" s="431"/>
      <c r="T1351" s="432">
        <f>IFERROR(HLOOKUP(B1351,[1]pp1p!$1:$3,3,0),0)+IFERROR(HLOOKUP(B1351,[1]pp3p1m!$1:$3,3,0),0)</f>
        <v>0</v>
      </c>
    </row>
    <row r="1352" spans="1:20" ht="22.2" hidden="1" customHeight="1">
      <c r="A1352" s="379"/>
      <c r="B1352" s="410" t="s">
        <v>1031</v>
      </c>
      <c r="C1352" s="469" t="str">
        <f t="shared" si="254"/>
        <v xml:space="preserve"> </v>
      </c>
      <c r="D1352" s="440">
        <v>1</v>
      </c>
      <c r="E1352" s="422"/>
      <c r="F1352" s="441" t="str">
        <f>VLOOKUP($B1352,[1]DG!A:D,[1]DG!$C$2,)&amp;"-Fe8x100 nhuùng keõm"</f>
        <v>Cổ dê Ø 195 nẹp trụ-Fe8x100 nhuùng keõm</v>
      </c>
      <c r="G1352" s="422" t="str">
        <f>VLOOKUP($B1352,[1]DG!A:D,[1]DG!$D$2,)</f>
        <v>bộ</v>
      </c>
      <c r="H1352" s="435">
        <f t="shared" ref="H1352:N1361" si="255">H$1351*$D1352</f>
        <v>0</v>
      </c>
      <c r="I1352" s="435">
        <f t="shared" si="255"/>
        <v>0</v>
      </c>
      <c r="J1352" s="435">
        <f t="shared" si="255"/>
        <v>0</v>
      </c>
      <c r="K1352" s="435">
        <f t="shared" si="255"/>
        <v>0</v>
      </c>
      <c r="L1352" s="435">
        <f t="shared" si="255"/>
        <v>0</v>
      </c>
      <c r="M1352" s="435">
        <f t="shared" si="255"/>
        <v>0</v>
      </c>
      <c r="N1352" s="435">
        <f t="shared" si="255"/>
        <v>0</v>
      </c>
      <c r="O1352" s="435"/>
      <c r="P1352" s="435"/>
      <c r="Q1352" s="442"/>
      <c r="R1352" s="442"/>
      <c r="S1352" s="442"/>
      <c r="T1352" s="432">
        <f t="shared" si="252"/>
        <v>0</v>
      </c>
    </row>
    <row r="1353" spans="1:20" ht="22.2" hidden="1" customHeight="1">
      <c r="A1353" s="379"/>
      <c r="B1353" s="410" t="s">
        <v>1040</v>
      </c>
      <c r="C1353" s="469" t="str">
        <f t="shared" si="254"/>
        <v xml:space="preserve"> </v>
      </c>
      <c r="D1353" s="440">
        <v>1</v>
      </c>
      <c r="E1353" s="422"/>
      <c r="F1353" s="441" t="str">
        <f>VLOOKUP($B1353,[1]DG!A:D,[1]DG!$C$2,)&amp;"-Fe8x100 nhuùng keõm"</f>
        <v>Cổ dê Ø 220 nẹp trụ-Fe8x100 nhuùng keõm</v>
      </c>
      <c r="G1353" s="422" t="str">
        <f>VLOOKUP($B1353,[1]DG!A:D,[1]DG!$D$2,)</f>
        <v>bộ</v>
      </c>
      <c r="H1353" s="435">
        <f t="shared" si="255"/>
        <v>0</v>
      </c>
      <c r="I1353" s="435">
        <f t="shared" si="255"/>
        <v>0</v>
      </c>
      <c r="J1353" s="435">
        <f t="shared" si="255"/>
        <v>0</v>
      </c>
      <c r="K1353" s="435">
        <f t="shared" si="255"/>
        <v>0</v>
      </c>
      <c r="L1353" s="435">
        <f t="shared" si="255"/>
        <v>0</v>
      </c>
      <c r="M1353" s="435">
        <f t="shared" si="255"/>
        <v>0</v>
      </c>
      <c r="N1353" s="435">
        <f t="shared" si="255"/>
        <v>0</v>
      </c>
      <c r="O1353" s="435"/>
      <c r="P1353" s="435"/>
      <c r="Q1353" s="442"/>
      <c r="R1353" s="442"/>
      <c r="S1353" s="442"/>
      <c r="T1353" s="432">
        <f t="shared" si="252"/>
        <v>0</v>
      </c>
    </row>
    <row r="1354" spans="1:20" ht="22.2" hidden="1" customHeight="1">
      <c r="A1354" s="379"/>
      <c r="B1354" s="410" t="s">
        <v>988</v>
      </c>
      <c r="C1354" s="469" t="str">
        <f t="shared" si="254"/>
        <v xml:space="preserve"> </v>
      </c>
      <c r="D1354" s="440">
        <v>2</v>
      </c>
      <c r="E1354" s="422"/>
      <c r="F1354" s="441" t="str">
        <f>VLOOKUP($B1354,[1]DG!A:D,[1]DG!$C$2,)</f>
        <v>Sứ chằng</v>
      </c>
      <c r="G1354" s="422" t="str">
        <f>VLOOKUP($B1354,[1]DG!A:D,[1]DG!$D$2,)</f>
        <v>cái</v>
      </c>
      <c r="H1354" s="435">
        <f t="shared" si="255"/>
        <v>0</v>
      </c>
      <c r="I1354" s="435">
        <f t="shared" si="255"/>
        <v>0</v>
      </c>
      <c r="J1354" s="435">
        <f t="shared" si="255"/>
        <v>0</v>
      </c>
      <c r="K1354" s="435">
        <f t="shared" si="255"/>
        <v>0</v>
      </c>
      <c r="L1354" s="435">
        <f t="shared" si="255"/>
        <v>0</v>
      </c>
      <c r="M1354" s="435">
        <f t="shared" si="255"/>
        <v>0</v>
      </c>
      <c r="N1354" s="435">
        <f t="shared" si="255"/>
        <v>0</v>
      </c>
      <c r="O1354" s="435"/>
      <c r="P1354" s="435"/>
      <c r="Q1354" s="442"/>
      <c r="R1354" s="442"/>
      <c r="S1354" s="442"/>
      <c r="T1354" s="432">
        <f t="shared" si="252"/>
        <v>0</v>
      </c>
    </row>
    <row r="1355" spans="1:20" ht="22.2" hidden="1" customHeight="1">
      <c r="A1355" s="379"/>
      <c r="B1355" s="410" t="s">
        <v>989</v>
      </c>
      <c r="C1355" s="469" t="str">
        <f t="shared" si="254"/>
        <v xml:space="preserve"> </v>
      </c>
      <c r="D1355" s="440">
        <v>16</v>
      </c>
      <c r="E1355" s="422"/>
      <c r="F1355" s="441" t="str">
        <f>VLOOKUP($B1355,[1]DG!A:D,[1]DG!$C$2,)</f>
        <v>Kẹp cáp 3 boulon</v>
      </c>
      <c r="G1355" s="422" t="str">
        <f>VLOOKUP($B1355,[1]DG!A:D,[1]DG!$D$2,)</f>
        <v>cái</v>
      </c>
      <c r="H1355" s="435">
        <f t="shared" si="255"/>
        <v>0</v>
      </c>
      <c r="I1355" s="435">
        <f t="shared" si="255"/>
        <v>0</v>
      </c>
      <c r="J1355" s="435">
        <f t="shared" si="255"/>
        <v>0</v>
      </c>
      <c r="K1355" s="435">
        <f t="shared" si="255"/>
        <v>0</v>
      </c>
      <c r="L1355" s="435">
        <f t="shared" si="255"/>
        <v>0</v>
      </c>
      <c r="M1355" s="435">
        <f t="shared" si="255"/>
        <v>0</v>
      </c>
      <c r="N1355" s="435">
        <f t="shared" si="255"/>
        <v>0</v>
      </c>
      <c r="O1355" s="435"/>
      <c r="P1355" s="435"/>
      <c r="Q1355" s="442"/>
      <c r="R1355" s="442"/>
      <c r="S1355" s="442"/>
      <c r="T1355" s="432">
        <f t="shared" si="252"/>
        <v>0</v>
      </c>
    </row>
    <row r="1356" spans="1:20" ht="22.2" hidden="1" customHeight="1">
      <c r="A1356" s="379"/>
      <c r="B1356" s="478" t="s">
        <v>1032</v>
      </c>
      <c r="C1356" s="469" t="str">
        <f t="shared" si="254"/>
        <v xml:space="preserve"> </v>
      </c>
      <c r="D1356" s="440">
        <v>36</v>
      </c>
      <c r="E1356" s="422"/>
      <c r="F1356" s="441" t="str">
        <f>VLOOKUP($B1356,[1]DG!A:D,[1]DG!$C$2,)</f>
        <v>Kẹp hotline 4/0</v>
      </c>
      <c r="G1356" s="422" t="str">
        <f>VLOOKUP($B1356,[1]DG!A:D,[1]DG!$D$2,)</f>
        <v>cái</v>
      </c>
      <c r="H1356" s="435">
        <f t="shared" si="255"/>
        <v>0</v>
      </c>
      <c r="I1356" s="435">
        <f t="shared" si="255"/>
        <v>0</v>
      </c>
      <c r="J1356" s="435">
        <f t="shared" si="255"/>
        <v>0</v>
      </c>
      <c r="K1356" s="435">
        <f t="shared" si="255"/>
        <v>0</v>
      </c>
      <c r="L1356" s="435">
        <f t="shared" si="255"/>
        <v>0</v>
      </c>
      <c r="M1356" s="435">
        <f t="shared" si="255"/>
        <v>0</v>
      </c>
      <c r="N1356" s="435">
        <f t="shared" si="255"/>
        <v>0</v>
      </c>
      <c r="O1356" s="435"/>
      <c r="P1356" s="435"/>
      <c r="Q1356" s="442"/>
      <c r="R1356" s="442"/>
      <c r="S1356" s="442"/>
      <c r="T1356" s="432">
        <f t="shared" si="252"/>
        <v>0</v>
      </c>
    </row>
    <row r="1357" spans="1:20" ht="22.2" hidden="1" customHeight="1">
      <c r="A1357" s="379"/>
      <c r="B1357" s="410" t="s">
        <v>962</v>
      </c>
      <c r="C1357" s="469" t="str">
        <f t="shared" si="254"/>
        <v xml:space="preserve"> </v>
      </c>
      <c r="D1357" s="440">
        <v>4</v>
      </c>
      <c r="E1357" s="422"/>
      <c r="F1357" s="441" t="str">
        <f>VLOOKUP($B1357,[1]DG!A:D,[1]DG!$C$2,)</f>
        <v>Sắt dẹt 60 x 6</v>
      </c>
      <c r="G1357" s="422" t="str">
        <f>VLOOKUP($B1357,[1]DG!A:D,[1]DG!$D$2,)</f>
        <v>kg</v>
      </c>
      <c r="H1357" s="435">
        <f t="shared" si="255"/>
        <v>0</v>
      </c>
      <c r="I1357" s="435">
        <f t="shared" si="255"/>
        <v>0</v>
      </c>
      <c r="J1357" s="435">
        <f t="shared" si="255"/>
        <v>0</v>
      </c>
      <c r="K1357" s="435">
        <f t="shared" si="255"/>
        <v>0</v>
      </c>
      <c r="L1357" s="435">
        <f t="shared" si="255"/>
        <v>0</v>
      </c>
      <c r="M1357" s="435">
        <f t="shared" si="255"/>
        <v>0</v>
      </c>
      <c r="N1357" s="435">
        <f t="shared" si="255"/>
        <v>0</v>
      </c>
      <c r="O1357" s="435"/>
      <c r="P1357" s="435"/>
      <c r="Q1357" s="442"/>
      <c r="R1357" s="442"/>
      <c r="S1357" s="442"/>
      <c r="T1357" s="432">
        <f t="shared" si="252"/>
        <v>0</v>
      </c>
    </row>
    <row r="1358" spans="1:20" ht="22.2" hidden="1" customHeight="1">
      <c r="A1358" s="379"/>
      <c r="B1358" s="410" t="s">
        <v>1033</v>
      </c>
      <c r="C1358" s="469" t="str">
        <f t="shared" si="254"/>
        <v xml:space="preserve"> </v>
      </c>
      <c r="D1358" s="440">
        <v>2</v>
      </c>
      <c r="E1358" s="422"/>
      <c r="F1358" s="441" t="str">
        <f>VLOOKUP($B1358,[1]DG!A:D,[1]DG!$C$2,)</f>
        <v xml:space="preserve">Móc treo chữ U </v>
      </c>
      <c r="G1358" s="422" t="str">
        <f>VLOOKUP($B1358,[1]DG!A:D,[1]DG!$D$2,)</f>
        <v>cái</v>
      </c>
      <c r="H1358" s="435">
        <f t="shared" si="255"/>
        <v>0</v>
      </c>
      <c r="I1358" s="435">
        <f t="shared" si="255"/>
        <v>0</v>
      </c>
      <c r="J1358" s="435">
        <f t="shared" si="255"/>
        <v>0</v>
      </c>
      <c r="K1358" s="435">
        <f t="shared" si="255"/>
        <v>0</v>
      </c>
      <c r="L1358" s="435">
        <f t="shared" si="255"/>
        <v>0</v>
      </c>
      <c r="M1358" s="435">
        <f t="shared" si="255"/>
        <v>0</v>
      </c>
      <c r="N1358" s="435">
        <f t="shared" si="255"/>
        <v>0</v>
      </c>
      <c r="O1358" s="435"/>
      <c r="P1358" s="435"/>
      <c r="Q1358" s="442"/>
      <c r="R1358" s="442"/>
      <c r="S1358" s="442"/>
      <c r="T1358" s="432">
        <f t="shared" si="252"/>
        <v>0</v>
      </c>
    </row>
    <row r="1359" spans="1:20" ht="22.2" hidden="1" customHeight="1">
      <c r="A1359" s="379"/>
      <c r="B1359" s="479" t="s">
        <v>1034</v>
      </c>
      <c r="C1359" s="469" t="str">
        <f t="shared" si="254"/>
        <v xml:space="preserve"> </v>
      </c>
      <c r="D1359" s="440">
        <v>4</v>
      </c>
      <c r="E1359" s="422"/>
      <c r="F1359" s="441" t="str">
        <f>VLOOKUP($B1359,[1]DG!A:D,[1]DG!$C$2,)</f>
        <v>Boulon 16x100VRS+ 4 long đền vuông D18-50x50x3/Zn</v>
      </c>
      <c r="G1359" s="422" t="str">
        <f>VLOOKUP($B1359,[1]DG!A:D,[1]DG!$D$2,)</f>
        <v>bộ</v>
      </c>
      <c r="H1359" s="435">
        <f t="shared" si="255"/>
        <v>0</v>
      </c>
      <c r="I1359" s="435">
        <f t="shared" si="255"/>
        <v>0</v>
      </c>
      <c r="J1359" s="435">
        <f t="shared" si="255"/>
        <v>0</v>
      </c>
      <c r="K1359" s="435">
        <f t="shared" si="255"/>
        <v>0</v>
      </c>
      <c r="L1359" s="435">
        <f t="shared" si="255"/>
        <v>0</v>
      </c>
      <c r="M1359" s="435">
        <f t="shared" si="255"/>
        <v>0</v>
      </c>
      <c r="N1359" s="435">
        <f t="shared" si="255"/>
        <v>0</v>
      </c>
      <c r="O1359" s="435"/>
      <c r="P1359" s="435"/>
      <c r="Q1359" s="442"/>
      <c r="R1359" s="442"/>
      <c r="S1359" s="442"/>
      <c r="T1359" s="432">
        <f t="shared" si="252"/>
        <v>0</v>
      </c>
    </row>
    <row r="1360" spans="1:20" ht="22.2" hidden="1" customHeight="1">
      <c r="A1360" s="379"/>
      <c r="B1360" s="410" t="s">
        <v>991</v>
      </c>
      <c r="C1360" s="469" t="str">
        <f t="shared" si="254"/>
        <v xml:space="preserve"> </v>
      </c>
      <c r="D1360" s="440">
        <v>4</v>
      </c>
      <c r="E1360" s="422"/>
      <c r="F1360" s="441" t="str">
        <f>VLOOKUP($B1360,[1]DG!A:D,[1]DG!$C$2,)</f>
        <v>Yếm cáp dày 2mm</v>
      </c>
      <c r="G1360" s="422" t="str">
        <f>VLOOKUP($B1360,[1]DG!A:D,[1]DG!$D$2,)</f>
        <v>cái</v>
      </c>
      <c r="H1360" s="435">
        <f t="shared" si="255"/>
        <v>0</v>
      </c>
      <c r="I1360" s="435">
        <f t="shared" si="255"/>
        <v>0</v>
      </c>
      <c r="J1360" s="435">
        <f t="shared" si="255"/>
        <v>0</v>
      </c>
      <c r="K1360" s="435">
        <f t="shared" si="255"/>
        <v>0</v>
      </c>
      <c r="L1360" s="435">
        <f t="shared" si="255"/>
        <v>0</v>
      </c>
      <c r="M1360" s="435">
        <f t="shared" si="255"/>
        <v>0</v>
      </c>
      <c r="N1360" s="435">
        <f t="shared" si="255"/>
        <v>0</v>
      </c>
      <c r="O1360" s="435"/>
      <c r="P1360" s="435"/>
      <c r="Q1360" s="442"/>
      <c r="R1360" s="442"/>
      <c r="S1360" s="442"/>
      <c r="T1360" s="432">
        <f t="shared" si="252"/>
        <v>0</v>
      </c>
    </row>
    <row r="1361" spans="1:20" ht="22.2" hidden="1" customHeight="1">
      <c r="A1361" s="379"/>
      <c r="B1361" s="410" t="s">
        <v>992</v>
      </c>
      <c r="C1361" s="469" t="str">
        <f t="shared" si="254"/>
        <v xml:space="preserve"> </v>
      </c>
      <c r="D1361" s="440">
        <v>2</v>
      </c>
      <c r="E1361" s="422"/>
      <c r="F1361" s="441" t="str">
        <f>VLOOKUP($B1361,[1]DG!A:D,[1]DG!$C$2,)</f>
        <v>Máng che dây chằng dày 1,6mm</v>
      </c>
      <c r="G1361" s="422" t="str">
        <f>VLOOKUP($B1361,[1]DG!A:D,[1]DG!$D$2,)</f>
        <v>cái</v>
      </c>
      <c r="H1361" s="435">
        <f t="shared" si="255"/>
        <v>0</v>
      </c>
      <c r="I1361" s="435">
        <f t="shared" si="255"/>
        <v>0</v>
      </c>
      <c r="J1361" s="435">
        <f t="shared" si="255"/>
        <v>0</v>
      </c>
      <c r="K1361" s="435">
        <f t="shared" si="255"/>
        <v>0</v>
      </c>
      <c r="L1361" s="435">
        <f t="shared" si="255"/>
        <v>0</v>
      </c>
      <c r="M1361" s="435">
        <f t="shared" si="255"/>
        <v>0</v>
      </c>
      <c r="N1361" s="435">
        <f t="shared" si="255"/>
        <v>0</v>
      </c>
      <c r="O1361" s="435"/>
      <c r="P1361" s="435"/>
      <c r="Q1361" s="442"/>
      <c r="R1361" s="442"/>
      <c r="S1361" s="442"/>
      <c r="T1361" s="432">
        <f t="shared" si="252"/>
        <v>0</v>
      </c>
    </row>
    <row r="1362" spans="1:20" ht="22.2" hidden="1" customHeight="1">
      <c r="A1362" s="379"/>
      <c r="B1362" s="410" t="s">
        <v>588</v>
      </c>
      <c r="C1362" s="469" t="str">
        <f t="shared" si="254"/>
        <v xml:space="preserve"> </v>
      </c>
      <c r="D1362" s="440">
        <f>D1352</f>
        <v>1</v>
      </c>
      <c r="E1362" s="422" t="str">
        <f>VLOOKUP($B1362,[1]DG!A:D,[1]DG!$B$2,)</f>
        <v>06.3241</v>
      </c>
      <c r="F1362" s="434" t="str">
        <f>VLOOKUP($B1362,[1]DG!A:D,[1]DG!$C$2,)</f>
        <v>Lắp bộ dây néo</v>
      </c>
      <c r="G1362" s="422" t="str">
        <f>VLOOKUP($B1362,[1]DG!A:D,[1]DG!$D$2,)</f>
        <v>bộ</v>
      </c>
      <c r="H1362" s="435"/>
      <c r="I1362" s="435"/>
      <c r="J1362" s="435"/>
      <c r="K1362" s="435"/>
      <c r="L1362" s="435"/>
      <c r="M1362" s="435"/>
      <c r="N1362" s="435"/>
      <c r="O1362" s="435"/>
      <c r="P1362" s="435"/>
      <c r="Q1362" s="437"/>
      <c r="R1362" s="437"/>
      <c r="S1362" s="437"/>
      <c r="T1362" s="432">
        <f t="shared" si="252"/>
        <v>0</v>
      </c>
    </row>
    <row r="1363" spans="1:20" ht="22.2" hidden="1" customHeight="1">
      <c r="A1363" s="379"/>
      <c r="B1363" s="410" t="s">
        <v>1035</v>
      </c>
      <c r="C1363" s="469" t="str">
        <f t="shared" si="254"/>
        <v xml:space="preserve"> </v>
      </c>
      <c r="D1363" s="440">
        <v>2</v>
      </c>
      <c r="E1363" s="422" t="str">
        <f>VLOOKUP($B1363,[1]DG!A:D,[1]DG!$B$2,)</f>
        <v>06.2110</v>
      </c>
      <c r="F1363" s="434" t="str">
        <f>VLOOKUP($B1363,[1]DG!A:D,[1]DG!$C$2,)</f>
        <v>Lắp cổ dề</v>
      </c>
      <c r="G1363" s="422" t="str">
        <f>VLOOKUP($B1363,[1]DG!A:D,[1]DG!$D$2,)</f>
        <v>cái</v>
      </c>
      <c r="H1363" s="435"/>
      <c r="I1363" s="435"/>
      <c r="J1363" s="435"/>
      <c r="K1363" s="435"/>
      <c r="L1363" s="435"/>
      <c r="M1363" s="435"/>
      <c r="N1363" s="435"/>
      <c r="O1363" s="435"/>
      <c r="P1363" s="435"/>
      <c r="Q1363" s="437"/>
      <c r="R1363" s="437"/>
      <c r="S1363" s="437"/>
      <c r="T1363" s="432">
        <f t="shared" si="252"/>
        <v>0</v>
      </c>
    </row>
    <row r="1364" spans="1:20" ht="22.2" hidden="1" customHeight="1">
      <c r="A1364" s="379"/>
      <c r="B1364" s="438" t="s">
        <v>993</v>
      </c>
      <c r="C1364" s="469" t="str">
        <f t="shared" si="254"/>
        <v xml:space="preserve"> </v>
      </c>
      <c r="D1364" s="439">
        <v>0.02</v>
      </c>
      <c r="E1364" s="422" t="str">
        <f>VLOOKUP($B1364,[1]DG!A:C,2,)</f>
        <v>02.1421</v>
      </c>
      <c r="F1364" s="434" t="str">
        <f>VLOOKUP($B1364,[1]DG!A:C,3,)</f>
        <v>V/c phụ kiện vào vị trí (cự ly &lt;=100m)</v>
      </c>
      <c r="G1364" s="422" t="str">
        <f>VLOOKUP($B1364,[1]DG!A:D,4,0)</f>
        <v>tấn</v>
      </c>
      <c r="H1364" s="435"/>
      <c r="I1364" s="435"/>
      <c r="J1364" s="435"/>
      <c r="K1364" s="435"/>
      <c r="L1364" s="435"/>
      <c r="M1364" s="435"/>
      <c r="N1364" s="435"/>
      <c r="O1364" s="435"/>
      <c r="P1364" s="435"/>
      <c r="Q1364" s="437"/>
      <c r="R1364" s="437"/>
      <c r="S1364" s="437"/>
      <c r="T1364" s="432">
        <f t="shared" si="252"/>
        <v>0</v>
      </c>
    </row>
    <row r="1365" spans="1:20" ht="22.2" hidden="1" customHeight="1">
      <c r="A1365" s="423" t="s">
        <v>1054</v>
      </c>
      <c r="B1365" s="424" t="s">
        <v>1054</v>
      </c>
      <c r="C1365" s="469" t="str">
        <f t="shared" si="254"/>
        <v xml:space="preserve"> </v>
      </c>
      <c r="D1365" s="426"/>
      <c r="E1365" s="427"/>
      <c r="F1365" s="428" t="s">
        <v>1055</v>
      </c>
      <c r="G1365" s="349" t="s">
        <v>67</v>
      </c>
      <c r="H1365" s="429">
        <f>SUM(I1365:O1365)</f>
        <v>0</v>
      </c>
      <c r="I1365" s="430"/>
      <c r="J1365" s="430"/>
      <c r="K1365" s="430">
        <f>IFERROR(HLOOKUP(B1365,[1]pp3p1m!$1:$3,3,0),0)</f>
        <v>0</v>
      </c>
      <c r="L1365" s="430">
        <f>IFERROR(HLOOKUP(chitiet!B1365,[1]pp1p!$1:$3,3,0),0)</f>
        <v>0</v>
      </c>
      <c r="M1365" s="430"/>
      <c r="N1365" s="430"/>
      <c r="O1365" s="430"/>
      <c r="P1365" s="430">
        <f>H1365+Q1365-R1365</f>
        <v>0</v>
      </c>
      <c r="Q1365" s="431"/>
      <c r="R1365" s="431"/>
      <c r="S1365" s="431"/>
      <c r="T1365" s="432">
        <f>IFERROR(HLOOKUP(B1365,[1]pp1p!$1:$3,3,0),0)+IFERROR(HLOOKUP(B1365,[1]pp3p1m!$1:$3,3,0),0)</f>
        <v>0</v>
      </c>
    </row>
    <row r="1366" spans="1:20" ht="22.2" hidden="1" customHeight="1">
      <c r="A1366" s="379"/>
      <c r="B1366" s="410" t="s">
        <v>1031</v>
      </c>
      <c r="C1366" s="469" t="str">
        <f t="shared" si="254"/>
        <v xml:space="preserve"> </v>
      </c>
      <c r="D1366" s="446">
        <v>1</v>
      </c>
      <c r="E1366" s="422"/>
      <c r="F1366" s="441" t="str">
        <f>VLOOKUP($B1366,[1]DG!A:D,[1]DG!$C$2,)&amp;"-Fe8x100 nhuùng keõm"</f>
        <v>Cổ dê Ø 195 nẹp trụ-Fe8x100 nhuùng keõm</v>
      </c>
      <c r="G1366" s="422" t="str">
        <f>VLOOKUP($B1366,[1]DG!A:D,[1]DG!$D$2,)</f>
        <v>bộ</v>
      </c>
      <c r="H1366" s="436">
        <f t="shared" ref="H1366:J1374" si="256">H$1365*$D1366</f>
        <v>0</v>
      </c>
      <c r="I1366" s="436">
        <f t="shared" si="256"/>
        <v>0</v>
      </c>
      <c r="J1366" s="436">
        <f t="shared" si="256"/>
        <v>0</v>
      </c>
      <c r="K1366" s="436"/>
      <c r="L1366" s="436"/>
      <c r="M1366" s="436"/>
      <c r="N1366" s="436"/>
      <c r="O1366" s="436"/>
      <c r="P1366" s="436"/>
      <c r="Q1366" s="447"/>
      <c r="R1366" s="447"/>
      <c r="S1366" s="447"/>
      <c r="T1366" s="432">
        <f t="shared" si="252"/>
        <v>0</v>
      </c>
    </row>
    <row r="1367" spans="1:20" ht="22.2" hidden="1" customHeight="1">
      <c r="A1367" s="379"/>
      <c r="B1367" s="410" t="s">
        <v>988</v>
      </c>
      <c r="C1367" s="469" t="str">
        <f t="shared" si="254"/>
        <v xml:space="preserve"> </v>
      </c>
      <c r="D1367" s="446">
        <v>2</v>
      </c>
      <c r="E1367" s="422"/>
      <c r="F1367" s="441" t="str">
        <f>VLOOKUP($B1367,[1]DG!A:D,[1]DG!$C$2,)</f>
        <v>Sứ chằng</v>
      </c>
      <c r="G1367" s="422" t="str">
        <f>VLOOKUP($B1367,[1]DG!A:D,[1]DG!$D$2,)</f>
        <v>cái</v>
      </c>
      <c r="H1367" s="436">
        <f t="shared" si="256"/>
        <v>0</v>
      </c>
      <c r="I1367" s="436">
        <f t="shared" si="256"/>
        <v>0</v>
      </c>
      <c r="J1367" s="436">
        <f t="shared" si="256"/>
        <v>0</v>
      </c>
      <c r="K1367" s="436"/>
      <c r="L1367" s="436"/>
      <c r="M1367" s="436"/>
      <c r="N1367" s="436"/>
      <c r="O1367" s="436"/>
      <c r="P1367" s="436"/>
      <c r="Q1367" s="447"/>
      <c r="R1367" s="447"/>
      <c r="S1367" s="447"/>
      <c r="T1367" s="432">
        <f t="shared" si="252"/>
        <v>0</v>
      </c>
    </row>
    <row r="1368" spans="1:20" ht="22.2" hidden="1" customHeight="1">
      <c r="A1368" s="379"/>
      <c r="B1368" s="410" t="s">
        <v>989</v>
      </c>
      <c r="C1368" s="469" t="str">
        <f t="shared" si="254"/>
        <v xml:space="preserve"> </v>
      </c>
      <c r="D1368" s="446">
        <v>8</v>
      </c>
      <c r="E1368" s="422"/>
      <c r="F1368" s="441" t="str">
        <f>VLOOKUP($B1368,[1]DG!A:D,[1]DG!$C$2,)</f>
        <v>Kẹp cáp 3 boulon</v>
      </c>
      <c r="G1368" s="422" t="str">
        <f>VLOOKUP($B1368,[1]DG!A:D,[1]DG!$D$2,)</f>
        <v>cái</v>
      </c>
      <c r="H1368" s="436">
        <f t="shared" si="256"/>
        <v>0</v>
      </c>
      <c r="I1368" s="436">
        <f t="shared" si="256"/>
        <v>0</v>
      </c>
      <c r="J1368" s="436">
        <f t="shared" si="256"/>
        <v>0</v>
      </c>
      <c r="K1368" s="436"/>
      <c r="L1368" s="436"/>
      <c r="M1368" s="436"/>
      <c r="N1368" s="436"/>
      <c r="O1368" s="436"/>
      <c r="P1368" s="436"/>
      <c r="Q1368" s="447"/>
      <c r="R1368" s="447"/>
      <c r="S1368" s="447"/>
      <c r="T1368" s="432">
        <f t="shared" si="252"/>
        <v>0</v>
      </c>
    </row>
    <row r="1369" spans="1:20" ht="22.2" hidden="1" customHeight="1">
      <c r="A1369" s="379"/>
      <c r="B1369" s="410" t="s">
        <v>1010</v>
      </c>
      <c r="C1369" s="469" t="str">
        <f t="shared" si="254"/>
        <v xml:space="preserve"> </v>
      </c>
      <c r="D1369" s="446">
        <v>19</v>
      </c>
      <c r="E1369" s="422"/>
      <c r="F1369" s="441" t="str">
        <f>VLOOKUP($B1369,[1]DG!A:D,[1]DG!$C$2,)</f>
        <v>Cáp thép 5/8"</v>
      </c>
      <c r="G1369" s="422" t="str">
        <f>VLOOKUP($B1369,[1]DG!A:D,[1]DG!$D$2,)</f>
        <v>kg</v>
      </c>
      <c r="H1369" s="436">
        <f t="shared" si="256"/>
        <v>0</v>
      </c>
      <c r="I1369" s="436">
        <f t="shared" si="256"/>
        <v>0</v>
      </c>
      <c r="J1369" s="436">
        <f t="shared" si="256"/>
        <v>0</v>
      </c>
      <c r="K1369" s="436"/>
      <c r="L1369" s="436"/>
      <c r="M1369" s="436"/>
      <c r="N1369" s="436"/>
      <c r="O1369" s="436"/>
      <c r="P1369" s="436"/>
      <c r="Q1369" s="447"/>
      <c r="R1369" s="447"/>
      <c r="S1369" s="447"/>
      <c r="T1369" s="432">
        <f t="shared" si="252"/>
        <v>0</v>
      </c>
    </row>
    <row r="1370" spans="1:20" ht="22.2" hidden="1" customHeight="1">
      <c r="A1370" s="379"/>
      <c r="B1370" s="410" t="s">
        <v>962</v>
      </c>
      <c r="C1370" s="469" t="str">
        <f t="shared" si="254"/>
        <v xml:space="preserve"> </v>
      </c>
      <c r="D1370" s="446">
        <v>2</v>
      </c>
      <c r="E1370" s="422"/>
      <c r="F1370" s="441" t="str">
        <f>VLOOKUP($B1370,[1]DG!A:D,[1]DG!$C$2,)</f>
        <v>Sắt dẹt 60 x 6</v>
      </c>
      <c r="G1370" s="422" t="str">
        <f>VLOOKUP($B1370,[1]DG!A:D,[1]DG!$D$2,)</f>
        <v>kg</v>
      </c>
      <c r="H1370" s="436">
        <f t="shared" si="256"/>
        <v>0</v>
      </c>
      <c r="I1370" s="436">
        <f t="shared" si="256"/>
        <v>0</v>
      </c>
      <c r="J1370" s="436">
        <f t="shared" si="256"/>
        <v>0</v>
      </c>
      <c r="K1370" s="436"/>
      <c r="L1370" s="436"/>
      <c r="M1370" s="436"/>
      <c r="N1370" s="436"/>
      <c r="O1370" s="436"/>
      <c r="P1370" s="436"/>
      <c r="Q1370" s="447"/>
      <c r="R1370" s="447"/>
      <c r="S1370" s="447"/>
      <c r="T1370" s="432">
        <f t="shared" si="252"/>
        <v>0</v>
      </c>
    </row>
    <row r="1371" spans="1:20" ht="22.2" hidden="1" customHeight="1">
      <c r="A1371" s="379"/>
      <c r="B1371" s="410" t="s">
        <v>1033</v>
      </c>
      <c r="C1371" s="469" t="str">
        <f t="shared" si="254"/>
        <v xml:space="preserve"> </v>
      </c>
      <c r="D1371" s="446">
        <v>1</v>
      </c>
      <c r="E1371" s="422"/>
      <c r="F1371" s="441" t="str">
        <f>VLOOKUP($B1371,[1]DG!A:D,[1]DG!$C$2,)</f>
        <v xml:space="preserve">Móc treo chữ U </v>
      </c>
      <c r="G1371" s="422" t="str">
        <f>VLOOKUP($B1371,[1]DG!A:D,[1]DG!$D$2,)</f>
        <v>cái</v>
      </c>
      <c r="H1371" s="436">
        <f t="shared" si="256"/>
        <v>0</v>
      </c>
      <c r="I1371" s="436">
        <f t="shared" si="256"/>
        <v>0</v>
      </c>
      <c r="J1371" s="436">
        <f t="shared" si="256"/>
        <v>0</v>
      </c>
      <c r="K1371" s="436"/>
      <c r="L1371" s="436"/>
      <c r="M1371" s="436"/>
      <c r="N1371" s="436"/>
      <c r="O1371" s="436"/>
      <c r="P1371" s="436"/>
      <c r="Q1371" s="447"/>
      <c r="R1371" s="447"/>
      <c r="S1371" s="447"/>
      <c r="T1371" s="432">
        <f t="shared" si="252"/>
        <v>0</v>
      </c>
    </row>
    <row r="1372" spans="1:20" ht="22.2" hidden="1" customHeight="1">
      <c r="A1372" s="379"/>
      <c r="B1372" s="479" t="s">
        <v>1034</v>
      </c>
      <c r="C1372" s="469" t="str">
        <f t="shared" si="254"/>
        <v xml:space="preserve"> </v>
      </c>
      <c r="D1372" s="446">
        <v>2</v>
      </c>
      <c r="E1372" s="422"/>
      <c r="F1372" s="441" t="str">
        <f>VLOOKUP($B1372,[1]DG!A:D,[1]DG!$C$2,)</f>
        <v>Boulon 16x100VRS+ 4 long đền vuông D18-50x50x3/Zn</v>
      </c>
      <c r="G1372" s="422" t="str">
        <f>VLOOKUP($B1372,[1]DG!A:D,[1]DG!$D$2,)</f>
        <v>bộ</v>
      </c>
      <c r="H1372" s="436">
        <f t="shared" si="256"/>
        <v>0</v>
      </c>
      <c r="I1372" s="436">
        <f t="shared" si="256"/>
        <v>0</v>
      </c>
      <c r="J1372" s="436">
        <f t="shared" si="256"/>
        <v>0</v>
      </c>
      <c r="K1372" s="436"/>
      <c r="L1372" s="436"/>
      <c r="M1372" s="436"/>
      <c r="N1372" s="436"/>
      <c r="O1372" s="436"/>
      <c r="P1372" s="436"/>
      <c r="Q1372" s="447"/>
      <c r="R1372" s="447"/>
      <c r="S1372" s="447"/>
      <c r="T1372" s="432">
        <f t="shared" si="252"/>
        <v>0</v>
      </c>
    </row>
    <row r="1373" spans="1:20" ht="22.2" hidden="1" customHeight="1">
      <c r="A1373" s="379"/>
      <c r="B1373" s="410" t="s">
        <v>991</v>
      </c>
      <c r="C1373" s="469" t="str">
        <f t="shared" si="254"/>
        <v xml:space="preserve"> </v>
      </c>
      <c r="D1373" s="446">
        <v>2</v>
      </c>
      <c r="E1373" s="422"/>
      <c r="F1373" s="441" t="str">
        <f>VLOOKUP($B1373,[1]DG!A:D,[1]DG!$C$2,)</f>
        <v>Yếm cáp dày 2mm</v>
      </c>
      <c r="G1373" s="422" t="str">
        <f>VLOOKUP($B1373,[1]DG!A:D,[1]DG!$D$2,)</f>
        <v>cái</v>
      </c>
      <c r="H1373" s="436">
        <f t="shared" si="256"/>
        <v>0</v>
      </c>
      <c r="I1373" s="436">
        <f t="shared" si="256"/>
        <v>0</v>
      </c>
      <c r="J1373" s="436">
        <f t="shared" si="256"/>
        <v>0</v>
      </c>
      <c r="K1373" s="436"/>
      <c r="L1373" s="436"/>
      <c r="M1373" s="436"/>
      <c r="N1373" s="436"/>
      <c r="O1373" s="436"/>
      <c r="P1373" s="436"/>
      <c r="Q1373" s="447"/>
      <c r="R1373" s="447"/>
      <c r="S1373" s="447"/>
      <c r="T1373" s="432">
        <f t="shared" si="252"/>
        <v>0</v>
      </c>
    </row>
    <row r="1374" spans="1:20" ht="22.2" hidden="1" customHeight="1">
      <c r="A1374" s="379"/>
      <c r="B1374" s="410" t="s">
        <v>992</v>
      </c>
      <c r="C1374" s="469" t="str">
        <f t="shared" si="254"/>
        <v xml:space="preserve"> </v>
      </c>
      <c r="D1374" s="446">
        <v>1</v>
      </c>
      <c r="E1374" s="422"/>
      <c r="F1374" s="441" t="str">
        <f>VLOOKUP($B1374,[1]DG!A:D,[1]DG!$C$2,)</f>
        <v>Máng che dây chằng dày 1,6mm</v>
      </c>
      <c r="G1374" s="422" t="str">
        <f>VLOOKUP($B1374,[1]DG!A:D,[1]DG!$D$2,)</f>
        <v>cái</v>
      </c>
      <c r="H1374" s="436">
        <f t="shared" si="256"/>
        <v>0</v>
      </c>
      <c r="I1374" s="436">
        <f t="shared" si="256"/>
        <v>0</v>
      </c>
      <c r="J1374" s="436">
        <f t="shared" si="256"/>
        <v>0</v>
      </c>
      <c r="K1374" s="436"/>
      <c r="L1374" s="436"/>
      <c r="M1374" s="436"/>
      <c r="N1374" s="436"/>
      <c r="O1374" s="436"/>
      <c r="P1374" s="436"/>
      <c r="Q1374" s="447"/>
      <c r="R1374" s="447"/>
      <c r="S1374" s="447"/>
      <c r="T1374" s="432">
        <f t="shared" si="252"/>
        <v>0</v>
      </c>
    </row>
    <row r="1375" spans="1:20" ht="22.2" hidden="1" customHeight="1">
      <c r="A1375" s="379"/>
      <c r="B1375" s="410" t="s">
        <v>588</v>
      </c>
      <c r="C1375" s="469" t="str">
        <f t="shared" si="254"/>
        <v xml:space="preserve"> </v>
      </c>
      <c r="D1375" s="446">
        <f>D1366</f>
        <v>1</v>
      </c>
      <c r="E1375" s="422" t="str">
        <f>VLOOKUP($B1375,[1]DG!A:D,[1]DG!$B$2,)</f>
        <v>06.3241</v>
      </c>
      <c r="F1375" s="434" t="str">
        <f>VLOOKUP($B1375,[1]DG!A:D,[1]DG!$C$2,)</f>
        <v>Lắp bộ dây néo</v>
      </c>
      <c r="G1375" s="422" t="str">
        <f>VLOOKUP($B1375,[1]DG!A:D,[1]DG!$D$2,)</f>
        <v>bộ</v>
      </c>
      <c r="H1375" s="436"/>
      <c r="I1375" s="436"/>
      <c r="J1375" s="436"/>
      <c r="K1375" s="436"/>
      <c r="L1375" s="436"/>
      <c r="M1375" s="436"/>
      <c r="N1375" s="436"/>
      <c r="O1375" s="436"/>
      <c r="P1375" s="436"/>
      <c r="Q1375" s="444"/>
      <c r="R1375" s="444"/>
      <c r="S1375" s="444"/>
      <c r="T1375" s="432">
        <f t="shared" si="252"/>
        <v>0</v>
      </c>
    </row>
    <row r="1376" spans="1:20" ht="22.2" hidden="1" customHeight="1">
      <c r="A1376" s="379"/>
      <c r="B1376" s="410" t="s">
        <v>1035</v>
      </c>
      <c r="C1376" s="469" t="str">
        <f t="shared" si="254"/>
        <v xml:space="preserve"> </v>
      </c>
      <c r="D1376" s="446">
        <v>1</v>
      </c>
      <c r="E1376" s="422" t="str">
        <f>VLOOKUP($B1376,[1]DG!A:D,[1]DG!$B$2,)</f>
        <v>06.2110</v>
      </c>
      <c r="F1376" s="434" t="str">
        <f>VLOOKUP($B1376,[1]DG!A:D,[1]DG!$C$2,)</f>
        <v>Lắp cổ dề</v>
      </c>
      <c r="G1376" s="422" t="str">
        <f>VLOOKUP($B1376,[1]DG!A:D,[1]DG!$D$2,)</f>
        <v>cái</v>
      </c>
      <c r="H1376" s="436"/>
      <c r="I1376" s="436"/>
      <c r="J1376" s="436"/>
      <c r="K1376" s="436"/>
      <c r="L1376" s="436"/>
      <c r="M1376" s="436"/>
      <c r="N1376" s="436"/>
      <c r="O1376" s="436"/>
      <c r="P1376" s="436"/>
      <c r="Q1376" s="444"/>
      <c r="R1376" s="444"/>
      <c r="S1376" s="444"/>
      <c r="T1376" s="432">
        <f t="shared" si="252"/>
        <v>0</v>
      </c>
    </row>
    <row r="1377" spans="1:20" ht="22.2" hidden="1" customHeight="1">
      <c r="A1377" s="379"/>
      <c r="B1377" s="438" t="s">
        <v>993</v>
      </c>
      <c r="C1377" s="469" t="str">
        <f t="shared" si="254"/>
        <v xml:space="preserve"> </v>
      </c>
      <c r="D1377" s="445">
        <v>0.02</v>
      </c>
      <c r="E1377" s="422" t="str">
        <f>VLOOKUP($B1377,[1]DG!A:C,2,)</f>
        <v>02.1421</v>
      </c>
      <c r="F1377" s="434" t="str">
        <f>VLOOKUP($B1377,[1]DG!A:C,3,)</f>
        <v>V/c phụ kiện vào vị trí (cự ly &lt;=100m)</v>
      </c>
      <c r="G1377" s="422" t="str">
        <f>VLOOKUP($B1377,[1]DG!A:D,4,0)</f>
        <v>tấn</v>
      </c>
      <c r="H1377" s="436"/>
      <c r="I1377" s="436"/>
      <c r="J1377" s="436"/>
      <c r="K1377" s="436"/>
      <c r="L1377" s="436"/>
      <c r="M1377" s="436"/>
      <c r="N1377" s="436"/>
      <c r="O1377" s="436"/>
      <c r="P1377" s="436"/>
      <c r="Q1377" s="444"/>
      <c r="R1377" s="444"/>
      <c r="S1377" s="444"/>
      <c r="T1377" s="432">
        <f t="shared" si="252"/>
        <v>0</v>
      </c>
    </row>
    <row r="1378" spans="1:20" ht="22.2" hidden="1" customHeight="1">
      <c r="A1378" s="423" t="s">
        <v>1056</v>
      </c>
      <c r="B1378" s="424" t="s">
        <v>1056</v>
      </c>
      <c r="C1378" s="469" t="str">
        <f t="shared" si="254"/>
        <v xml:space="preserve"> </v>
      </c>
      <c r="D1378" s="426"/>
      <c r="E1378" s="427"/>
      <c r="F1378" s="428" t="s">
        <v>1057</v>
      </c>
      <c r="G1378" s="349" t="s">
        <v>67</v>
      </c>
      <c r="H1378" s="429">
        <f>SUM(I1378:O1378)</f>
        <v>0</v>
      </c>
      <c r="I1378" s="430"/>
      <c r="J1378" s="430"/>
      <c r="K1378" s="430">
        <f>IFERROR(HLOOKUP(B1378,[1]pp3p1m!$1:$3,3,0),0)</f>
        <v>0</v>
      </c>
      <c r="L1378" s="430">
        <f>IFERROR(HLOOKUP(chitiet!B1378,[1]pp1p!$1:$3,3,0),0)</f>
        <v>0</v>
      </c>
      <c r="M1378" s="430"/>
      <c r="N1378" s="430"/>
      <c r="O1378" s="430"/>
      <c r="P1378" s="430">
        <f>H1378+Q1378-R1378</f>
        <v>0</v>
      </c>
      <c r="Q1378" s="431"/>
      <c r="R1378" s="431"/>
      <c r="S1378" s="431"/>
      <c r="T1378" s="432">
        <f>IFERROR(HLOOKUP(B1378,[1]pp1p!$1:$3,3,0),0)+IFERROR(HLOOKUP(B1378,[1]pp3p1m!$1:$3,3,0),0)</f>
        <v>0</v>
      </c>
    </row>
    <row r="1379" spans="1:20" ht="22.2" hidden="1" customHeight="1">
      <c r="A1379" s="379"/>
      <c r="B1379" s="410" t="s">
        <v>1031</v>
      </c>
      <c r="C1379" s="469" t="str">
        <f t="shared" si="254"/>
        <v xml:space="preserve"> </v>
      </c>
      <c r="D1379" s="440">
        <v>1</v>
      </c>
      <c r="E1379" s="422"/>
      <c r="F1379" s="441" t="str">
        <f>VLOOKUP($B1379,[1]DG!A:D,[1]DG!$C$2,)&amp;"-Fe8x100 nhuùng keõm"</f>
        <v>Cổ dê Ø 195 nẹp trụ-Fe8x100 nhuùng keõm</v>
      </c>
      <c r="G1379" s="422" t="str">
        <f>VLOOKUP($B1379,[1]DG!A:D,[1]DG!$D$2,)</f>
        <v>bộ</v>
      </c>
      <c r="H1379" s="435">
        <f t="shared" ref="H1379:N1386" si="257">H$1378*$D1379</f>
        <v>0</v>
      </c>
      <c r="I1379" s="435">
        <f t="shared" si="257"/>
        <v>0</v>
      </c>
      <c r="J1379" s="435">
        <f t="shared" si="257"/>
        <v>0</v>
      </c>
      <c r="K1379" s="435">
        <f t="shared" si="257"/>
        <v>0</v>
      </c>
      <c r="L1379" s="435">
        <f t="shared" si="257"/>
        <v>0</v>
      </c>
      <c r="M1379" s="435">
        <f t="shared" si="257"/>
        <v>0</v>
      </c>
      <c r="N1379" s="435">
        <f t="shared" si="257"/>
        <v>0</v>
      </c>
      <c r="O1379" s="435"/>
      <c r="P1379" s="435"/>
      <c r="Q1379" s="442"/>
      <c r="R1379" s="442"/>
      <c r="S1379" s="442"/>
      <c r="T1379" s="432">
        <f t="shared" si="252"/>
        <v>0</v>
      </c>
    </row>
    <row r="1380" spans="1:20" ht="22.2" hidden="1" customHeight="1">
      <c r="A1380" s="379"/>
      <c r="B1380" s="410" t="s">
        <v>988</v>
      </c>
      <c r="C1380" s="469" t="str">
        <f t="shared" si="254"/>
        <v xml:space="preserve"> </v>
      </c>
      <c r="D1380" s="440">
        <v>2</v>
      </c>
      <c r="E1380" s="422"/>
      <c r="F1380" s="441" t="str">
        <f>VLOOKUP($B1380,[1]DG!A:D,[1]DG!$C$2,)</f>
        <v>Sứ chằng</v>
      </c>
      <c r="G1380" s="422" t="str">
        <f>VLOOKUP($B1380,[1]DG!A:D,[1]DG!$D$2,)</f>
        <v>cái</v>
      </c>
      <c r="H1380" s="435">
        <f t="shared" si="257"/>
        <v>0</v>
      </c>
      <c r="I1380" s="435">
        <f t="shared" si="257"/>
        <v>0</v>
      </c>
      <c r="J1380" s="435">
        <f t="shared" si="257"/>
        <v>0</v>
      </c>
      <c r="K1380" s="435">
        <f t="shared" si="257"/>
        <v>0</v>
      </c>
      <c r="L1380" s="435">
        <f t="shared" si="257"/>
        <v>0</v>
      </c>
      <c r="M1380" s="435">
        <f t="shared" si="257"/>
        <v>0</v>
      </c>
      <c r="N1380" s="435">
        <f t="shared" si="257"/>
        <v>0</v>
      </c>
      <c r="O1380" s="435"/>
      <c r="P1380" s="435"/>
      <c r="Q1380" s="442"/>
      <c r="R1380" s="442"/>
      <c r="S1380" s="442"/>
      <c r="T1380" s="432">
        <f t="shared" si="252"/>
        <v>0</v>
      </c>
    </row>
    <row r="1381" spans="1:20" ht="22.2" hidden="1" customHeight="1">
      <c r="A1381" s="379"/>
      <c r="B1381" s="410" t="s">
        <v>989</v>
      </c>
      <c r="C1381" s="469" t="str">
        <f t="shared" si="254"/>
        <v xml:space="preserve"> </v>
      </c>
      <c r="D1381" s="440">
        <v>12</v>
      </c>
      <c r="E1381" s="422"/>
      <c r="F1381" s="441" t="str">
        <f>VLOOKUP($B1381,[1]DG!A:D,[1]DG!$C$2,)</f>
        <v>Kẹp cáp 3 boulon</v>
      </c>
      <c r="G1381" s="422" t="str">
        <f>VLOOKUP($B1381,[1]DG!A:D,[1]DG!$D$2,)</f>
        <v>cái</v>
      </c>
      <c r="H1381" s="435">
        <f t="shared" si="257"/>
        <v>0</v>
      </c>
      <c r="I1381" s="435">
        <f t="shared" si="257"/>
        <v>0</v>
      </c>
      <c r="J1381" s="435">
        <f t="shared" si="257"/>
        <v>0</v>
      </c>
      <c r="K1381" s="435">
        <f t="shared" si="257"/>
        <v>0</v>
      </c>
      <c r="L1381" s="435">
        <f t="shared" si="257"/>
        <v>0</v>
      </c>
      <c r="M1381" s="435">
        <f t="shared" si="257"/>
        <v>0</v>
      </c>
      <c r="N1381" s="435">
        <f t="shared" si="257"/>
        <v>0</v>
      </c>
      <c r="O1381" s="435"/>
      <c r="P1381" s="435"/>
      <c r="Q1381" s="442"/>
      <c r="R1381" s="442"/>
      <c r="S1381" s="442"/>
      <c r="T1381" s="432">
        <f t="shared" si="252"/>
        <v>0</v>
      </c>
    </row>
    <row r="1382" spans="1:20" ht="22.2" hidden="1" customHeight="1">
      <c r="A1382" s="379"/>
      <c r="B1382" s="478" t="s">
        <v>1032</v>
      </c>
      <c r="C1382" s="469" t="str">
        <f t="shared" si="254"/>
        <v xml:space="preserve"> </v>
      </c>
      <c r="D1382" s="440">
        <v>6</v>
      </c>
      <c r="E1382" s="422"/>
      <c r="F1382" s="441" t="str">
        <f>VLOOKUP($B1382,[1]DG!A:D,[1]DG!$C$2,)</f>
        <v>Kẹp hotline 4/0</v>
      </c>
      <c r="G1382" s="422" t="str">
        <f>VLOOKUP($B1382,[1]DG!A:D,[1]DG!$D$2,)</f>
        <v>cái</v>
      </c>
      <c r="H1382" s="435">
        <f t="shared" si="257"/>
        <v>0</v>
      </c>
      <c r="I1382" s="435">
        <f t="shared" si="257"/>
        <v>0</v>
      </c>
      <c r="J1382" s="435">
        <f t="shared" si="257"/>
        <v>0</v>
      </c>
      <c r="K1382" s="435">
        <f t="shared" si="257"/>
        <v>0</v>
      </c>
      <c r="L1382" s="435">
        <f t="shared" si="257"/>
        <v>0</v>
      </c>
      <c r="M1382" s="435">
        <f t="shared" si="257"/>
        <v>0</v>
      </c>
      <c r="N1382" s="435">
        <f t="shared" si="257"/>
        <v>0</v>
      </c>
      <c r="O1382" s="435"/>
      <c r="P1382" s="435"/>
      <c r="Q1382" s="442"/>
      <c r="R1382" s="442"/>
      <c r="S1382" s="442"/>
      <c r="T1382" s="432">
        <f t="shared" si="252"/>
        <v>0</v>
      </c>
    </row>
    <row r="1383" spans="1:20" ht="22.2" hidden="1" customHeight="1">
      <c r="A1383" s="379"/>
      <c r="B1383" s="410" t="s">
        <v>962</v>
      </c>
      <c r="C1383" s="469" t="str">
        <f t="shared" si="254"/>
        <v xml:space="preserve"> </v>
      </c>
      <c r="D1383" s="440">
        <v>2</v>
      </c>
      <c r="E1383" s="422"/>
      <c r="F1383" s="441" t="str">
        <f>VLOOKUP($B1383,[1]DG!A:D,[1]DG!$C$2,)</f>
        <v>Sắt dẹt 60 x 6</v>
      </c>
      <c r="G1383" s="422" t="str">
        <f>VLOOKUP($B1383,[1]DG!A:D,[1]DG!$D$2,)</f>
        <v>kg</v>
      </c>
      <c r="H1383" s="435">
        <f t="shared" si="257"/>
        <v>0</v>
      </c>
      <c r="I1383" s="435">
        <f t="shared" si="257"/>
        <v>0</v>
      </c>
      <c r="J1383" s="435">
        <f t="shared" si="257"/>
        <v>0</v>
      </c>
      <c r="K1383" s="435">
        <f t="shared" si="257"/>
        <v>0</v>
      </c>
      <c r="L1383" s="435">
        <f t="shared" si="257"/>
        <v>0</v>
      </c>
      <c r="M1383" s="435">
        <f t="shared" si="257"/>
        <v>0</v>
      </c>
      <c r="N1383" s="435">
        <f t="shared" si="257"/>
        <v>0</v>
      </c>
      <c r="O1383" s="435"/>
      <c r="P1383" s="435"/>
      <c r="Q1383" s="442"/>
      <c r="R1383" s="442"/>
      <c r="S1383" s="442"/>
      <c r="T1383" s="432">
        <f t="shared" si="252"/>
        <v>0</v>
      </c>
    </row>
    <row r="1384" spans="1:20" ht="22.2" hidden="1" customHeight="1">
      <c r="A1384" s="379"/>
      <c r="B1384" s="410" t="s">
        <v>1033</v>
      </c>
      <c r="C1384" s="469" t="str">
        <f t="shared" si="254"/>
        <v xml:space="preserve"> </v>
      </c>
      <c r="D1384" s="440">
        <v>2</v>
      </c>
      <c r="E1384" s="422"/>
      <c r="F1384" s="441" t="str">
        <f>VLOOKUP($B1384,[1]DG!A:D,[1]DG!$C$2,)</f>
        <v xml:space="preserve">Móc treo chữ U </v>
      </c>
      <c r="G1384" s="422" t="str">
        <f>VLOOKUP($B1384,[1]DG!A:D,[1]DG!$D$2,)</f>
        <v>cái</v>
      </c>
      <c r="H1384" s="435">
        <f t="shared" si="257"/>
        <v>0</v>
      </c>
      <c r="I1384" s="435">
        <f t="shared" si="257"/>
        <v>0</v>
      </c>
      <c r="J1384" s="435">
        <f t="shared" si="257"/>
        <v>0</v>
      </c>
      <c r="K1384" s="435">
        <f t="shared" si="257"/>
        <v>0</v>
      </c>
      <c r="L1384" s="435">
        <f t="shared" si="257"/>
        <v>0</v>
      </c>
      <c r="M1384" s="435">
        <f t="shared" si="257"/>
        <v>0</v>
      </c>
      <c r="N1384" s="435">
        <f t="shared" si="257"/>
        <v>0</v>
      </c>
      <c r="O1384" s="435"/>
      <c r="P1384" s="435"/>
      <c r="Q1384" s="442"/>
      <c r="R1384" s="442"/>
      <c r="S1384" s="442"/>
      <c r="T1384" s="432">
        <f t="shared" si="252"/>
        <v>0</v>
      </c>
    </row>
    <row r="1385" spans="1:20" ht="22.2" hidden="1" customHeight="1">
      <c r="A1385" s="379"/>
      <c r="B1385" s="479" t="s">
        <v>1034</v>
      </c>
      <c r="C1385" s="469" t="str">
        <f t="shared" si="254"/>
        <v xml:space="preserve"> </v>
      </c>
      <c r="D1385" s="440">
        <v>2</v>
      </c>
      <c r="E1385" s="422"/>
      <c r="F1385" s="441" t="str">
        <f>VLOOKUP($B1385,[1]DG!A:D,[1]DG!$C$2,)</f>
        <v>Boulon 16x100VRS+ 4 long đền vuông D18-50x50x3/Zn</v>
      </c>
      <c r="G1385" s="422" t="str">
        <f>VLOOKUP($B1385,[1]DG!A:D,[1]DG!$D$2,)</f>
        <v>bộ</v>
      </c>
      <c r="H1385" s="435">
        <f t="shared" si="257"/>
        <v>0</v>
      </c>
      <c r="I1385" s="435">
        <f t="shared" si="257"/>
        <v>0</v>
      </c>
      <c r="J1385" s="435">
        <f t="shared" si="257"/>
        <v>0</v>
      </c>
      <c r="K1385" s="435">
        <f t="shared" si="257"/>
        <v>0</v>
      </c>
      <c r="L1385" s="435">
        <f t="shared" si="257"/>
        <v>0</v>
      </c>
      <c r="M1385" s="435">
        <f t="shared" si="257"/>
        <v>0</v>
      </c>
      <c r="N1385" s="435">
        <f t="shared" si="257"/>
        <v>0</v>
      </c>
      <c r="O1385" s="435"/>
      <c r="P1385" s="435"/>
      <c r="Q1385" s="442"/>
      <c r="R1385" s="442"/>
      <c r="S1385" s="442"/>
      <c r="T1385" s="432">
        <f t="shared" si="252"/>
        <v>0</v>
      </c>
    </row>
    <row r="1386" spans="1:20" ht="22.2" hidden="1" customHeight="1">
      <c r="A1386" s="379"/>
      <c r="B1386" s="410" t="s">
        <v>991</v>
      </c>
      <c r="C1386" s="469" t="str">
        <f t="shared" si="254"/>
        <v xml:space="preserve"> </v>
      </c>
      <c r="D1386" s="440">
        <v>2</v>
      </c>
      <c r="E1386" s="422"/>
      <c r="F1386" s="441" t="str">
        <f>VLOOKUP($B1386,[1]DG!A:D,[1]DG!$C$2,)</f>
        <v>Yếm cáp dày 2mm</v>
      </c>
      <c r="G1386" s="422" t="str">
        <f>VLOOKUP($B1386,[1]DG!A:D,[1]DG!$D$2,)</f>
        <v>cái</v>
      </c>
      <c r="H1386" s="435">
        <f t="shared" si="257"/>
        <v>0</v>
      </c>
      <c r="I1386" s="435">
        <f t="shared" si="257"/>
        <v>0</v>
      </c>
      <c r="J1386" s="435">
        <f t="shared" si="257"/>
        <v>0</v>
      </c>
      <c r="K1386" s="435">
        <f t="shared" si="257"/>
        <v>0</v>
      </c>
      <c r="L1386" s="435">
        <f t="shared" si="257"/>
        <v>0</v>
      </c>
      <c r="M1386" s="435">
        <f t="shared" si="257"/>
        <v>0</v>
      </c>
      <c r="N1386" s="435">
        <f t="shared" si="257"/>
        <v>0</v>
      </c>
      <c r="O1386" s="435"/>
      <c r="P1386" s="435"/>
      <c r="Q1386" s="442"/>
      <c r="R1386" s="442"/>
      <c r="S1386" s="442"/>
      <c r="T1386" s="432">
        <f t="shared" si="252"/>
        <v>0</v>
      </c>
    </row>
    <row r="1387" spans="1:20" ht="22.2" hidden="1" customHeight="1">
      <c r="A1387" s="379"/>
      <c r="B1387" s="410" t="s">
        <v>588</v>
      </c>
      <c r="C1387" s="469" t="str">
        <f t="shared" si="254"/>
        <v xml:space="preserve"> </v>
      </c>
      <c r="D1387" s="440">
        <f>D1379</f>
        <v>1</v>
      </c>
      <c r="E1387" s="422" t="str">
        <f>VLOOKUP($B1387,[1]DG!A:D,[1]DG!$B$2,)</f>
        <v>06.3241</v>
      </c>
      <c r="F1387" s="434" t="str">
        <f>VLOOKUP($B1387,[1]DG!A:D,[1]DG!$C$2,)</f>
        <v>Lắp bộ dây néo</v>
      </c>
      <c r="G1387" s="422" t="str">
        <f>VLOOKUP($B1387,[1]DG!A:D,[1]DG!$D$2,)</f>
        <v>bộ</v>
      </c>
      <c r="H1387" s="435"/>
      <c r="I1387" s="435"/>
      <c r="J1387" s="435"/>
      <c r="K1387" s="435"/>
      <c r="L1387" s="435"/>
      <c r="M1387" s="435"/>
      <c r="N1387" s="435"/>
      <c r="O1387" s="435"/>
      <c r="P1387" s="435"/>
      <c r="Q1387" s="437"/>
      <c r="R1387" s="437"/>
      <c r="S1387" s="437"/>
      <c r="T1387" s="432">
        <f t="shared" ref="T1387:T1450" si="258">IFERROR(HLOOKUP(B1387,BangKeTru,3,0),0)</f>
        <v>0</v>
      </c>
    </row>
    <row r="1388" spans="1:20" ht="22.2" hidden="1" customHeight="1">
      <c r="A1388" s="379"/>
      <c r="B1388" s="410" t="s">
        <v>1035</v>
      </c>
      <c r="C1388" s="469" t="str">
        <f t="shared" si="254"/>
        <v xml:space="preserve"> </v>
      </c>
      <c r="D1388" s="440">
        <v>1</v>
      </c>
      <c r="E1388" s="422" t="str">
        <f>VLOOKUP($B1388,[1]DG!A:D,[1]DG!$B$2,)</f>
        <v>06.2110</v>
      </c>
      <c r="F1388" s="434" t="str">
        <f>VLOOKUP($B1388,[1]DG!A:D,[1]DG!$C$2,)</f>
        <v>Lắp cổ dề</v>
      </c>
      <c r="G1388" s="422" t="str">
        <f>VLOOKUP($B1388,[1]DG!A:D,[1]DG!$D$2,)</f>
        <v>cái</v>
      </c>
      <c r="H1388" s="435"/>
      <c r="I1388" s="435"/>
      <c r="J1388" s="435"/>
      <c r="K1388" s="435"/>
      <c r="L1388" s="435"/>
      <c r="M1388" s="435"/>
      <c r="N1388" s="435"/>
      <c r="O1388" s="435"/>
      <c r="P1388" s="435"/>
      <c r="Q1388" s="437"/>
      <c r="R1388" s="437"/>
      <c r="S1388" s="437"/>
      <c r="T1388" s="432">
        <f t="shared" si="258"/>
        <v>0</v>
      </c>
    </row>
    <row r="1389" spans="1:20" ht="22.2" hidden="1" customHeight="1">
      <c r="A1389" s="379"/>
      <c r="B1389" s="438" t="s">
        <v>993</v>
      </c>
      <c r="C1389" s="469" t="str">
        <f t="shared" si="254"/>
        <v xml:space="preserve"> </v>
      </c>
      <c r="D1389" s="439">
        <v>0.02</v>
      </c>
      <c r="E1389" s="422" t="str">
        <f>VLOOKUP($B1389,[1]DG!A:C,2,)</f>
        <v>02.1421</v>
      </c>
      <c r="F1389" s="434" t="str">
        <f>VLOOKUP($B1389,[1]DG!A:C,3,)</f>
        <v>V/c phụ kiện vào vị trí (cự ly &lt;=100m)</v>
      </c>
      <c r="G1389" s="422" t="str">
        <f>VLOOKUP($B1389,[1]DG!A:D,4,0)</f>
        <v>tấn</v>
      </c>
      <c r="H1389" s="435"/>
      <c r="I1389" s="435"/>
      <c r="J1389" s="435"/>
      <c r="K1389" s="435"/>
      <c r="L1389" s="435"/>
      <c r="M1389" s="435"/>
      <c r="N1389" s="435"/>
      <c r="O1389" s="435"/>
      <c r="P1389" s="435"/>
      <c r="Q1389" s="437"/>
      <c r="R1389" s="437"/>
      <c r="S1389" s="437"/>
      <c r="T1389" s="432">
        <f t="shared" si="258"/>
        <v>0</v>
      </c>
    </row>
    <row r="1390" spans="1:20" ht="22.2" hidden="1" customHeight="1">
      <c r="A1390" s="423" t="s">
        <v>1058</v>
      </c>
      <c r="B1390" s="424" t="s">
        <v>1058</v>
      </c>
      <c r="C1390" s="469" t="str">
        <f t="shared" si="254"/>
        <v xml:space="preserve"> </v>
      </c>
      <c r="D1390" s="426"/>
      <c r="E1390" s="427"/>
      <c r="F1390" s="428" t="s">
        <v>1059</v>
      </c>
      <c r="G1390" s="349" t="s">
        <v>67</v>
      </c>
      <c r="H1390" s="429">
        <f>SUM(I1390:O1390)</f>
        <v>0</v>
      </c>
      <c r="I1390" s="430"/>
      <c r="J1390" s="430"/>
      <c r="K1390" s="430">
        <f>IFERROR(HLOOKUP(B1390,[1]pp3p1m!$1:$3,3,0),0)</f>
        <v>0</v>
      </c>
      <c r="L1390" s="430">
        <f>IFERROR(HLOOKUP(chitiet!B1390,[1]pp1p!$1:$3,3,0),0)</f>
        <v>0</v>
      </c>
      <c r="M1390" s="430"/>
      <c r="N1390" s="430"/>
      <c r="O1390" s="430"/>
      <c r="P1390" s="430">
        <f>H1390+Q1390-R1390</f>
        <v>0</v>
      </c>
      <c r="Q1390" s="431"/>
      <c r="R1390" s="431"/>
      <c r="S1390" s="431"/>
      <c r="T1390" s="432">
        <f>IFERROR(HLOOKUP(B1390,[1]pp1p!$1:$3,3,0),0)+IFERROR(HLOOKUP(B1390,[1]pp3p1m!$1:$3,3,0),0)</f>
        <v>0</v>
      </c>
    </row>
    <row r="1391" spans="1:20" ht="22.2" hidden="1" customHeight="1">
      <c r="A1391" s="379"/>
      <c r="B1391" s="410" t="s">
        <v>1031</v>
      </c>
      <c r="C1391" s="469" t="str">
        <f t="shared" si="254"/>
        <v xml:space="preserve"> </v>
      </c>
      <c r="D1391" s="440">
        <v>2</v>
      </c>
      <c r="E1391" s="422"/>
      <c r="F1391" s="441" t="str">
        <f>VLOOKUP($B1391,[1]DG!A:D,[1]DG!$C$2,)&amp;"-Fe8x100 nhuùng keõm"</f>
        <v>Cổ dê Ø 195 nẹp trụ-Fe8x100 nhuùng keõm</v>
      </c>
      <c r="G1391" s="422" t="str">
        <f>VLOOKUP($B1391,[1]DG!A:D,[1]DG!$D$2,)</f>
        <v>bộ</v>
      </c>
      <c r="H1391" s="435">
        <f t="shared" ref="H1391:N1398" si="259">H$1390*$D1391</f>
        <v>0</v>
      </c>
      <c r="I1391" s="435">
        <f t="shared" si="259"/>
        <v>0</v>
      </c>
      <c r="J1391" s="435">
        <f t="shared" si="259"/>
        <v>0</v>
      </c>
      <c r="K1391" s="435">
        <f t="shared" si="259"/>
        <v>0</v>
      </c>
      <c r="L1391" s="435">
        <f t="shared" si="259"/>
        <v>0</v>
      </c>
      <c r="M1391" s="435">
        <f t="shared" si="259"/>
        <v>0</v>
      </c>
      <c r="N1391" s="435">
        <f t="shared" si="259"/>
        <v>0</v>
      </c>
      <c r="O1391" s="435"/>
      <c r="P1391" s="435"/>
      <c r="Q1391" s="442"/>
      <c r="R1391" s="442"/>
      <c r="S1391" s="442"/>
      <c r="T1391" s="432">
        <f t="shared" si="258"/>
        <v>0</v>
      </c>
    </row>
    <row r="1392" spans="1:20" ht="22.2" hidden="1" customHeight="1">
      <c r="A1392" s="379"/>
      <c r="B1392" s="410" t="s">
        <v>988</v>
      </c>
      <c r="C1392" s="469" t="str">
        <f t="shared" si="254"/>
        <v xml:space="preserve"> </v>
      </c>
      <c r="D1392" s="440">
        <v>4</v>
      </c>
      <c r="E1392" s="422"/>
      <c r="F1392" s="441" t="str">
        <f>VLOOKUP($B1392,[1]DG!A:D,[1]DG!$C$2,)</f>
        <v>Sứ chằng</v>
      </c>
      <c r="G1392" s="422" t="str">
        <f>VLOOKUP($B1392,[1]DG!A:D,[1]DG!$D$2,)</f>
        <v>cái</v>
      </c>
      <c r="H1392" s="435">
        <f t="shared" si="259"/>
        <v>0</v>
      </c>
      <c r="I1392" s="435">
        <f t="shared" si="259"/>
        <v>0</v>
      </c>
      <c r="J1392" s="435">
        <f t="shared" si="259"/>
        <v>0</v>
      </c>
      <c r="K1392" s="435">
        <f t="shared" si="259"/>
        <v>0</v>
      </c>
      <c r="L1392" s="435">
        <f t="shared" si="259"/>
        <v>0</v>
      </c>
      <c r="M1392" s="435">
        <f t="shared" si="259"/>
        <v>0</v>
      </c>
      <c r="N1392" s="435">
        <f t="shared" si="259"/>
        <v>0</v>
      </c>
      <c r="O1392" s="435"/>
      <c r="P1392" s="435"/>
      <c r="Q1392" s="442"/>
      <c r="R1392" s="442"/>
      <c r="S1392" s="442"/>
      <c r="T1392" s="432">
        <f t="shared" si="258"/>
        <v>0</v>
      </c>
    </row>
    <row r="1393" spans="1:20" ht="22.2" hidden="1" customHeight="1">
      <c r="A1393" s="379"/>
      <c r="B1393" s="410" t="s">
        <v>989</v>
      </c>
      <c r="C1393" s="469" t="str">
        <f t="shared" si="254"/>
        <v xml:space="preserve"> </v>
      </c>
      <c r="D1393" s="440">
        <v>24</v>
      </c>
      <c r="E1393" s="422"/>
      <c r="F1393" s="441" t="str">
        <f>VLOOKUP($B1393,[1]DG!A:D,[1]DG!$C$2,)</f>
        <v>Kẹp cáp 3 boulon</v>
      </c>
      <c r="G1393" s="422" t="str">
        <f>VLOOKUP($B1393,[1]DG!A:D,[1]DG!$D$2,)</f>
        <v>cái</v>
      </c>
      <c r="H1393" s="435">
        <f t="shared" si="259"/>
        <v>0</v>
      </c>
      <c r="I1393" s="435">
        <f t="shared" si="259"/>
        <v>0</v>
      </c>
      <c r="J1393" s="435">
        <f t="shared" si="259"/>
        <v>0</v>
      </c>
      <c r="K1393" s="435">
        <f t="shared" si="259"/>
        <v>0</v>
      </c>
      <c r="L1393" s="435">
        <f t="shared" si="259"/>
        <v>0</v>
      </c>
      <c r="M1393" s="435">
        <f t="shared" si="259"/>
        <v>0</v>
      </c>
      <c r="N1393" s="435">
        <f t="shared" si="259"/>
        <v>0</v>
      </c>
      <c r="O1393" s="435"/>
      <c r="P1393" s="435"/>
      <c r="Q1393" s="442"/>
      <c r="R1393" s="442"/>
      <c r="S1393" s="442"/>
      <c r="T1393" s="432">
        <f t="shared" si="258"/>
        <v>0</v>
      </c>
    </row>
    <row r="1394" spans="1:20" ht="22.2" hidden="1" customHeight="1">
      <c r="A1394" s="379"/>
      <c r="B1394" s="478" t="s">
        <v>1032</v>
      </c>
      <c r="C1394" s="469" t="str">
        <f t="shared" si="254"/>
        <v xml:space="preserve"> </v>
      </c>
      <c r="D1394" s="440">
        <v>12</v>
      </c>
      <c r="E1394" s="422"/>
      <c r="F1394" s="441" t="str">
        <f>VLOOKUP($B1394,[1]DG!A:D,[1]DG!$C$2,)</f>
        <v>Kẹp hotline 4/0</v>
      </c>
      <c r="G1394" s="422" t="str">
        <f>VLOOKUP($B1394,[1]DG!A:D,[1]DG!$D$2,)</f>
        <v>cái</v>
      </c>
      <c r="H1394" s="435">
        <f t="shared" si="259"/>
        <v>0</v>
      </c>
      <c r="I1394" s="435">
        <f t="shared" si="259"/>
        <v>0</v>
      </c>
      <c r="J1394" s="435">
        <f t="shared" si="259"/>
        <v>0</v>
      </c>
      <c r="K1394" s="435">
        <f t="shared" si="259"/>
        <v>0</v>
      </c>
      <c r="L1394" s="435">
        <f t="shared" si="259"/>
        <v>0</v>
      </c>
      <c r="M1394" s="435">
        <f t="shared" si="259"/>
        <v>0</v>
      </c>
      <c r="N1394" s="435">
        <f t="shared" si="259"/>
        <v>0</v>
      </c>
      <c r="O1394" s="435"/>
      <c r="P1394" s="435"/>
      <c r="Q1394" s="442"/>
      <c r="R1394" s="442"/>
      <c r="S1394" s="442"/>
      <c r="T1394" s="432">
        <f t="shared" si="258"/>
        <v>0</v>
      </c>
    </row>
    <row r="1395" spans="1:20" ht="22.2" hidden="1" customHeight="1">
      <c r="A1395" s="379"/>
      <c r="B1395" s="410" t="s">
        <v>962</v>
      </c>
      <c r="C1395" s="469" t="str">
        <f t="shared" si="254"/>
        <v xml:space="preserve"> </v>
      </c>
      <c r="D1395" s="440">
        <v>8</v>
      </c>
      <c r="E1395" s="422"/>
      <c r="F1395" s="441" t="str">
        <f>VLOOKUP($B1395,[1]DG!A:D,[1]DG!$C$2,)</f>
        <v>Sắt dẹt 60 x 6</v>
      </c>
      <c r="G1395" s="422" t="str">
        <f>VLOOKUP($B1395,[1]DG!A:D,[1]DG!$D$2,)</f>
        <v>kg</v>
      </c>
      <c r="H1395" s="435">
        <f t="shared" si="259"/>
        <v>0</v>
      </c>
      <c r="I1395" s="435">
        <f t="shared" si="259"/>
        <v>0</v>
      </c>
      <c r="J1395" s="435">
        <f t="shared" si="259"/>
        <v>0</v>
      </c>
      <c r="K1395" s="435">
        <f t="shared" si="259"/>
        <v>0</v>
      </c>
      <c r="L1395" s="435">
        <f t="shared" si="259"/>
        <v>0</v>
      </c>
      <c r="M1395" s="435">
        <f t="shared" si="259"/>
        <v>0</v>
      </c>
      <c r="N1395" s="435">
        <f t="shared" si="259"/>
        <v>0</v>
      </c>
      <c r="O1395" s="435"/>
      <c r="P1395" s="435"/>
      <c r="Q1395" s="442"/>
      <c r="R1395" s="442"/>
      <c r="S1395" s="442"/>
      <c r="T1395" s="432">
        <f t="shared" si="258"/>
        <v>0</v>
      </c>
    </row>
    <row r="1396" spans="1:20" ht="22.2" hidden="1" customHeight="1">
      <c r="A1396" s="379"/>
      <c r="B1396" s="410" t="s">
        <v>1033</v>
      </c>
      <c r="C1396" s="469" t="str">
        <f t="shared" si="254"/>
        <v xml:space="preserve"> </v>
      </c>
      <c r="D1396" s="440">
        <v>6</v>
      </c>
      <c r="E1396" s="422"/>
      <c r="F1396" s="441" t="str">
        <f>VLOOKUP($B1396,[1]DG!A:D,[1]DG!$C$2,)</f>
        <v xml:space="preserve">Móc treo chữ U </v>
      </c>
      <c r="G1396" s="422" t="str">
        <f>VLOOKUP($B1396,[1]DG!A:D,[1]DG!$D$2,)</f>
        <v>cái</v>
      </c>
      <c r="H1396" s="435">
        <f t="shared" si="259"/>
        <v>0</v>
      </c>
      <c r="I1396" s="435">
        <f t="shared" si="259"/>
        <v>0</v>
      </c>
      <c r="J1396" s="435">
        <f t="shared" si="259"/>
        <v>0</v>
      </c>
      <c r="K1396" s="435">
        <f t="shared" si="259"/>
        <v>0</v>
      </c>
      <c r="L1396" s="435">
        <f t="shared" si="259"/>
        <v>0</v>
      </c>
      <c r="M1396" s="435">
        <f t="shared" si="259"/>
        <v>0</v>
      </c>
      <c r="N1396" s="435">
        <f t="shared" si="259"/>
        <v>0</v>
      </c>
      <c r="O1396" s="435"/>
      <c r="P1396" s="435"/>
      <c r="Q1396" s="442"/>
      <c r="R1396" s="442"/>
      <c r="S1396" s="442"/>
      <c r="T1396" s="432">
        <f t="shared" si="258"/>
        <v>0</v>
      </c>
    </row>
    <row r="1397" spans="1:20" ht="22.2" hidden="1" customHeight="1">
      <c r="A1397" s="379"/>
      <c r="B1397" s="479" t="s">
        <v>1034</v>
      </c>
      <c r="C1397" s="469" t="str">
        <f t="shared" si="254"/>
        <v xml:space="preserve"> </v>
      </c>
      <c r="D1397" s="440">
        <v>4</v>
      </c>
      <c r="E1397" s="422"/>
      <c r="F1397" s="441" t="str">
        <f>VLOOKUP($B1397,[1]DG!A:D,[1]DG!$C$2,)</f>
        <v>Boulon 16x100VRS+ 4 long đền vuông D18-50x50x3/Zn</v>
      </c>
      <c r="G1397" s="422" t="str">
        <f>VLOOKUP($B1397,[1]DG!A:D,[1]DG!$D$2,)</f>
        <v>bộ</v>
      </c>
      <c r="H1397" s="435">
        <f t="shared" si="259"/>
        <v>0</v>
      </c>
      <c r="I1397" s="435">
        <f t="shared" si="259"/>
        <v>0</v>
      </c>
      <c r="J1397" s="435">
        <f t="shared" si="259"/>
        <v>0</v>
      </c>
      <c r="K1397" s="435">
        <f t="shared" si="259"/>
        <v>0</v>
      </c>
      <c r="L1397" s="435">
        <f t="shared" si="259"/>
        <v>0</v>
      </c>
      <c r="M1397" s="435">
        <f t="shared" si="259"/>
        <v>0</v>
      </c>
      <c r="N1397" s="435">
        <f t="shared" si="259"/>
        <v>0</v>
      </c>
      <c r="O1397" s="435"/>
      <c r="P1397" s="435"/>
      <c r="Q1397" s="442"/>
      <c r="R1397" s="442"/>
      <c r="S1397" s="442"/>
      <c r="T1397" s="432">
        <f t="shared" si="258"/>
        <v>0</v>
      </c>
    </row>
    <row r="1398" spans="1:20" ht="22.2" hidden="1" customHeight="1">
      <c r="A1398" s="379"/>
      <c r="B1398" s="410" t="s">
        <v>991</v>
      </c>
      <c r="C1398" s="469" t="str">
        <f t="shared" si="254"/>
        <v xml:space="preserve"> </v>
      </c>
      <c r="D1398" s="440">
        <v>4</v>
      </c>
      <c r="E1398" s="422"/>
      <c r="F1398" s="441" t="str">
        <f>VLOOKUP($B1398,[1]DG!A:D,[1]DG!$C$2,)</f>
        <v>Yếm cáp dày 2mm</v>
      </c>
      <c r="G1398" s="422" t="str">
        <f>VLOOKUP($B1398,[1]DG!A:D,[1]DG!$D$2,)</f>
        <v>cái</v>
      </c>
      <c r="H1398" s="435">
        <f t="shared" si="259"/>
        <v>0</v>
      </c>
      <c r="I1398" s="435">
        <f t="shared" si="259"/>
        <v>0</v>
      </c>
      <c r="J1398" s="435">
        <f t="shared" si="259"/>
        <v>0</v>
      </c>
      <c r="K1398" s="435">
        <f t="shared" si="259"/>
        <v>0</v>
      </c>
      <c r="L1398" s="435">
        <f t="shared" si="259"/>
        <v>0</v>
      </c>
      <c r="M1398" s="435">
        <f t="shared" si="259"/>
        <v>0</v>
      </c>
      <c r="N1398" s="435">
        <f t="shared" si="259"/>
        <v>0</v>
      </c>
      <c r="O1398" s="435"/>
      <c r="P1398" s="435"/>
      <c r="Q1398" s="442"/>
      <c r="R1398" s="442"/>
      <c r="S1398" s="442"/>
      <c r="T1398" s="432">
        <f t="shared" si="258"/>
        <v>0</v>
      </c>
    </row>
    <row r="1399" spans="1:20" ht="22.2" hidden="1" customHeight="1">
      <c r="A1399" s="379"/>
      <c r="B1399" s="410" t="s">
        <v>588</v>
      </c>
      <c r="C1399" s="469" t="str">
        <f t="shared" si="254"/>
        <v xml:space="preserve"> </v>
      </c>
      <c r="D1399" s="440">
        <v>2</v>
      </c>
      <c r="E1399" s="422" t="str">
        <f>VLOOKUP($B1399,[1]DG!A:D,[1]DG!$B$2,)</f>
        <v>06.3241</v>
      </c>
      <c r="F1399" s="434" t="str">
        <f>VLOOKUP($B1399,[1]DG!A:D,[1]DG!$C$2,)</f>
        <v>Lắp bộ dây néo</v>
      </c>
      <c r="G1399" s="422" t="str">
        <f>VLOOKUP($B1399,[1]DG!A:D,[1]DG!$D$2,)</f>
        <v>bộ</v>
      </c>
      <c r="H1399" s="435"/>
      <c r="I1399" s="435"/>
      <c r="J1399" s="435"/>
      <c r="K1399" s="435"/>
      <c r="L1399" s="435"/>
      <c r="M1399" s="435"/>
      <c r="N1399" s="435"/>
      <c r="O1399" s="435"/>
      <c r="P1399" s="435"/>
      <c r="Q1399" s="437"/>
      <c r="R1399" s="437"/>
      <c r="S1399" s="437"/>
      <c r="T1399" s="432">
        <f t="shared" si="258"/>
        <v>0</v>
      </c>
    </row>
    <row r="1400" spans="1:20" ht="22.2" hidden="1" customHeight="1">
      <c r="A1400" s="379"/>
      <c r="B1400" s="410" t="s">
        <v>1035</v>
      </c>
      <c r="C1400" s="469" t="str">
        <f t="shared" si="254"/>
        <v xml:space="preserve"> </v>
      </c>
      <c r="D1400" s="440">
        <v>2</v>
      </c>
      <c r="E1400" s="422" t="str">
        <f>VLOOKUP($B1400,[1]DG!A:D,[1]DG!$B$2,)</f>
        <v>06.2110</v>
      </c>
      <c r="F1400" s="434" t="str">
        <f>VLOOKUP($B1400,[1]DG!A:D,[1]DG!$C$2,)</f>
        <v>Lắp cổ dề</v>
      </c>
      <c r="G1400" s="422" t="str">
        <f>VLOOKUP($B1400,[1]DG!A:D,[1]DG!$D$2,)</f>
        <v>cái</v>
      </c>
      <c r="H1400" s="435"/>
      <c r="I1400" s="435"/>
      <c r="J1400" s="435"/>
      <c r="K1400" s="435"/>
      <c r="L1400" s="435"/>
      <c r="M1400" s="435"/>
      <c r="N1400" s="435"/>
      <c r="O1400" s="435"/>
      <c r="P1400" s="435"/>
      <c r="Q1400" s="437"/>
      <c r="R1400" s="437"/>
      <c r="S1400" s="437"/>
      <c r="T1400" s="432">
        <f t="shared" si="258"/>
        <v>0</v>
      </c>
    </row>
    <row r="1401" spans="1:20" ht="22.2" hidden="1" customHeight="1">
      <c r="A1401" s="379"/>
      <c r="B1401" s="438" t="s">
        <v>993</v>
      </c>
      <c r="C1401" s="469" t="str">
        <f t="shared" si="254"/>
        <v xml:space="preserve"> </v>
      </c>
      <c r="D1401" s="439">
        <v>0.02</v>
      </c>
      <c r="E1401" s="422" t="str">
        <f>VLOOKUP($B1401,[1]DG!A:C,2,)</f>
        <v>02.1421</v>
      </c>
      <c r="F1401" s="434" t="str">
        <f>VLOOKUP($B1401,[1]DG!A:C,3,)</f>
        <v>V/c phụ kiện vào vị trí (cự ly &lt;=100m)</v>
      </c>
      <c r="G1401" s="422" t="str">
        <f>VLOOKUP($B1401,[1]DG!A:D,4,0)</f>
        <v>tấn</v>
      </c>
      <c r="H1401" s="435"/>
      <c r="I1401" s="435"/>
      <c r="J1401" s="435"/>
      <c r="K1401" s="435"/>
      <c r="L1401" s="435"/>
      <c r="M1401" s="435"/>
      <c r="N1401" s="435"/>
      <c r="O1401" s="435"/>
      <c r="P1401" s="435"/>
      <c r="Q1401" s="437"/>
      <c r="R1401" s="437"/>
      <c r="S1401" s="437"/>
      <c r="T1401" s="432">
        <f t="shared" si="258"/>
        <v>0</v>
      </c>
    </row>
    <row r="1402" spans="1:20" ht="22.2" hidden="1" customHeight="1">
      <c r="A1402" s="480" t="s">
        <v>1060</v>
      </c>
      <c r="B1402" s="424" t="s">
        <v>1060</v>
      </c>
      <c r="C1402" s="465" t="str">
        <f t="shared" ref="C1402:C1465" si="260">IF(OR(P1402&lt;&gt;0,H1402&lt;&gt;0),"x"," ")</f>
        <v xml:space="preserve"> </v>
      </c>
      <c r="D1402" s="426"/>
      <c r="E1402" s="427"/>
      <c r="F1402" s="428" t="s">
        <v>1061</v>
      </c>
      <c r="G1402" s="349" t="s">
        <v>67</v>
      </c>
      <c r="H1402" s="429">
        <f>SUM(I1402:O1402)</f>
        <v>0</v>
      </c>
      <c r="I1402" s="430"/>
      <c r="J1402" s="430"/>
      <c r="K1402" s="430">
        <f>IFERROR(HLOOKUP(B1402,[1]pp3p1m!$1:$3,3,0),0)</f>
        <v>0</v>
      </c>
      <c r="L1402" s="430">
        <f>IFERROR(HLOOKUP(chitiet!B1402,[1]pp1p!$1:$3,3,0),0)</f>
        <v>0</v>
      </c>
      <c r="M1402" s="430"/>
      <c r="N1402" s="430"/>
      <c r="O1402" s="430"/>
      <c r="P1402" s="429">
        <f>H1402+Q1402-R1402</f>
        <v>0</v>
      </c>
      <c r="Q1402" s="431"/>
      <c r="R1402" s="431"/>
      <c r="S1402" s="431"/>
      <c r="T1402" s="432">
        <f>IFERROR(HLOOKUP(B1402,[1]pp1p!$1:$3,3,0),0)+IFERROR(HLOOKUP(B1402,[1]pp3p1m!$1:$3,3,0),0)</f>
        <v>0</v>
      </c>
    </row>
    <row r="1403" spans="1:20" ht="22.2" hidden="1" customHeight="1">
      <c r="B1403" s="406" t="s">
        <v>1062</v>
      </c>
      <c r="C1403" s="465" t="str">
        <f t="shared" si="260"/>
        <v xml:space="preserve"> </v>
      </c>
      <c r="D1403" s="440">
        <v>1</v>
      </c>
      <c r="E1403" s="422"/>
      <c r="F1403" s="441" t="str">
        <f>VLOOKUP($B1403,[1]DG!A:D,[1]DG!$C$2,)</f>
        <v>Ty neo Ø22x2400</v>
      </c>
      <c r="G1403" s="422" t="str">
        <f>VLOOKUP($B1403,[1]DG!A:D,[1]DG!$D$2,)</f>
        <v>cái</v>
      </c>
      <c r="H1403" s="435">
        <f t="shared" ref="H1403:N1404" si="261">H$1402*$D1403</f>
        <v>0</v>
      </c>
      <c r="I1403" s="435">
        <f t="shared" si="261"/>
        <v>0</v>
      </c>
      <c r="J1403" s="435">
        <f t="shared" si="261"/>
        <v>0</v>
      </c>
      <c r="K1403" s="435">
        <f t="shared" si="261"/>
        <v>0</v>
      </c>
      <c r="L1403" s="435">
        <f t="shared" si="261"/>
        <v>0</v>
      </c>
      <c r="M1403" s="435">
        <f t="shared" si="261"/>
        <v>0</v>
      </c>
      <c r="N1403" s="435">
        <f t="shared" si="261"/>
        <v>0</v>
      </c>
      <c r="O1403" s="435"/>
      <c r="P1403" s="435">
        <f>$P$1402*D1403</f>
        <v>0</v>
      </c>
      <c r="Q1403" s="442"/>
      <c r="R1403" s="442">
        <f>$R$1402*D1403</f>
        <v>0</v>
      </c>
      <c r="S1403" s="442"/>
      <c r="T1403" s="432">
        <f t="shared" si="258"/>
        <v>0</v>
      </c>
    </row>
    <row r="1404" spans="1:20" ht="22.2" hidden="1" customHeight="1">
      <c r="B1404" s="406" t="s">
        <v>1063</v>
      </c>
      <c r="C1404" s="465" t="str">
        <f t="shared" si="260"/>
        <v xml:space="preserve"> </v>
      </c>
      <c r="D1404" s="440">
        <v>1</v>
      </c>
      <c r="E1404" s="422" t="str">
        <f>VLOOKUP($B1404,[1]DG!A:D,[1]DG!$B$2,)</f>
        <v>04.4001</v>
      </c>
      <c r="F1404" s="441" t="str">
        <f>VLOOKUP($B1404,[1]DG!A:D,[1]DG!$C$2,)</f>
        <v>Neo xòe 8 hướng (dày 3,2mm)</v>
      </c>
      <c r="G1404" s="422" t="str">
        <f>VLOOKUP($B1404,[1]DG!A:D,[1]DG!$D$2,)</f>
        <v>cái</v>
      </c>
      <c r="H1404" s="435">
        <f t="shared" si="261"/>
        <v>0</v>
      </c>
      <c r="I1404" s="435">
        <f t="shared" si="261"/>
        <v>0</v>
      </c>
      <c r="J1404" s="435">
        <f t="shared" si="261"/>
        <v>0</v>
      </c>
      <c r="K1404" s="435">
        <f t="shared" si="261"/>
        <v>0</v>
      </c>
      <c r="L1404" s="435">
        <f t="shared" si="261"/>
        <v>0</v>
      </c>
      <c r="M1404" s="435">
        <f t="shared" si="261"/>
        <v>0</v>
      </c>
      <c r="N1404" s="435">
        <f t="shared" si="261"/>
        <v>0</v>
      </c>
      <c r="O1404" s="435"/>
      <c r="P1404" s="435">
        <f>$P$1402*D1404</f>
        <v>0</v>
      </c>
      <c r="Q1404" s="442"/>
      <c r="R1404" s="442">
        <f>$R$1402*D1404</f>
        <v>0</v>
      </c>
      <c r="S1404" s="442"/>
      <c r="T1404" s="432">
        <f t="shared" si="258"/>
        <v>0</v>
      </c>
    </row>
    <row r="1405" spans="1:20" ht="22.2" hidden="1" customHeight="1">
      <c r="B1405" s="406" t="s">
        <v>75</v>
      </c>
      <c r="C1405" s="465" t="str">
        <f t="shared" si="260"/>
        <v xml:space="preserve"> </v>
      </c>
      <c r="D1405" s="439">
        <v>0.4</v>
      </c>
      <c r="E1405" s="422" t="str">
        <f>VLOOKUP($B1405,[1]DG!A:D,[1]DG!$B$2,)</f>
        <v>03.1013</v>
      </c>
      <c r="F1405" s="434" t="str">
        <f>VLOOKUP($B1405,[1]DG!A:D,[1]DG!$C$2,)</f>
        <v>Đào hố móng đất cấp 3 sâu &gt;1m</v>
      </c>
      <c r="G1405" s="422" t="str">
        <f>VLOOKUP($B1405,[1]DG!A:D,[1]DG!$D$2,)</f>
        <v>m3</v>
      </c>
      <c r="H1405" s="435">
        <f>H$1402*$D1405</f>
        <v>0</v>
      </c>
      <c r="I1405" s="435"/>
      <c r="J1405" s="435"/>
      <c r="K1405" s="435"/>
      <c r="L1405" s="435"/>
      <c r="M1405" s="435"/>
      <c r="N1405" s="435"/>
      <c r="O1405" s="435"/>
      <c r="P1405" s="435">
        <f>$P$1402*D1405</f>
        <v>0</v>
      </c>
      <c r="Q1405" s="442"/>
      <c r="R1405" s="437">
        <f>$R$1402*D1405</f>
        <v>0</v>
      </c>
      <c r="S1405" s="442"/>
      <c r="T1405" s="432">
        <f t="shared" si="258"/>
        <v>0</v>
      </c>
    </row>
    <row r="1406" spans="1:20" ht="22.2" hidden="1" customHeight="1">
      <c r="B1406" s="406" t="s">
        <v>76</v>
      </c>
      <c r="C1406" s="465" t="str">
        <f t="shared" si="260"/>
        <v xml:space="preserve"> </v>
      </c>
      <c r="D1406" s="439">
        <v>0.4</v>
      </c>
      <c r="E1406" s="422" t="str">
        <f>VLOOKUP($B1406,[1]DG!A:D,[1]DG!$B$2,)</f>
        <v>03.4113</v>
      </c>
      <c r="F1406" s="434" t="str">
        <f>VLOOKUP($B1406,[1]DG!A:D,[1]DG!$C$2,)</f>
        <v>Đắp đất hố móng, độ chặt k=0,95</v>
      </c>
      <c r="G1406" s="422" t="str">
        <f>VLOOKUP($B1406,[1]DG!A:D,[1]DG!$D$2,)</f>
        <v>m3</v>
      </c>
      <c r="H1406" s="435">
        <f>H$1402*$D1406</f>
        <v>0</v>
      </c>
      <c r="I1406" s="435"/>
      <c r="J1406" s="435"/>
      <c r="K1406" s="435"/>
      <c r="L1406" s="435"/>
      <c r="M1406" s="435"/>
      <c r="N1406" s="435"/>
      <c r="O1406" s="435"/>
      <c r="P1406" s="435">
        <f>$P$1402*D1406</f>
        <v>0</v>
      </c>
      <c r="Q1406" s="442"/>
      <c r="R1406" s="437">
        <f>$R$1402*D1406</f>
        <v>0</v>
      </c>
      <c r="S1406" s="442"/>
      <c r="T1406" s="432">
        <f t="shared" si="258"/>
        <v>0</v>
      </c>
    </row>
    <row r="1407" spans="1:20" ht="22.2" hidden="1" customHeight="1">
      <c r="A1407" s="379"/>
      <c r="B1407" s="410" t="s">
        <v>1064</v>
      </c>
      <c r="C1407" s="469" t="str">
        <f t="shared" si="260"/>
        <v xml:space="preserve"> </v>
      </c>
      <c r="D1407" s="433"/>
      <c r="E1407" s="422" t="str">
        <f>VLOOKUP($B1407,[1]DG!A:D,[1]DG!$B$2,)</f>
        <v>02.3111</v>
      </c>
      <c r="F1407" s="434" t="str">
        <f>VLOOKUP($B1407,[1]DG!A:D,[1]DG!$C$2,)</f>
        <v>Bốc dỡ neo xèo</v>
      </c>
      <c r="G1407" s="422" t="str">
        <f>VLOOKUP($B1407,[1]DG!A:D,[1]DG!$D$2,)</f>
        <v>tấn</v>
      </c>
      <c r="H1407" s="435"/>
      <c r="I1407" s="435"/>
      <c r="J1407" s="435"/>
      <c r="K1407" s="435"/>
      <c r="L1407" s="435"/>
      <c r="M1407" s="435"/>
      <c r="N1407" s="435"/>
      <c r="O1407" s="435"/>
      <c r="P1407" s="435"/>
      <c r="Q1407" s="442"/>
      <c r="R1407" s="442"/>
      <c r="S1407" s="442"/>
      <c r="T1407" s="432">
        <f t="shared" si="258"/>
        <v>0</v>
      </c>
    </row>
    <row r="1408" spans="1:20" ht="22.2" hidden="1" customHeight="1">
      <c r="A1408" s="379"/>
      <c r="B1408" s="410" t="s">
        <v>1063</v>
      </c>
      <c r="C1408" s="469" t="str">
        <f t="shared" si="260"/>
        <v xml:space="preserve"> </v>
      </c>
      <c r="D1408" s="433"/>
      <c r="E1408" s="422" t="str">
        <f>VLOOKUP($B1408,[1]DG!A:C,2,)</f>
        <v>04.4001</v>
      </c>
      <c r="F1408" s="441" t="str">
        <f>VLOOKUP($B1408,[1]DG!A:C,3,)</f>
        <v>Neo xòe 8 hướng (dày 3,2mm)</v>
      </c>
      <c r="G1408" s="422" t="str">
        <f>VLOOKUP($B1408,[1]DG!A:D,4,0)</f>
        <v>cái</v>
      </c>
      <c r="H1408" s="435"/>
      <c r="I1408" s="435"/>
      <c r="J1408" s="435"/>
      <c r="K1408" s="435"/>
      <c r="L1408" s="435"/>
      <c r="M1408" s="435"/>
      <c r="N1408" s="435"/>
      <c r="O1408" s="435"/>
      <c r="P1408" s="435"/>
      <c r="Q1408" s="437"/>
      <c r="R1408" s="437"/>
      <c r="S1408" s="437"/>
      <c r="T1408" s="432">
        <f t="shared" si="258"/>
        <v>0</v>
      </c>
    </row>
    <row r="1409" spans="1:20" ht="22.2" hidden="1" customHeight="1">
      <c r="A1409" s="379"/>
      <c r="B1409" s="438" t="s">
        <v>1065</v>
      </c>
      <c r="C1409" s="469" t="str">
        <f t="shared" si="260"/>
        <v xml:space="preserve"> </v>
      </c>
      <c r="D1409" s="439"/>
      <c r="E1409" s="422" t="str">
        <f>VLOOKUP($B1409,[1]DG!A:C,2,)</f>
        <v>02.1482</v>
      </c>
      <c r="F1409" s="434" t="str">
        <f>VLOOKUP($B1409,[1]DG!A:C,3,)</f>
        <v>V/c dụng cụ thi công vào vị trí (cự ly &lt;=100m)</v>
      </c>
      <c r="G1409" s="422" t="str">
        <f>VLOOKUP($B1409,[1]DG!A:D,4,0)</f>
        <v>tấn</v>
      </c>
      <c r="H1409" s="435"/>
      <c r="I1409" s="435"/>
      <c r="J1409" s="435"/>
      <c r="K1409" s="435"/>
      <c r="L1409" s="435"/>
      <c r="M1409" s="435"/>
      <c r="N1409" s="435"/>
      <c r="O1409" s="435"/>
      <c r="P1409" s="435"/>
      <c r="Q1409" s="437"/>
      <c r="R1409" s="437"/>
      <c r="S1409" s="437"/>
      <c r="T1409" s="432">
        <f t="shared" si="258"/>
        <v>0</v>
      </c>
    </row>
    <row r="1410" spans="1:20" ht="22.2" customHeight="1">
      <c r="A1410" s="480" t="s">
        <v>1066</v>
      </c>
      <c r="B1410" s="424" t="s">
        <v>1066</v>
      </c>
      <c r="C1410" s="469" t="str">
        <f t="shared" si="260"/>
        <v>x</v>
      </c>
      <c r="D1410" s="426"/>
      <c r="E1410" s="427"/>
      <c r="F1410" s="428" t="s">
        <v>1067</v>
      </c>
      <c r="G1410" s="349" t="s">
        <v>67</v>
      </c>
      <c r="H1410" s="429">
        <f>SUM(I1410:O1410)</f>
        <v>1</v>
      </c>
      <c r="I1410" s="430"/>
      <c r="J1410" s="430"/>
      <c r="K1410" s="430">
        <f>IFERROR(HLOOKUP(B1410,[1]pp3p1m!$1:$3,3,0),0)</f>
        <v>1</v>
      </c>
      <c r="L1410" s="430">
        <f>IFERROR(HLOOKUP(chitiet!B1410,[1]pp1p!$1:$3,3,0),0)</f>
        <v>0</v>
      </c>
      <c r="M1410" s="430"/>
      <c r="N1410" s="430"/>
      <c r="O1410" s="430"/>
      <c r="P1410" s="430">
        <f>H1410+Q1410-R1410</f>
        <v>1</v>
      </c>
      <c r="Q1410" s="431"/>
      <c r="R1410" s="431"/>
      <c r="S1410" s="431"/>
      <c r="T1410" s="432">
        <f>IFERROR(HLOOKUP(B1410,[1]pp1p!$1:$3,3,0),0)+IFERROR(HLOOKUP(B1410,[1]pp3p1m!$1:$3,3,0),0)</f>
        <v>1</v>
      </c>
    </row>
    <row r="1411" spans="1:20" ht="22.2" hidden="1" customHeight="1">
      <c r="B1411" s="406" t="s">
        <v>1062</v>
      </c>
      <c r="C1411" s="469" t="str">
        <f t="shared" si="260"/>
        <v>x</v>
      </c>
      <c r="D1411" s="440">
        <v>1</v>
      </c>
      <c r="E1411" s="422"/>
      <c r="F1411" s="441" t="str">
        <f>VLOOKUP($B1411,[1]DG!A:D,[1]DG!$C$2,)</f>
        <v>Ty neo Ø22x2400</v>
      </c>
      <c r="G1411" s="422" t="str">
        <f>VLOOKUP($B1411,[1]DG!A:D,[1]DG!$D$2,)</f>
        <v>cái</v>
      </c>
      <c r="H1411" s="435">
        <f t="shared" ref="H1411:N1412" si="262">H$1410*$D1411</f>
        <v>1</v>
      </c>
      <c r="I1411" s="435">
        <f t="shared" si="262"/>
        <v>0</v>
      </c>
      <c r="J1411" s="435">
        <f t="shared" si="262"/>
        <v>0</v>
      </c>
      <c r="K1411" s="435">
        <f t="shared" si="262"/>
        <v>1</v>
      </c>
      <c r="L1411" s="435">
        <f t="shared" si="262"/>
        <v>0</v>
      </c>
      <c r="M1411" s="435">
        <f t="shared" si="262"/>
        <v>0</v>
      </c>
      <c r="N1411" s="435">
        <f t="shared" si="262"/>
        <v>0</v>
      </c>
      <c r="O1411" s="435"/>
      <c r="P1411" s="435">
        <f>$P$1410*D1411</f>
        <v>1</v>
      </c>
      <c r="Q1411" s="442">
        <f>$Q$1410*D1411</f>
        <v>0</v>
      </c>
      <c r="R1411" s="442"/>
      <c r="S1411" s="442"/>
      <c r="T1411" s="432">
        <f t="shared" si="258"/>
        <v>0</v>
      </c>
    </row>
    <row r="1412" spans="1:20" ht="22.2" hidden="1" customHeight="1">
      <c r="B1412" s="406" t="s">
        <v>1063</v>
      </c>
      <c r="C1412" s="469" t="str">
        <f t="shared" si="260"/>
        <v>x</v>
      </c>
      <c r="D1412" s="440">
        <v>1</v>
      </c>
      <c r="E1412" s="422" t="str">
        <f>VLOOKUP($B1412,[1]DG!A:D,[1]DG!$B$2,)</f>
        <v>04.4001</v>
      </c>
      <c r="F1412" s="441" t="str">
        <f>VLOOKUP($B1412,[1]DG!A:D,[1]DG!$C$2,)</f>
        <v>Neo xòe 8 hướng (dày 3,2mm)</v>
      </c>
      <c r="G1412" s="422" t="str">
        <f>VLOOKUP($B1412,[1]DG!A:D,[1]DG!$D$2,)</f>
        <v>cái</v>
      </c>
      <c r="H1412" s="435">
        <f t="shared" si="262"/>
        <v>1</v>
      </c>
      <c r="I1412" s="435">
        <f t="shared" si="262"/>
        <v>0</v>
      </c>
      <c r="J1412" s="435">
        <f t="shared" si="262"/>
        <v>0</v>
      </c>
      <c r="K1412" s="435">
        <f t="shared" si="262"/>
        <v>1</v>
      </c>
      <c r="L1412" s="435">
        <f t="shared" si="262"/>
        <v>0</v>
      </c>
      <c r="M1412" s="435">
        <f t="shared" si="262"/>
        <v>0</v>
      </c>
      <c r="N1412" s="435">
        <f t="shared" si="262"/>
        <v>0</v>
      </c>
      <c r="O1412" s="435"/>
      <c r="P1412" s="435">
        <f>$P$1410*D1412</f>
        <v>1</v>
      </c>
      <c r="Q1412" s="442">
        <f>$Q$1410*D1412</f>
        <v>0</v>
      </c>
      <c r="R1412" s="442"/>
      <c r="S1412" s="442"/>
      <c r="T1412" s="432">
        <f t="shared" si="258"/>
        <v>0</v>
      </c>
    </row>
    <row r="1413" spans="1:20" ht="22.2" hidden="1" customHeight="1">
      <c r="B1413" s="406" t="s">
        <v>75</v>
      </c>
      <c r="C1413" s="469" t="str">
        <f t="shared" si="260"/>
        <v>x</v>
      </c>
      <c r="D1413" s="439">
        <v>0.28999999999999998</v>
      </c>
      <c r="E1413" s="422" t="str">
        <f>VLOOKUP($B1413,[1]DG!A:D,[1]DG!$B$2,)</f>
        <v>03.1013</v>
      </c>
      <c r="F1413" s="434" t="str">
        <f>VLOOKUP($B1413,[1]DG!A:D,[1]DG!$C$2,)</f>
        <v>Đào hố móng đất cấp 3 sâu &gt;1m</v>
      </c>
      <c r="G1413" s="422" t="str">
        <f>VLOOKUP($B1413,[1]DG!A:D,[1]DG!$D$2,)</f>
        <v>m3</v>
      </c>
      <c r="H1413" s="435">
        <f>H$1410*$D1413</f>
        <v>0.28999999999999998</v>
      </c>
      <c r="I1413" s="435"/>
      <c r="J1413" s="435"/>
      <c r="K1413" s="435"/>
      <c r="L1413" s="435"/>
      <c r="M1413" s="435"/>
      <c r="N1413" s="435"/>
      <c r="O1413" s="435"/>
      <c r="P1413" s="435">
        <f>$P$1410*D1413</f>
        <v>0.28999999999999998</v>
      </c>
      <c r="Q1413" s="437">
        <f>$Q$1410*D1413</f>
        <v>0</v>
      </c>
      <c r="R1413" s="437"/>
      <c r="S1413" s="442"/>
      <c r="T1413" s="432">
        <f t="shared" si="258"/>
        <v>0</v>
      </c>
    </row>
    <row r="1414" spans="1:20" ht="22.2" hidden="1" customHeight="1">
      <c r="B1414" s="406" t="s">
        <v>76</v>
      </c>
      <c r="C1414" s="469" t="str">
        <f t="shared" si="260"/>
        <v>x</v>
      </c>
      <c r="D1414" s="439">
        <v>0.28999999999999998</v>
      </c>
      <c r="E1414" s="422" t="str">
        <f>VLOOKUP($B1414,[1]DG!A:D,[1]DG!$B$2,)</f>
        <v>03.4113</v>
      </c>
      <c r="F1414" s="434" t="str">
        <f>VLOOKUP($B1414,[1]DG!A:D,[1]DG!$C$2,)</f>
        <v>Đắp đất hố móng, độ chặt k=0,95</v>
      </c>
      <c r="G1414" s="422" t="str">
        <f>VLOOKUP($B1414,[1]DG!A:D,[1]DG!$D$2,)</f>
        <v>m3</v>
      </c>
      <c r="H1414" s="435">
        <f>H$1410*$D1414</f>
        <v>0.28999999999999998</v>
      </c>
      <c r="I1414" s="435"/>
      <c r="J1414" s="435"/>
      <c r="K1414" s="435"/>
      <c r="L1414" s="435"/>
      <c r="M1414" s="435"/>
      <c r="N1414" s="435"/>
      <c r="O1414" s="435"/>
      <c r="P1414" s="435">
        <f>$P$1410*D1414</f>
        <v>0.28999999999999998</v>
      </c>
      <c r="Q1414" s="437">
        <f>$Q$1410*D1414</f>
        <v>0</v>
      </c>
      <c r="R1414" s="437"/>
      <c r="S1414" s="442"/>
      <c r="T1414" s="432">
        <f t="shared" si="258"/>
        <v>0</v>
      </c>
    </row>
    <row r="1415" spans="1:20" ht="22.2" hidden="1" customHeight="1">
      <c r="A1415" s="379"/>
      <c r="B1415" s="410" t="s">
        <v>1064</v>
      </c>
      <c r="C1415" s="469" t="str">
        <f t="shared" si="260"/>
        <v xml:space="preserve"> </v>
      </c>
      <c r="D1415" s="439"/>
      <c r="E1415" s="422" t="str">
        <f>VLOOKUP($B1415,[1]DG!A:D,[1]DG!$B$2,)</f>
        <v>02.3111</v>
      </c>
      <c r="F1415" s="434" t="str">
        <f>VLOOKUP($B1415,[1]DG!A:D,[1]DG!$C$2,)</f>
        <v>Bốc dỡ neo xèo</v>
      </c>
      <c r="G1415" s="422" t="str">
        <f>VLOOKUP($B1415,[1]DG!A:D,[1]DG!$D$2,)</f>
        <v>tấn</v>
      </c>
      <c r="H1415" s="435"/>
      <c r="I1415" s="435"/>
      <c r="J1415" s="435"/>
      <c r="K1415" s="435"/>
      <c r="L1415" s="435"/>
      <c r="M1415" s="435"/>
      <c r="N1415" s="435"/>
      <c r="O1415" s="435"/>
      <c r="P1415" s="435"/>
      <c r="Q1415" s="442"/>
      <c r="R1415" s="442"/>
      <c r="S1415" s="442"/>
      <c r="T1415" s="432">
        <f t="shared" si="258"/>
        <v>0</v>
      </c>
    </row>
    <row r="1416" spans="1:20" ht="22.2" hidden="1" customHeight="1">
      <c r="A1416" s="379"/>
      <c r="B1416" s="410" t="s">
        <v>1063</v>
      </c>
      <c r="C1416" s="469" t="str">
        <f t="shared" si="260"/>
        <v xml:space="preserve"> </v>
      </c>
      <c r="D1416" s="439"/>
      <c r="E1416" s="422" t="str">
        <f>VLOOKUP($B1416,[1]DG!A:C,2,)</f>
        <v>04.4001</v>
      </c>
      <c r="F1416" s="441" t="str">
        <f>VLOOKUP($B1416,[1]DG!A:C,3,)</f>
        <v>Neo xòe 8 hướng (dày 3,2mm)</v>
      </c>
      <c r="G1416" s="422" t="str">
        <f>VLOOKUP($B1416,[1]DG!A:D,4,0)</f>
        <v>cái</v>
      </c>
      <c r="H1416" s="435"/>
      <c r="I1416" s="435"/>
      <c r="J1416" s="435"/>
      <c r="K1416" s="435"/>
      <c r="L1416" s="435"/>
      <c r="M1416" s="435"/>
      <c r="N1416" s="435"/>
      <c r="O1416" s="435"/>
      <c r="P1416" s="435"/>
      <c r="Q1416" s="437"/>
      <c r="R1416" s="437"/>
      <c r="S1416" s="437"/>
      <c r="T1416" s="432">
        <f t="shared" si="258"/>
        <v>0</v>
      </c>
    </row>
    <row r="1417" spans="1:20" ht="22.2" hidden="1" customHeight="1">
      <c r="A1417" s="379"/>
      <c r="B1417" s="438" t="s">
        <v>1065</v>
      </c>
      <c r="C1417" s="469" t="str">
        <f t="shared" si="260"/>
        <v xml:space="preserve"> </v>
      </c>
      <c r="D1417" s="439"/>
      <c r="E1417" s="422" t="str">
        <f>VLOOKUP($B1417,[1]DG!A:C,2,)</f>
        <v>02.1482</v>
      </c>
      <c r="F1417" s="434" t="str">
        <f>VLOOKUP($B1417,[1]DG!A:C,3,)</f>
        <v>V/c dụng cụ thi công vào vị trí (cự ly &lt;=100m)</v>
      </c>
      <c r="G1417" s="422" t="str">
        <f>VLOOKUP($B1417,[1]DG!A:D,4,0)</f>
        <v>tấn</v>
      </c>
      <c r="H1417" s="435"/>
      <c r="I1417" s="435"/>
      <c r="J1417" s="435"/>
      <c r="K1417" s="435"/>
      <c r="L1417" s="435"/>
      <c r="M1417" s="435"/>
      <c r="N1417" s="435"/>
      <c r="O1417" s="435"/>
      <c r="P1417" s="435"/>
      <c r="Q1417" s="437"/>
      <c r="R1417" s="437"/>
      <c r="S1417" s="437"/>
      <c r="T1417" s="432">
        <f t="shared" si="258"/>
        <v>0</v>
      </c>
    </row>
    <row r="1418" spans="1:20" ht="22.2" hidden="1" customHeight="1">
      <c r="A1418" s="481" t="s">
        <v>1068</v>
      </c>
      <c r="B1418" s="424" t="s">
        <v>1068</v>
      </c>
      <c r="C1418" s="469" t="str">
        <f t="shared" si="260"/>
        <v xml:space="preserve"> </v>
      </c>
      <c r="D1418" s="426"/>
      <c r="E1418" s="427"/>
      <c r="F1418" s="428" t="s">
        <v>1069</v>
      </c>
      <c r="G1418" s="349" t="s">
        <v>67</v>
      </c>
      <c r="H1418" s="429">
        <f>SUM(I1418:O1418)</f>
        <v>0</v>
      </c>
      <c r="I1418" s="430"/>
      <c r="J1418" s="430"/>
      <c r="K1418" s="430">
        <f>IFERROR(HLOOKUP(B1418,[1]pp3p1m!$1:$3,3,0),0)</f>
        <v>0</v>
      </c>
      <c r="L1418" s="430">
        <f>IFERROR(HLOOKUP(chitiet!B1418,[1]pp1p!$1:$3,3,0),0)</f>
        <v>0</v>
      </c>
      <c r="M1418" s="430"/>
      <c r="N1418" s="430"/>
      <c r="O1418" s="430"/>
      <c r="P1418" s="430">
        <f>H1418+Q1418-R1418</f>
        <v>0</v>
      </c>
      <c r="Q1418" s="431"/>
      <c r="R1418" s="431"/>
      <c r="S1418" s="431"/>
      <c r="T1418" s="432">
        <f>IFERROR(HLOOKUP(B1418,[1]pp1p!$1:$3,3,0),0)+IFERROR(HLOOKUP(B1418,[1]pp3p1m!$1:$3,3,0),0)</f>
        <v>0</v>
      </c>
    </row>
    <row r="1419" spans="1:20" ht="22.2" hidden="1" customHeight="1">
      <c r="A1419" s="379"/>
      <c r="B1419" s="410" t="s">
        <v>1070</v>
      </c>
      <c r="C1419" s="469" t="str">
        <f t="shared" si="260"/>
        <v xml:space="preserve"> </v>
      </c>
      <c r="D1419" s="440">
        <v>1</v>
      </c>
      <c r="E1419" s="422"/>
      <c r="F1419" s="441" t="str">
        <f>VLOOKUP($B1419,[1]DG!A:D,[1]DG!$C$2,)</f>
        <v>Ty neo Ø22x3000</v>
      </c>
      <c r="G1419" s="422" t="str">
        <f>VLOOKUP($B1419,[1]DG!A:D,[1]DG!$D$2,)</f>
        <v>cái</v>
      </c>
      <c r="H1419" s="435">
        <f t="shared" ref="H1419:N1421" si="263">H$1418*$D1419</f>
        <v>0</v>
      </c>
      <c r="I1419" s="435">
        <f t="shared" si="263"/>
        <v>0</v>
      </c>
      <c r="J1419" s="435">
        <f t="shared" si="263"/>
        <v>0</v>
      </c>
      <c r="K1419" s="435">
        <f t="shared" si="263"/>
        <v>0</v>
      </c>
      <c r="L1419" s="435">
        <f t="shared" si="263"/>
        <v>0</v>
      </c>
      <c r="M1419" s="435">
        <f t="shared" si="263"/>
        <v>0</v>
      </c>
      <c r="N1419" s="435">
        <f t="shared" si="263"/>
        <v>0</v>
      </c>
      <c r="O1419" s="435"/>
      <c r="P1419" s="435"/>
      <c r="Q1419" s="442"/>
      <c r="R1419" s="442"/>
      <c r="S1419" s="442"/>
      <c r="T1419" s="432">
        <f t="shared" si="258"/>
        <v>0</v>
      </c>
    </row>
    <row r="1420" spans="1:20" ht="22.2" hidden="1" customHeight="1">
      <c r="A1420" s="379"/>
      <c r="B1420" s="410" t="s">
        <v>1071</v>
      </c>
      <c r="C1420" s="469" t="str">
        <f t="shared" si="260"/>
        <v xml:space="preserve"> </v>
      </c>
      <c r="D1420" s="440">
        <v>1</v>
      </c>
      <c r="E1420" s="422" t="str">
        <f>VLOOKUP($B1420,[1]DG!A:D,[1]DG!$B$2,)</f>
        <v>04.3801</v>
      </c>
      <c r="F1420" s="441" t="str">
        <f>VLOOKUP($B1420,[1]DG!A:D,[1]DG!$C$2,)</f>
        <v>Đế neo BTCT 200x1200</v>
      </c>
      <c r="G1420" s="422" t="str">
        <f>VLOOKUP($B1420,[1]DG!A:D,[1]DG!$D$2,)</f>
        <v>cái</v>
      </c>
      <c r="H1420" s="435">
        <f t="shared" si="263"/>
        <v>0</v>
      </c>
      <c r="I1420" s="435">
        <f t="shared" si="263"/>
        <v>0</v>
      </c>
      <c r="J1420" s="435">
        <f t="shared" si="263"/>
        <v>0</v>
      </c>
      <c r="K1420" s="435">
        <f t="shared" si="263"/>
        <v>0</v>
      </c>
      <c r="L1420" s="435">
        <f t="shared" si="263"/>
        <v>0</v>
      </c>
      <c r="M1420" s="435">
        <f t="shared" si="263"/>
        <v>0</v>
      </c>
      <c r="N1420" s="435">
        <f t="shared" si="263"/>
        <v>0</v>
      </c>
      <c r="O1420" s="435"/>
      <c r="P1420" s="435"/>
      <c r="Q1420" s="442"/>
      <c r="R1420" s="442"/>
      <c r="S1420" s="442"/>
      <c r="T1420" s="432">
        <f t="shared" si="258"/>
        <v>0</v>
      </c>
    </row>
    <row r="1421" spans="1:20" ht="22.2" hidden="1" customHeight="1">
      <c r="A1421" s="379"/>
      <c r="B1421" s="410" t="s">
        <v>1072</v>
      </c>
      <c r="C1421" s="469" t="str">
        <f t="shared" si="260"/>
        <v xml:space="preserve"> </v>
      </c>
      <c r="D1421" s="439">
        <v>1.34</v>
      </c>
      <c r="E1421" s="422" t="str">
        <f>VLOOKUP($B1421,[1]DG!A:D,[1]DG!$B$2,)</f>
        <v>04.9001</v>
      </c>
      <c r="F1421" s="441" t="str">
        <f>VLOOKUP($B1421,[1]DG!A:D,[1]DG!$C$2,)</f>
        <v>Bitum</v>
      </c>
      <c r="G1421" s="422" t="str">
        <f>VLOOKUP($B1421,[1]DG!A:D,[1]DG!$D$2,)</f>
        <v>m2</v>
      </c>
      <c r="H1421" s="435">
        <f t="shared" si="263"/>
        <v>0</v>
      </c>
      <c r="I1421" s="435">
        <f t="shared" si="263"/>
        <v>0</v>
      </c>
      <c r="J1421" s="435">
        <f t="shared" si="263"/>
        <v>0</v>
      </c>
      <c r="K1421" s="435">
        <f t="shared" si="263"/>
        <v>0</v>
      </c>
      <c r="L1421" s="435">
        <f t="shared" si="263"/>
        <v>0</v>
      </c>
      <c r="M1421" s="435">
        <f t="shared" si="263"/>
        <v>0</v>
      </c>
      <c r="N1421" s="435">
        <f t="shared" si="263"/>
        <v>0</v>
      </c>
      <c r="O1421" s="435"/>
      <c r="P1421" s="435"/>
      <c r="Q1421" s="442"/>
      <c r="R1421" s="442"/>
      <c r="S1421" s="442"/>
      <c r="T1421" s="432">
        <f t="shared" si="258"/>
        <v>0</v>
      </c>
    </row>
    <row r="1422" spans="1:20" ht="22.2" hidden="1" customHeight="1">
      <c r="A1422" s="379"/>
      <c r="B1422" s="410" t="s">
        <v>75</v>
      </c>
      <c r="C1422" s="469" t="str">
        <f t="shared" si="260"/>
        <v xml:space="preserve"> </v>
      </c>
      <c r="D1422" s="439">
        <v>2.71</v>
      </c>
      <c r="E1422" s="422" t="str">
        <f>VLOOKUP($B1422,[1]DG!A:D,[1]DG!$B$2,)</f>
        <v>03.1013</v>
      </c>
      <c r="F1422" s="434" t="str">
        <f>VLOOKUP($B1422,[1]DG!A:D,[1]DG!$C$2,)</f>
        <v>Đào hố móng đất cấp 3 sâu &gt;1m</v>
      </c>
      <c r="G1422" s="422" t="str">
        <f>VLOOKUP($B1422,[1]DG!A:D,[1]DG!$D$2,)</f>
        <v>m3</v>
      </c>
      <c r="H1422" s="435"/>
      <c r="I1422" s="435"/>
      <c r="J1422" s="435"/>
      <c r="K1422" s="435"/>
      <c r="L1422" s="435"/>
      <c r="M1422" s="435"/>
      <c r="N1422" s="435"/>
      <c r="O1422" s="435"/>
      <c r="P1422" s="435"/>
      <c r="Q1422" s="442"/>
      <c r="R1422" s="442"/>
      <c r="S1422" s="442"/>
      <c r="T1422" s="432">
        <f t="shared" si="258"/>
        <v>0</v>
      </c>
    </row>
    <row r="1423" spans="1:20" ht="22.2" hidden="1" customHeight="1">
      <c r="A1423" s="379"/>
      <c r="B1423" s="410" t="s">
        <v>76</v>
      </c>
      <c r="C1423" s="469" t="str">
        <f t="shared" si="260"/>
        <v xml:space="preserve"> </v>
      </c>
      <c r="D1423" s="439">
        <v>3.23</v>
      </c>
      <c r="E1423" s="422" t="str">
        <f>VLOOKUP($B1423,[1]DG!A:D,[1]DG!$B$2,)</f>
        <v>03.4113</v>
      </c>
      <c r="F1423" s="434" t="str">
        <f>VLOOKUP($B1423,[1]DG!A:D,[1]DG!$C$2,)</f>
        <v>Đắp đất hố móng, độ chặt k=0,95</v>
      </c>
      <c r="G1423" s="422" t="str">
        <f>VLOOKUP($B1423,[1]DG!A:D,[1]DG!$D$2,)</f>
        <v>m3</v>
      </c>
      <c r="H1423" s="435"/>
      <c r="I1423" s="435"/>
      <c r="J1423" s="435"/>
      <c r="K1423" s="435"/>
      <c r="L1423" s="435"/>
      <c r="M1423" s="435"/>
      <c r="N1423" s="435"/>
      <c r="O1423" s="435"/>
      <c r="P1423" s="435"/>
      <c r="Q1423" s="442"/>
      <c r="R1423" s="442"/>
      <c r="S1423" s="442"/>
      <c r="T1423" s="432">
        <f t="shared" si="258"/>
        <v>0</v>
      </c>
    </row>
    <row r="1424" spans="1:20" ht="22.2" hidden="1" customHeight="1">
      <c r="A1424" s="379"/>
      <c r="B1424" s="410" t="s">
        <v>624</v>
      </c>
      <c r="C1424" s="469" t="str">
        <f t="shared" si="260"/>
        <v xml:space="preserve"> </v>
      </c>
      <c r="D1424" s="439">
        <f>D1425</f>
        <v>8.6999999999999994E-2</v>
      </c>
      <c r="E1424" s="422" t="str">
        <f>VLOOKUP($B1424,[1]DG!A:D,[1]DG!$B$2,)</f>
        <v>02.1123</v>
      </c>
      <c r="F1424" s="434" t="str">
        <f>VLOOKUP($B1424,[1]DG!A:D,[1]DG!$C$2,)</f>
        <v>Bốc dỡ đà cản, đế néo</v>
      </c>
      <c r="G1424" s="422" t="str">
        <f>VLOOKUP($B1424,[1]DG!A:D,[1]DG!$D$2,)</f>
        <v>tấn</v>
      </c>
      <c r="H1424" s="435"/>
      <c r="I1424" s="435"/>
      <c r="J1424" s="435"/>
      <c r="K1424" s="435"/>
      <c r="L1424" s="435"/>
      <c r="M1424" s="435"/>
      <c r="N1424" s="435"/>
      <c r="O1424" s="435"/>
      <c r="P1424" s="435"/>
      <c r="Q1424" s="442"/>
      <c r="R1424" s="442"/>
      <c r="S1424" s="442"/>
      <c r="T1424" s="432">
        <f t="shared" si="258"/>
        <v>0</v>
      </c>
    </row>
    <row r="1425" spans="1:20" ht="22.2" hidden="1" customHeight="1">
      <c r="A1425" s="379"/>
      <c r="B1425" s="438" t="s">
        <v>1073</v>
      </c>
      <c r="C1425" s="469" t="str">
        <f t="shared" si="260"/>
        <v xml:space="preserve"> </v>
      </c>
      <c r="D1425" s="439">
        <v>8.6999999999999994E-2</v>
      </c>
      <c r="E1425" s="422" t="str">
        <f>VLOOKUP($B1425,[1]DG!A:C,2,)</f>
        <v>02.1451</v>
      </c>
      <c r="F1425" s="434" t="str">
        <f>VLOOKUP($B1425,[1]DG!A:C,3,)</f>
        <v>V/c đế néo vào vị trí (cự ly &lt;=100m)</v>
      </c>
      <c r="G1425" s="422" t="str">
        <f>VLOOKUP($B1425,[1]DG!A:D,4,0)</f>
        <v>tấn</v>
      </c>
      <c r="H1425" s="435"/>
      <c r="I1425" s="435"/>
      <c r="J1425" s="435"/>
      <c r="K1425" s="435"/>
      <c r="L1425" s="435"/>
      <c r="M1425" s="435"/>
      <c r="N1425" s="435"/>
      <c r="O1425" s="435"/>
      <c r="P1425" s="435"/>
      <c r="Q1425" s="437"/>
      <c r="R1425" s="437"/>
      <c r="S1425" s="437"/>
      <c r="T1425" s="432">
        <f t="shared" si="258"/>
        <v>0</v>
      </c>
    </row>
    <row r="1426" spans="1:20" ht="22.2" hidden="1" customHeight="1">
      <c r="A1426" s="379"/>
      <c r="B1426" s="438" t="s">
        <v>1065</v>
      </c>
      <c r="C1426" s="469" t="str">
        <f t="shared" si="260"/>
        <v xml:space="preserve"> </v>
      </c>
      <c r="D1426" s="439">
        <v>0.05</v>
      </c>
      <c r="E1426" s="422" t="str">
        <f>VLOOKUP($B1426,[1]DG!A:C,2,)</f>
        <v>02.1482</v>
      </c>
      <c r="F1426" s="434" t="str">
        <f>VLOOKUP($B1426,[1]DG!A:C,3,)</f>
        <v>V/c dụng cụ thi công vào vị trí (cự ly &lt;=100m)</v>
      </c>
      <c r="G1426" s="422" t="str">
        <f>VLOOKUP($B1426,[1]DG!A:D,4,0)</f>
        <v>tấn</v>
      </c>
      <c r="H1426" s="435"/>
      <c r="I1426" s="435"/>
      <c r="J1426" s="435"/>
      <c r="K1426" s="435"/>
      <c r="L1426" s="435"/>
      <c r="M1426" s="435"/>
      <c r="N1426" s="435"/>
      <c r="O1426" s="435"/>
      <c r="P1426" s="435"/>
      <c r="Q1426" s="437"/>
      <c r="R1426" s="437"/>
      <c r="S1426" s="437"/>
      <c r="T1426" s="432">
        <f t="shared" si="258"/>
        <v>0</v>
      </c>
    </row>
    <row r="1427" spans="1:20" ht="22.2" hidden="1" customHeight="1">
      <c r="A1427" s="423" t="s">
        <v>1074</v>
      </c>
      <c r="B1427" s="424" t="s">
        <v>1074</v>
      </c>
      <c r="C1427" s="469" t="str">
        <f t="shared" si="260"/>
        <v xml:space="preserve"> </v>
      </c>
      <c r="D1427" s="426"/>
      <c r="E1427" s="427"/>
      <c r="F1427" s="428" t="s">
        <v>1075</v>
      </c>
      <c r="G1427" s="349" t="s">
        <v>67</v>
      </c>
      <c r="H1427" s="429">
        <f>SUM(I1427:O1427)</f>
        <v>0</v>
      </c>
      <c r="I1427" s="430"/>
      <c r="J1427" s="430"/>
      <c r="K1427" s="430">
        <f>IFERROR(HLOOKUP(B1427,[1]pp3p1m!$1:$3,3,0),0)</f>
        <v>0</v>
      </c>
      <c r="L1427" s="430">
        <f>IFERROR(HLOOKUP(chitiet!B1427,[1]pp1p!$1:$3,3,0),0)</f>
        <v>0</v>
      </c>
      <c r="M1427" s="430"/>
      <c r="N1427" s="430"/>
      <c r="O1427" s="430"/>
      <c r="P1427" s="430">
        <f>H1427+Q1427-R1427</f>
        <v>0</v>
      </c>
      <c r="Q1427" s="431"/>
      <c r="R1427" s="431"/>
      <c r="S1427" s="431"/>
      <c r="T1427" s="432">
        <f>IFERROR(HLOOKUP(B1427,[1]pp1p!$1:$3,3,0),0)+IFERROR(HLOOKUP(B1427,[1]pp3p1m!$1:$3,3,0),0)</f>
        <v>0</v>
      </c>
    </row>
    <row r="1428" spans="1:20" ht="22.2" hidden="1" customHeight="1">
      <c r="A1428" s="379"/>
      <c r="B1428" s="410" t="s">
        <v>1076</v>
      </c>
      <c r="C1428" s="469" t="str">
        <f t="shared" si="260"/>
        <v xml:space="preserve"> </v>
      </c>
      <c r="D1428" s="440">
        <v>1</v>
      </c>
      <c r="E1428" s="422"/>
      <c r="F1428" s="441" t="str">
        <f>VLOOKUP($B1428,[1]DG!A:D,[1]DG!$C$2,)</f>
        <v>Ty neo Ø16x1800</v>
      </c>
      <c r="G1428" s="422" t="str">
        <f>VLOOKUP($B1428,[1]DG!A:D,[1]DG!$D$2,)</f>
        <v>cái</v>
      </c>
      <c r="H1428" s="435">
        <f t="shared" ref="H1428:N1430" si="264">H$1427*$D1428</f>
        <v>0</v>
      </c>
      <c r="I1428" s="435">
        <f t="shared" si="264"/>
        <v>0</v>
      </c>
      <c r="J1428" s="435">
        <f t="shared" si="264"/>
        <v>0</v>
      </c>
      <c r="K1428" s="435">
        <f t="shared" si="264"/>
        <v>0</v>
      </c>
      <c r="L1428" s="435">
        <f t="shared" si="264"/>
        <v>0</v>
      </c>
      <c r="M1428" s="435">
        <f t="shared" si="264"/>
        <v>0</v>
      </c>
      <c r="N1428" s="435">
        <f t="shared" si="264"/>
        <v>0</v>
      </c>
      <c r="O1428" s="435"/>
      <c r="P1428" s="435"/>
      <c r="Q1428" s="442"/>
      <c r="R1428" s="442"/>
      <c r="S1428" s="442"/>
      <c r="T1428" s="432">
        <f t="shared" si="258"/>
        <v>0</v>
      </c>
    </row>
    <row r="1429" spans="1:20" ht="22.2" hidden="1" customHeight="1">
      <c r="A1429" s="379"/>
      <c r="B1429" s="410" t="s">
        <v>1071</v>
      </c>
      <c r="C1429" s="469" t="str">
        <f t="shared" si="260"/>
        <v xml:space="preserve"> </v>
      </c>
      <c r="D1429" s="440">
        <v>1</v>
      </c>
      <c r="E1429" s="422" t="str">
        <f>VLOOKUP($B1429,[1]DG!A:D,[1]DG!$B$2,)</f>
        <v>04.3801</v>
      </c>
      <c r="F1429" s="441" t="str">
        <f>VLOOKUP($B1429,[1]DG!A:D,[1]DG!$C$2,)</f>
        <v>Đế neo BTCT 200x1200</v>
      </c>
      <c r="G1429" s="422" t="str">
        <f>VLOOKUP($B1429,[1]DG!A:D,[1]DG!$D$2,)</f>
        <v>cái</v>
      </c>
      <c r="H1429" s="435">
        <f t="shared" si="264"/>
        <v>0</v>
      </c>
      <c r="I1429" s="435">
        <f t="shared" si="264"/>
        <v>0</v>
      </c>
      <c r="J1429" s="435">
        <f t="shared" si="264"/>
        <v>0</v>
      </c>
      <c r="K1429" s="435">
        <f t="shared" si="264"/>
        <v>0</v>
      </c>
      <c r="L1429" s="435">
        <f t="shared" si="264"/>
        <v>0</v>
      </c>
      <c r="M1429" s="435">
        <f t="shared" si="264"/>
        <v>0</v>
      </c>
      <c r="N1429" s="435">
        <f t="shared" si="264"/>
        <v>0</v>
      </c>
      <c r="O1429" s="435"/>
      <c r="P1429" s="435"/>
      <c r="Q1429" s="442"/>
      <c r="R1429" s="442"/>
      <c r="S1429" s="442"/>
      <c r="T1429" s="432">
        <f t="shared" si="258"/>
        <v>0</v>
      </c>
    </row>
    <row r="1430" spans="1:20" ht="22.2" hidden="1" customHeight="1">
      <c r="A1430" s="379"/>
      <c r="B1430" s="410" t="s">
        <v>1072</v>
      </c>
      <c r="C1430" s="469" t="str">
        <f t="shared" si="260"/>
        <v xml:space="preserve"> </v>
      </c>
      <c r="D1430" s="439">
        <v>1.34</v>
      </c>
      <c r="E1430" s="422" t="str">
        <f>VLOOKUP($B1430,[1]DG!A:D,[1]DG!$B$2,)</f>
        <v>04.9001</v>
      </c>
      <c r="F1430" s="441" t="str">
        <f>VLOOKUP($B1430,[1]DG!A:D,[1]DG!$C$2,)</f>
        <v>Bitum</v>
      </c>
      <c r="G1430" s="422" t="str">
        <f>VLOOKUP($B1430,[1]DG!A:D,[1]DG!$D$2,)</f>
        <v>m2</v>
      </c>
      <c r="H1430" s="435">
        <f t="shared" si="264"/>
        <v>0</v>
      </c>
      <c r="I1430" s="435">
        <f t="shared" si="264"/>
        <v>0</v>
      </c>
      <c r="J1430" s="435">
        <f t="shared" si="264"/>
        <v>0</v>
      </c>
      <c r="K1430" s="435">
        <f t="shared" si="264"/>
        <v>0</v>
      </c>
      <c r="L1430" s="435">
        <f t="shared" si="264"/>
        <v>0</v>
      </c>
      <c r="M1430" s="435">
        <f t="shared" si="264"/>
        <v>0</v>
      </c>
      <c r="N1430" s="435">
        <f t="shared" si="264"/>
        <v>0</v>
      </c>
      <c r="O1430" s="435"/>
      <c r="P1430" s="435"/>
      <c r="Q1430" s="442"/>
      <c r="R1430" s="442"/>
      <c r="S1430" s="442"/>
      <c r="T1430" s="432">
        <f t="shared" si="258"/>
        <v>0</v>
      </c>
    </row>
    <row r="1431" spans="1:20" ht="22.2" hidden="1" customHeight="1">
      <c r="A1431" s="379"/>
      <c r="B1431" s="410" t="s">
        <v>75</v>
      </c>
      <c r="C1431" s="469" t="str">
        <f t="shared" si="260"/>
        <v xml:space="preserve"> </v>
      </c>
      <c r="D1431" s="439">
        <v>2.69</v>
      </c>
      <c r="E1431" s="422" t="str">
        <f>VLOOKUP($B1431,[1]DG!A:D,[1]DG!$B$2,)</f>
        <v>03.1013</v>
      </c>
      <c r="F1431" s="434" t="str">
        <f>VLOOKUP($B1431,[1]DG!A:D,[1]DG!$C$2,)</f>
        <v>Đào hố móng đất cấp 3 sâu &gt;1m</v>
      </c>
      <c r="G1431" s="422" t="str">
        <f>VLOOKUP($B1431,[1]DG!A:D,[1]DG!$D$2,)</f>
        <v>m3</v>
      </c>
      <c r="H1431" s="435"/>
      <c r="I1431" s="435"/>
      <c r="J1431" s="435"/>
      <c r="K1431" s="435"/>
      <c r="L1431" s="435"/>
      <c r="M1431" s="435"/>
      <c r="N1431" s="435"/>
      <c r="O1431" s="435"/>
      <c r="P1431" s="435"/>
      <c r="Q1431" s="442"/>
      <c r="R1431" s="442"/>
      <c r="S1431" s="442"/>
      <c r="T1431" s="432">
        <f t="shared" si="258"/>
        <v>0</v>
      </c>
    </row>
    <row r="1432" spans="1:20" ht="22.2" hidden="1" customHeight="1">
      <c r="A1432" s="379"/>
      <c r="B1432" s="410" t="s">
        <v>76</v>
      </c>
      <c r="C1432" s="469" t="str">
        <f t="shared" si="260"/>
        <v xml:space="preserve"> </v>
      </c>
      <c r="D1432" s="439">
        <v>3.19</v>
      </c>
      <c r="E1432" s="422" t="str">
        <f>VLOOKUP($B1432,[1]DG!A:D,[1]DG!$B$2,)</f>
        <v>03.4113</v>
      </c>
      <c r="F1432" s="434" t="str">
        <f>VLOOKUP($B1432,[1]DG!A:D,[1]DG!$C$2,)</f>
        <v>Đắp đất hố móng, độ chặt k=0,95</v>
      </c>
      <c r="G1432" s="422" t="str">
        <f>VLOOKUP($B1432,[1]DG!A:D,[1]DG!$D$2,)</f>
        <v>m3</v>
      </c>
      <c r="H1432" s="435"/>
      <c r="I1432" s="435"/>
      <c r="J1432" s="435"/>
      <c r="K1432" s="435"/>
      <c r="L1432" s="435"/>
      <c r="M1432" s="435"/>
      <c r="N1432" s="435"/>
      <c r="O1432" s="435"/>
      <c r="P1432" s="435"/>
      <c r="Q1432" s="442"/>
      <c r="R1432" s="442"/>
      <c r="S1432" s="442"/>
      <c r="T1432" s="432">
        <f t="shared" si="258"/>
        <v>0</v>
      </c>
    </row>
    <row r="1433" spans="1:20" ht="22.2" hidden="1" customHeight="1">
      <c r="A1433" s="379"/>
      <c r="B1433" s="410" t="s">
        <v>624</v>
      </c>
      <c r="C1433" s="469" t="str">
        <f t="shared" si="260"/>
        <v xml:space="preserve"> </v>
      </c>
      <c r="D1433" s="439">
        <f>D1434</f>
        <v>8.6999999999999994E-2</v>
      </c>
      <c r="E1433" s="422" t="str">
        <f>VLOOKUP($B1433,[1]DG!A:D,[1]DG!$B$2,)</f>
        <v>02.1123</v>
      </c>
      <c r="F1433" s="434" t="str">
        <f>VLOOKUP($B1433,[1]DG!A:D,[1]DG!$C$2,)</f>
        <v>Bốc dỡ đà cản, đế néo</v>
      </c>
      <c r="G1433" s="422" t="str">
        <f>VLOOKUP($B1433,[1]DG!A:D,[1]DG!$D$2,)</f>
        <v>tấn</v>
      </c>
      <c r="H1433" s="435"/>
      <c r="I1433" s="435"/>
      <c r="J1433" s="435"/>
      <c r="K1433" s="435"/>
      <c r="L1433" s="435"/>
      <c r="M1433" s="435"/>
      <c r="N1433" s="435"/>
      <c r="O1433" s="435"/>
      <c r="P1433" s="435"/>
      <c r="Q1433" s="442"/>
      <c r="R1433" s="442"/>
      <c r="S1433" s="442"/>
      <c r="T1433" s="432">
        <f t="shared" si="258"/>
        <v>0</v>
      </c>
    </row>
    <row r="1434" spans="1:20" ht="22.2" hidden="1" customHeight="1">
      <c r="A1434" s="379"/>
      <c r="B1434" s="438" t="s">
        <v>1073</v>
      </c>
      <c r="C1434" s="469" t="str">
        <f t="shared" si="260"/>
        <v xml:space="preserve"> </v>
      </c>
      <c r="D1434" s="439">
        <v>8.6999999999999994E-2</v>
      </c>
      <c r="E1434" s="422" t="str">
        <f>VLOOKUP($B1434,[1]DG!A:C,2,)</f>
        <v>02.1451</v>
      </c>
      <c r="F1434" s="434" t="str">
        <f>VLOOKUP($B1434,[1]DG!A:C,3,)</f>
        <v>V/c đế néo vào vị trí (cự ly &lt;=100m)</v>
      </c>
      <c r="G1434" s="422" t="str">
        <f>VLOOKUP($B1434,[1]DG!A:D,4,0)</f>
        <v>tấn</v>
      </c>
      <c r="H1434" s="435"/>
      <c r="I1434" s="435"/>
      <c r="J1434" s="435"/>
      <c r="K1434" s="435"/>
      <c r="L1434" s="435"/>
      <c r="M1434" s="435"/>
      <c r="N1434" s="435"/>
      <c r="O1434" s="435"/>
      <c r="P1434" s="435"/>
      <c r="Q1434" s="437"/>
      <c r="R1434" s="437"/>
      <c r="S1434" s="437"/>
      <c r="T1434" s="432">
        <f t="shared" si="258"/>
        <v>0</v>
      </c>
    </row>
    <row r="1435" spans="1:20" ht="22.2" hidden="1" customHeight="1">
      <c r="A1435" s="379"/>
      <c r="B1435" s="438" t="s">
        <v>1065</v>
      </c>
      <c r="C1435" s="469" t="str">
        <f t="shared" si="260"/>
        <v xml:space="preserve"> </v>
      </c>
      <c r="D1435" s="439">
        <v>0.05</v>
      </c>
      <c r="E1435" s="422" t="str">
        <f>VLOOKUP($B1435,[1]DG!A:C,2,)</f>
        <v>02.1482</v>
      </c>
      <c r="F1435" s="434" t="str">
        <f>VLOOKUP($B1435,[1]DG!A:C,3,)</f>
        <v>V/c dụng cụ thi công vào vị trí (cự ly &lt;=100m)</v>
      </c>
      <c r="G1435" s="422" t="str">
        <f>VLOOKUP($B1435,[1]DG!A:D,4,0)</f>
        <v>tấn</v>
      </c>
      <c r="H1435" s="435"/>
      <c r="I1435" s="435"/>
      <c r="J1435" s="435"/>
      <c r="K1435" s="435"/>
      <c r="L1435" s="435"/>
      <c r="M1435" s="435"/>
      <c r="N1435" s="435"/>
      <c r="O1435" s="435"/>
      <c r="P1435" s="435"/>
      <c r="Q1435" s="437"/>
      <c r="R1435" s="437"/>
      <c r="S1435" s="437"/>
      <c r="T1435" s="432">
        <f t="shared" si="258"/>
        <v>0</v>
      </c>
    </row>
    <row r="1436" spans="1:20" ht="22.2" hidden="1" customHeight="1">
      <c r="A1436" s="400" t="s">
        <v>1077</v>
      </c>
      <c r="B1436" s="424" t="s">
        <v>1077</v>
      </c>
      <c r="C1436" s="469" t="str">
        <f t="shared" si="260"/>
        <v xml:space="preserve"> </v>
      </c>
      <c r="D1436" s="426"/>
      <c r="E1436" s="427"/>
      <c r="F1436" s="428" t="s">
        <v>1078</v>
      </c>
      <c r="G1436" s="349" t="s">
        <v>67</v>
      </c>
      <c r="H1436" s="429">
        <f>SUM(I1436:O1436)</f>
        <v>0</v>
      </c>
      <c r="I1436" s="430"/>
      <c r="J1436" s="430"/>
      <c r="K1436" s="430">
        <f>IFERROR(HLOOKUP(B1436,[1]pp3p1m!$1:$3,3,0),0)</f>
        <v>0</v>
      </c>
      <c r="L1436" s="430">
        <f>IFERROR(HLOOKUP(chitiet!B1436,[1]pp1p!$1:$3,3,0),0)</f>
        <v>0</v>
      </c>
      <c r="M1436" s="430"/>
      <c r="N1436" s="430"/>
      <c r="O1436" s="430"/>
      <c r="P1436" s="430">
        <f>H1436+Q1436-R1436</f>
        <v>0</v>
      </c>
      <c r="Q1436" s="431"/>
      <c r="R1436" s="431"/>
      <c r="S1436" s="431"/>
      <c r="T1436" s="432">
        <f>IFERROR(HLOOKUP(B1436,[1]pp1p!$1:$3,3,0),0)+IFERROR(HLOOKUP(B1436,[1]pp3p1m!$1:$3,3,0),0)</f>
        <v>0</v>
      </c>
    </row>
    <row r="1437" spans="1:20" ht="22.2" hidden="1" customHeight="1">
      <c r="A1437" s="379"/>
      <c r="B1437" s="410" t="s">
        <v>1079</v>
      </c>
      <c r="C1437" s="469" t="str">
        <f t="shared" si="260"/>
        <v xml:space="preserve"> </v>
      </c>
      <c r="D1437" s="440">
        <v>1</v>
      </c>
      <c r="E1437" s="422"/>
      <c r="F1437" s="441" t="str">
        <f>VLOOKUP($B1437,[1]DG!A:D,[1]DG!$C$2,)</f>
        <v>Ty neo Ø22x3700</v>
      </c>
      <c r="G1437" s="422" t="str">
        <f>VLOOKUP($B1437,[1]DG!A:D,[1]DG!$D$2,)</f>
        <v>cái</v>
      </c>
      <c r="H1437" s="435">
        <f t="shared" ref="H1437:N1439" si="265">H$1436*$D1437</f>
        <v>0</v>
      </c>
      <c r="I1437" s="435">
        <f t="shared" si="265"/>
        <v>0</v>
      </c>
      <c r="J1437" s="435">
        <f t="shared" si="265"/>
        <v>0</v>
      </c>
      <c r="K1437" s="435">
        <f t="shared" si="265"/>
        <v>0</v>
      </c>
      <c r="L1437" s="435">
        <f t="shared" si="265"/>
        <v>0</v>
      </c>
      <c r="M1437" s="435">
        <f t="shared" si="265"/>
        <v>0</v>
      </c>
      <c r="N1437" s="435">
        <f t="shared" si="265"/>
        <v>0</v>
      </c>
      <c r="O1437" s="435"/>
      <c r="P1437" s="435"/>
      <c r="Q1437" s="442"/>
      <c r="R1437" s="442"/>
      <c r="S1437" s="442"/>
      <c r="T1437" s="432">
        <f t="shared" si="258"/>
        <v>0</v>
      </c>
    </row>
    <row r="1438" spans="1:20" ht="22.2" hidden="1" customHeight="1">
      <c r="A1438" s="379"/>
      <c r="B1438" s="410" t="s">
        <v>1080</v>
      </c>
      <c r="C1438" s="469" t="str">
        <f t="shared" si="260"/>
        <v xml:space="preserve"> </v>
      </c>
      <c r="D1438" s="440">
        <v>1</v>
      </c>
      <c r="E1438" s="422" t="str">
        <f>VLOOKUP($B1438,[1]DG!A:D,[1]DG!$B$2,)</f>
        <v>04.3801</v>
      </c>
      <c r="F1438" s="441" t="str">
        <f>VLOOKUP($B1438,[1]DG!A:D,[1]DG!$C$2,)</f>
        <v>Đế neo BTCT 400x1200</v>
      </c>
      <c r="G1438" s="422" t="str">
        <f>VLOOKUP($B1438,[1]DG!A:D,[1]DG!$D$2,)</f>
        <v>cái</v>
      </c>
      <c r="H1438" s="435">
        <f t="shared" si="265"/>
        <v>0</v>
      </c>
      <c r="I1438" s="435">
        <f t="shared" si="265"/>
        <v>0</v>
      </c>
      <c r="J1438" s="435">
        <f t="shared" si="265"/>
        <v>0</v>
      </c>
      <c r="K1438" s="435">
        <f t="shared" si="265"/>
        <v>0</v>
      </c>
      <c r="L1438" s="435">
        <f t="shared" si="265"/>
        <v>0</v>
      </c>
      <c r="M1438" s="435">
        <f t="shared" si="265"/>
        <v>0</v>
      </c>
      <c r="N1438" s="435">
        <f t="shared" si="265"/>
        <v>0</v>
      </c>
      <c r="O1438" s="435"/>
      <c r="P1438" s="435"/>
      <c r="Q1438" s="442"/>
      <c r="R1438" s="442"/>
      <c r="S1438" s="442"/>
      <c r="T1438" s="432">
        <f t="shared" si="258"/>
        <v>0</v>
      </c>
    </row>
    <row r="1439" spans="1:20" ht="22.2" hidden="1" customHeight="1">
      <c r="A1439" s="379"/>
      <c r="B1439" s="410" t="s">
        <v>1072</v>
      </c>
      <c r="C1439" s="469" t="str">
        <f t="shared" si="260"/>
        <v xml:space="preserve"> </v>
      </c>
      <c r="D1439" s="439">
        <v>1.58</v>
      </c>
      <c r="E1439" s="422" t="str">
        <f>VLOOKUP($B1439,[1]DG!A:D,[1]DG!$B$2,)</f>
        <v>04.9001</v>
      </c>
      <c r="F1439" s="441" t="str">
        <f>VLOOKUP($B1439,[1]DG!A:D,[1]DG!$C$2,)</f>
        <v>Bitum</v>
      </c>
      <c r="G1439" s="422" t="str">
        <f>VLOOKUP($B1439,[1]DG!A:D,[1]DG!$D$2,)</f>
        <v>m2</v>
      </c>
      <c r="H1439" s="435">
        <f t="shared" si="265"/>
        <v>0</v>
      </c>
      <c r="I1439" s="435">
        <f t="shared" si="265"/>
        <v>0</v>
      </c>
      <c r="J1439" s="435">
        <f t="shared" si="265"/>
        <v>0</v>
      </c>
      <c r="K1439" s="435">
        <f t="shared" si="265"/>
        <v>0</v>
      </c>
      <c r="L1439" s="435">
        <f t="shared" si="265"/>
        <v>0</v>
      </c>
      <c r="M1439" s="435">
        <f t="shared" si="265"/>
        <v>0</v>
      </c>
      <c r="N1439" s="435">
        <f t="shared" si="265"/>
        <v>0</v>
      </c>
      <c r="O1439" s="435"/>
      <c r="P1439" s="435"/>
      <c r="Q1439" s="442"/>
      <c r="R1439" s="442"/>
      <c r="S1439" s="442"/>
      <c r="T1439" s="432">
        <f t="shared" si="258"/>
        <v>0</v>
      </c>
    </row>
    <row r="1440" spans="1:20" ht="22.2" hidden="1" customHeight="1">
      <c r="A1440" s="379"/>
      <c r="B1440" s="410" t="s">
        <v>75</v>
      </c>
      <c r="C1440" s="469" t="str">
        <f t="shared" si="260"/>
        <v xml:space="preserve"> </v>
      </c>
      <c r="D1440" s="439">
        <v>9.39</v>
      </c>
      <c r="E1440" s="422" t="str">
        <f>VLOOKUP($B1440,[1]DG!A:D,[1]DG!$B$2,)</f>
        <v>03.1013</v>
      </c>
      <c r="F1440" s="434" t="str">
        <f>VLOOKUP($B1440,[1]DG!A:D,[1]DG!$C$2,)</f>
        <v>Đào hố móng đất cấp 3 sâu &gt;1m</v>
      </c>
      <c r="G1440" s="422" t="str">
        <f>VLOOKUP($B1440,[1]DG!A:D,[1]DG!$D$2,)</f>
        <v>m3</v>
      </c>
      <c r="H1440" s="435"/>
      <c r="I1440" s="435"/>
      <c r="J1440" s="435"/>
      <c r="K1440" s="435"/>
      <c r="L1440" s="435"/>
      <c r="M1440" s="435"/>
      <c r="N1440" s="435"/>
      <c r="O1440" s="435"/>
      <c r="P1440" s="435"/>
      <c r="Q1440" s="442"/>
      <c r="R1440" s="442"/>
      <c r="S1440" s="442"/>
      <c r="T1440" s="432">
        <f t="shared" si="258"/>
        <v>0</v>
      </c>
    </row>
    <row r="1441" spans="1:20" ht="22.2" hidden="1" customHeight="1">
      <c r="A1441" s="379"/>
      <c r="B1441" s="410" t="s">
        <v>76</v>
      </c>
      <c r="C1441" s="469" t="str">
        <f t="shared" si="260"/>
        <v xml:space="preserve"> </v>
      </c>
      <c r="D1441" s="439">
        <v>10.7</v>
      </c>
      <c r="E1441" s="422" t="str">
        <f>VLOOKUP($B1441,[1]DG!A:D,[1]DG!$B$2,)</f>
        <v>03.4113</v>
      </c>
      <c r="F1441" s="434" t="str">
        <f>VLOOKUP($B1441,[1]DG!A:D,[1]DG!$C$2,)</f>
        <v>Đắp đất hố móng, độ chặt k=0,95</v>
      </c>
      <c r="G1441" s="422" t="str">
        <f>VLOOKUP($B1441,[1]DG!A:D,[1]DG!$D$2,)</f>
        <v>m3</v>
      </c>
      <c r="H1441" s="435"/>
      <c r="I1441" s="435"/>
      <c r="J1441" s="435"/>
      <c r="K1441" s="435"/>
      <c r="L1441" s="435"/>
      <c r="M1441" s="435"/>
      <c r="N1441" s="435"/>
      <c r="O1441" s="435"/>
      <c r="P1441" s="435"/>
      <c r="Q1441" s="442"/>
      <c r="R1441" s="442"/>
      <c r="S1441" s="442"/>
      <c r="T1441" s="432">
        <f t="shared" si="258"/>
        <v>0</v>
      </c>
    </row>
    <row r="1442" spans="1:20" ht="22.2" hidden="1" customHeight="1">
      <c r="A1442" s="379"/>
      <c r="B1442" s="410" t="s">
        <v>624</v>
      </c>
      <c r="C1442" s="469" t="str">
        <f t="shared" si="260"/>
        <v xml:space="preserve"> </v>
      </c>
      <c r="D1442" s="439">
        <f>D1443</f>
        <v>0.17399999999999999</v>
      </c>
      <c r="E1442" s="422" t="str">
        <f>VLOOKUP($B1442,[1]DG!A:D,[1]DG!$B$2,)</f>
        <v>02.1123</v>
      </c>
      <c r="F1442" s="434" t="str">
        <f>VLOOKUP($B1442,[1]DG!A:D,[1]DG!$C$2,)</f>
        <v>Bốc dỡ đà cản, đế néo</v>
      </c>
      <c r="G1442" s="422" t="str">
        <f>VLOOKUP($B1442,[1]DG!A:D,[1]DG!$D$2,)</f>
        <v>tấn</v>
      </c>
      <c r="H1442" s="435"/>
      <c r="I1442" s="435"/>
      <c r="J1442" s="435"/>
      <c r="K1442" s="435"/>
      <c r="L1442" s="435"/>
      <c r="M1442" s="435"/>
      <c r="N1442" s="435"/>
      <c r="O1442" s="435"/>
      <c r="P1442" s="435"/>
      <c r="Q1442" s="442"/>
      <c r="R1442" s="442"/>
      <c r="S1442" s="442"/>
      <c r="T1442" s="432">
        <f t="shared" si="258"/>
        <v>0</v>
      </c>
    </row>
    <row r="1443" spans="1:20" ht="22.2" hidden="1" customHeight="1">
      <c r="A1443" s="379"/>
      <c r="B1443" s="438" t="s">
        <v>1073</v>
      </c>
      <c r="C1443" s="469" t="str">
        <f t="shared" si="260"/>
        <v xml:space="preserve"> </v>
      </c>
      <c r="D1443" s="439">
        <v>0.17399999999999999</v>
      </c>
      <c r="E1443" s="422" t="str">
        <f>VLOOKUP($B1443,[1]DG!A:C,2,)</f>
        <v>02.1451</v>
      </c>
      <c r="F1443" s="434" t="str">
        <f>VLOOKUP($B1443,[1]DG!A:C,3,)</f>
        <v>V/c đế néo vào vị trí (cự ly &lt;=100m)</v>
      </c>
      <c r="G1443" s="422" t="str">
        <f>VLOOKUP($B1443,[1]DG!A:D,4,0)</f>
        <v>tấn</v>
      </c>
      <c r="H1443" s="435"/>
      <c r="I1443" s="435"/>
      <c r="J1443" s="435"/>
      <c r="K1443" s="435"/>
      <c r="L1443" s="435"/>
      <c r="M1443" s="435"/>
      <c r="N1443" s="435"/>
      <c r="O1443" s="435"/>
      <c r="P1443" s="435"/>
      <c r="Q1443" s="437"/>
      <c r="R1443" s="437"/>
      <c r="S1443" s="437"/>
      <c r="T1443" s="432">
        <f t="shared" si="258"/>
        <v>0</v>
      </c>
    </row>
    <row r="1444" spans="1:20" ht="22.2" hidden="1" customHeight="1">
      <c r="A1444" s="379"/>
      <c r="B1444" s="438" t="s">
        <v>1065</v>
      </c>
      <c r="C1444" s="469" t="str">
        <f t="shared" si="260"/>
        <v xml:space="preserve"> </v>
      </c>
      <c r="D1444" s="439">
        <v>0.05</v>
      </c>
      <c r="E1444" s="422" t="str">
        <f>VLOOKUP($B1444,[1]DG!A:C,2,)</f>
        <v>02.1482</v>
      </c>
      <c r="F1444" s="434" t="str">
        <f>VLOOKUP($B1444,[1]DG!A:C,3,)</f>
        <v>V/c dụng cụ thi công vào vị trí (cự ly &lt;=100m)</v>
      </c>
      <c r="G1444" s="422" t="str">
        <f>VLOOKUP($B1444,[1]DG!A:D,4,0)</f>
        <v>tấn</v>
      </c>
      <c r="H1444" s="435"/>
      <c r="I1444" s="435"/>
      <c r="J1444" s="435"/>
      <c r="K1444" s="435"/>
      <c r="L1444" s="435"/>
      <c r="M1444" s="435"/>
      <c r="N1444" s="435"/>
      <c r="O1444" s="435"/>
      <c r="P1444" s="435"/>
      <c r="Q1444" s="437"/>
      <c r="R1444" s="437"/>
      <c r="S1444" s="437"/>
      <c r="T1444" s="432">
        <f t="shared" si="258"/>
        <v>0</v>
      </c>
    </row>
    <row r="1445" spans="1:20" ht="22.2" hidden="1" customHeight="1">
      <c r="A1445" s="400" t="s">
        <v>1081</v>
      </c>
      <c r="B1445" s="424" t="s">
        <v>1081</v>
      </c>
      <c r="C1445" s="469" t="str">
        <f t="shared" si="260"/>
        <v xml:space="preserve"> </v>
      </c>
      <c r="D1445" s="426"/>
      <c r="E1445" s="427"/>
      <c r="F1445" s="428" t="s">
        <v>1082</v>
      </c>
      <c r="G1445" s="349" t="s">
        <v>67</v>
      </c>
      <c r="H1445" s="429">
        <f>SUM(I1445:O1445)</f>
        <v>0</v>
      </c>
      <c r="I1445" s="430"/>
      <c r="J1445" s="430"/>
      <c r="K1445" s="430">
        <f>IFERROR(HLOOKUP(B1445,[1]pp3p1m!$1:$3,3,0),0)</f>
        <v>0</v>
      </c>
      <c r="L1445" s="430">
        <f>IFERROR(HLOOKUP(chitiet!B1445,[1]pp1p!$1:$3,3,0),0)</f>
        <v>0</v>
      </c>
      <c r="M1445" s="430"/>
      <c r="N1445" s="430"/>
      <c r="O1445" s="430"/>
      <c r="P1445" s="430">
        <f>H1445+Q1445-R1445</f>
        <v>0</v>
      </c>
      <c r="Q1445" s="431"/>
      <c r="R1445" s="431"/>
      <c r="S1445" s="431"/>
      <c r="T1445" s="432">
        <f>IFERROR(HLOOKUP(B1445,[1]pp1p!$1:$3,3,0),0)+IFERROR(HLOOKUP(B1445,[1]pp3p1m!$1:$3,3,0),0)</f>
        <v>0</v>
      </c>
    </row>
    <row r="1446" spans="1:20" ht="22.2" hidden="1" customHeight="1">
      <c r="A1446" s="379"/>
      <c r="B1446" s="410" t="s">
        <v>1070</v>
      </c>
      <c r="C1446" s="469" t="str">
        <f t="shared" si="260"/>
        <v xml:space="preserve"> </v>
      </c>
      <c r="D1446" s="440">
        <v>1</v>
      </c>
      <c r="E1446" s="422"/>
      <c r="F1446" s="441" t="str">
        <f>VLOOKUP($B1446,[1]DG!A:D,[1]DG!$C$2,)</f>
        <v>Ty neo Ø22x3000</v>
      </c>
      <c r="G1446" s="422" t="str">
        <f>VLOOKUP($B1446,[1]DG!A:D,[1]DG!$D$2,)</f>
        <v>cái</v>
      </c>
      <c r="H1446" s="435">
        <f t="shared" ref="H1446:N1448" si="266">H$1445*$D1446</f>
        <v>0</v>
      </c>
      <c r="I1446" s="435">
        <f t="shared" si="266"/>
        <v>0</v>
      </c>
      <c r="J1446" s="435">
        <f t="shared" si="266"/>
        <v>0</v>
      </c>
      <c r="K1446" s="435">
        <f t="shared" si="266"/>
        <v>0</v>
      </c>
      <c r="L1446" s="435">
        <f t="shared" si="266"/>
        <v>0</v>
      </c>
      <c r="M1446" s="435">
        <f t="shared" si="266"/>
        <v>0</v>
      </c>
      <c r="N1446" s="435">
        <f t="shared" si="266"/>
        <v>0</v>
      </c>
      <c r="O1446" s="435"/>
      <c r="P1446" s="435"/>
      <c r="Q1446" s="442"/>
      <c r="R1446" s="442"/>
      <c r="S1446" s="442"/>
      <c r="T1446" s="432">
        <f t="shared" si="258"/>
        <v>0</v>
      </c>
    </row>
    <row r="1447" spans="1:20" ht="22.2" hidden="1" customHeight="1">
      <c r="A1447" s="379"/>
      <c r="B1447" s="410" t="s">
        <v>1080</v>
      </c>
      <c r="C1447" s="469" t="str">
        <f t="shared" si="260"/>
        <v xml:space="preserve"> </v>
      </c>
      <c r="D1447" s="440">
        <v>1</v>
      </c>
      <c r="E1447" s="422" t="str">
        <f>VLOOKUP($B1447,[1]DG!A:D,[1]DG!$B$2,)</f>
        <v>04.3801</v>
      </c>
      <c r="F1447" s="441" t="str">
        <f>VLOOKUP($B1447,[1]DG!A:D,[1]DG!$C$2,)</f>
        <v>Đế neo BTCT 400x1200</v>
      </c>
      <c r="G1447" s="422" t="str">
        <f>VLOOKUP($B1447,[1]DG!A:D,[1]DG!$D$2,)</f>
        <v>cái</v>
      </c>
      <c r="H1447" s="435">
        <f t="shared" si="266"/>
        <v>0</v>
      </c>
      <c r="I1447" s="435">
        <f t="shared" si="266"/>
        <v>0</v>
      </c>
      <c r="J1447" s="435">
        <f t="shared" si="266"/>
        <v>0</v>
      </c>
      <c r="K1447" s="435">
        <f t="shared" si="266"/>
        <v>0</v>
      </c>
      <c r="L1447" s="435">
        <f t="shared" si="266"/>
        <v>0</v>
      </c>
      <c r="M1447" s="435">
        <f t="shared" si="266"/>
        <v>0</v>
      </c>
      <c r="N1447" s="435">
        <f t="shared" si="266"/>
        <v>0</v>
      </c>
      <c r="O1447" s="435"/>
      <c r="P1447" s="435"/>
      <c r="Q1447" s="442"/>
      <c r="R1447" s="442"/>
      <c r="S1447" s="442"/>
      <c r="T1447" s="432">
        <f t="shared" si="258"/>
        <v>0</v>
      </c>
    </row>
    <row r="1448" spans="1:20" ht="22.2" hidden="1" customHeight="1">
      <c r="A1448" s="379"/>
      <c r="B1448" s="410" t="s">
        <v>1072</v>
      </c>
      <c r="C1448" s="469" t="str">
        <f t="shared" si="260"/>
        <v xml:space="preserve"> </v>
      </c>
      <c r="D1448" s="439">
        <v>1.58</v>
      </c>
      <c r="E1448" s="422" t="str">
        <f>VLOOKUP($B1448,[1]DG!A:D,[1]DG!$B$2,)</f>
        <v>04.9001</v>
      </c>
      <c r="F1448" s="441" t="str">
        <f>VLOOKUP($B1448,[1]DG!A:D,[1]DG!$C$2,)</f>
        <v>Bitum</v>
      </c>
      <c r="G1448" s="422" t="str">
        <f>VLOOKUP($B1448,[1]DG!A:D,[1]DG!$D$2,)</f>
        <v>m2</v>
      </c>
      <c r="H1448" s="435">
        <f t="shared" si="266"/>
        <v>0</v>
      </c>
      <c r="I1448" s="435">
        <f t="shared" si="266"/>
        <v>0</v>
      </c>
      <c r="J1448" s="435">
        <f t="shared" si="266"/>
        <v>0</v>
      </c>
      <c r="K1448" s="435">
        <f t="shared" si="266"/>
        <v>0</v>
      </c>
      <c r="L1448" s="435">
        <f t="shared" si="266"/>
        <v>0</v>
      </c>
      <c r="M1448" s="435">
        <f t="shared" si="266"/>
        <v>0</v>
      </c>
      <c r="N1448" s="435">
        <f t="shared" si="266"/>
        <v>0</v>
      </c>
      <c r="O1448" s="435"/>
      <c r="P1448" s="435"/>
      <c r="Q1448" s="442"/>
      <c r="R1448" s="442"/>
      <c r="S1448" s="442"/>
      <c r="T1448" s="432">
        <f t="shared" si="258"/>
        <v>0</v>
      </c>
    </row>
    <row r="1449" spans="1:20" ht="22.2" hidden="1" customHeight="1">
      <c r="A1449" s="379"/>
      <c r="B1449" s="410" t="s">
        <v>75</v>
      </c>
      <c r="C1449" s="469" t="str">
        <f t="shared" si="260"/>
        <v xml:space="preserve"> </v>
      </c>
      <c r="D1449" s="439">
        <v>8.23</v>
      </c>
      <c r="E1449" s="422" t="str">
        <f>VLOOKUP($B1449,[1]DG!A:D,[1]DG!$B$2,)</f>
        <v>03.1013</v>
      </c>
      <c r="F1449" s="434" t="str">
        <f>VLOOKUP($B1449,[1]DG!A:D,[1]DG!$C$2,)</f>
        <v>Đào hố móng đất cấp 3 sâu &gt;1m</v>
      </c>
      <c r="G1449" s="422" t="str">
        <f>VLOOKUP($B1449,[1]DG!A:D,[1]DG!$D$2,)</f>
        <v>m3</v>
      </c>
      <c r="H1449" s="435"/>
      <c r="I1449" s="435"/>
      <c r="J1449" s="435"/>
      <c r="K1449" s="435"/>
      <c r="L1449" s="435"/>
      <c r="M1449" s="435"/>
      <c r="N1449" s="435"/>
      <c r="O1449" s="435"/>
      <c r="P1449" s="435"/>
      <c r="Q1449" s="442"/>
      <c r="R1449" s="442"/>
      <c r="S1449" s="442"/>
      <c r="T1449" s="432">
        <f t="shared" si="258"/>
        <v>0</v>
      </c>
    </row>
    <row r="1450" spans="1:20" ht="22.2" hidden="1" customHeight="1">
      <c r="A1450" s="379"/>
      <c r="B1450" s="410" t="s">
        <v>76</v>
      </c>
      <c r="C1450" s="469" t="str">
        <f t="shared" si="260"/>
        <v xml:space="preserve"> </v>
      </c>
      <c r="D1450" s="439">
        <v>9.2899999999999991</v>
      </c>
      <c r="E1450" s="422" t="str">
        <f>VLOOKUP($B1450,[1]DG!A:D,[1]DG!$B$2,)</f>
        <v>03.4113</v>
      </c>
      <c r="F1450" s="434" t="str">
        <f>VLOOKUP($B1450,[1]DG!A:D,[1]DG!$C$2,)</f>
        <v>Đắp đất hố móng, độ chặt k=0,95</v>
      </c>
      <c r="G1450" s="422" t="str">
        <f>VLOOKUP($B1450,[1]DG!A:D,[1]DG!$D$2,)</f>
        <v>m3</v>
      </c>
      <c r="H1450" s="435"/>
      <c r="I1450" s="435"/>
      <c r="J1450" s="435"/>
      <c r="K1450" s="435"/>
      <c r="L1450" s="435"/>
      <c r="M1450" s="435"/>
      <c r="N1450" s="435"/>
      <c r="O1450" s="435"/>
      <c r="P1450" s="435"/>
      <c r="Q1450" s="442"/>
      <c r="R1450" s="442"/>
      <c r="S1450" s="442"/>
      <c r="T1450" s="432">
        <f t="shared" si="258"/>
        <v>0</v>
      </c>
    </row>
    <row r="1451" spans="1:20" ht="22.2" hidden="1" customHeight="1">
      <c r="A1451" s="379"/>
      <c r="B1451" s="410" t="s">
        <v>624</v>
      </c>
      <c r="C1451" s="469" t="str">
        <f t="shared" si="260"/>
        <v xml:space="preserve"> </v>
      </c>
      <c r="D1451" s="439">
        <f>D1452</f>
        <v>0.17399999999999999</v>
      </c>
      <c r="E1451" s="422" t="str">
        <f>VLOOKUP($B1451,[1]DG!A:D,[1]DG!$B$2,)</f>
        <v>02.1123</v>
      </c>
      <c r="F1451" s="434" t="str">
        <f>VLOOKUP($B1451,[1]DG!A:D,[1]DG!$C$2,)</f>
        <v>Bốc dỡ đà cản, đế néo</v>
      </c>
      <c r="G1451" s="422" t="str">
        <f>VLOOKUP($B1451,[1]DG!A:D,[1]DG!$D$2,)</f>
        <v>tấn</v>
      </c>
      <c r="H1451" s="435"/>
      <c r="I1451" s="435"/>
      <c r="J1451" s="435"/>
      <c r="K1451" s="435"/>
      <c r="L1451" s="435"/>
      <c r="M1451" s="435"/>
      <c r="N1451" s="435"/>
      <c r="O1451" s="435"/>
      <c r="P1451" s="435"/>
      <c r="Q1451" s="442"/>
      <c r="R1451" s="442"/>
      <c r="S1451" s="442"/>
      <c r="T1451" s="432">
        <f t="shared" ref="T1451:T1514" si="267">IFERROR(HLOOKUP(B1451,BangKeTru,3,0),0)</f>
        <v>0</v>
      </c>
    </row>
    <row r="1452" spans="1:20" ht="22.2" hidden="1" customHeight="1">
      <c r="A1452" s="379"/>
      <c r="B1452" s="438" t="s">
        <v>1073</v>
      </c>
      <c r="C1452" s="469" t="str">
        <f t="shared" si="260"/>
        <v xml:space="preserve"> </v>
      </c>
      <c r="D1452" s="439">
        <v>0.17399999999999999</v>
      </c>
      <c r="E1452" s="422" t="str">
        <f>VLOOKUP($B1452,[1]DG!A:C,2,)</f>
        <v>02.1451</v>
      </c>
      <c r="F1452" s="434" t="str">
        <f>VLOOKUP($B1452,[1]DG!A:C,3,)</f>
        <v>V/c đế néo vào vị trí (cự ly &lt;=100m)</v>
      </c>
      <c r="G1452" s="422" t="str">
        <f>VLOOKUP($B1452,[1]DG!A:D,4,0)</f>
        <v>tấn</v>
      </c>
      <c r="H1452" s="435"/>
      <c r="I1452" s="435"/>
      <c r="J1452" s="435"/>
      <c r="K1452" s="435"/>
      <c r="L1452" s="435"/>
      <c r="M1452" s="435"/>
      <c r="N1452" s="435"/>
      <c r="O1452" s="435"/>
      <c r="P1452" s="435"/>
      <c r="Q1452" s="437"/>
      <c r="R1452" s="437"/>
      <c r="S1452" s="437"/>
      <c r="T1452" s="432">
        <f t="shared" si="267"/>
        <v>0</v>
      </c>
    </row>
    <row r="1453" spans="1:20" ht="22.2" hidden="1" customHeight="1">
      <c r="A1453" s="379"/>
      <c r="B1453" s="438" t="s">
        <v>1065</v>
      </c>
      <c r="C1453" s="469" t="str">
        <f t="shared" si="260"/>
        <v xml:space="preserve"> </v>
      </c>
      <c r="D1453" s="439">
        <v>0.05</v>
      </c>
      <c r="E1453" s="422" t="str">
        <f>VLOOKUP($B1453,[1]DG!A:C,2,)</f>
        <v>02.1482</v>
      </c>
      <c r="F1453" s="434" t="str">
        <f>VLOOKUP($B1453,[1]DG!A:C,3,)</f>
        <v>V/c dụng cụ thi công vào vị trí (cự ly &lt;=100m)</v>
      </c>
      <c r="G1453" s="422" t="str">
        <f>VLOOKUP($B1453,[1]DG!A:D,4,0)</f>
        <v>tấn</v>
      </c>
      <c r="H1453" s="435"/>
      <c r="I1453" s="435"/>
      <c r="J1453" s="435"/>
      <c r="K1453" s="435"/>
      <c r="L1453" s="435"/>
      <c r="M1453" s="435"/>
      <c r="N1453" s="435"/>
      <c r="O1453" s="435"/>
      <c r="P1453" s="435"/>
      <c r="Q1453" s="437"/>
      <c r="R1453" s="437"/>
      <c r="S1453" s="437"/>
      <c r="T1453" s="432">
        <f t="shared" si="267"/>
        <v>0</v>
      </c>
    </row>
    <row r="1454" spans="1:20" ht="22.2" hidden="1" customHeight="1">
      <c r="A1454" s="482" t="s">
        <v>1083</v>
      </c>
      <c r="B1454" s="424" t="s">
        <v>1083</v>
      </c>
      <c r="C1454" s="469" t="str">
        <f t="shared" si="260"/>
        <v xml:space="preserve"> </v>
      </c>
      <c r="D1454" s="426"/>
      <c r="E1454" s="427"/>
      <c r="F1454" s="428" t="s">
        <v>1084</v>
      </c>
      <c r="G1454" s="349" t="s">
        <v>67</v>
      </c>
      <c r="H1454" s="429">
        <f>SUM(I1454:O1454)</f>
        <v>0</v>
      </c>
      <c r="I1454" s="430"/>
      <c r="J1454" s="430"/>
      <c r="K1454" s="430">
        <f>IFERROR(HLOOKUP(B1454,[1]pp3p1m!$1:$3,3,0),0)</f>
        <v>0</v>
      </c>
      <c r="L1454" s="430">
        <f>IFERROR(HLOOKUP(chitiet!B1454,[1]pp1p!$1:$3,3,0),0)</f>
        <v>0</v>
      </c>
      <c r="M1454" s="430"/>
      <c r="N1454" s="430"/>
      <c r="O1454" s="430"/>
      <c r="P1454" s="430">
        <f>H1454+Q1454-R1454</f>
        <v>0</v>
      </c>
      <c r="Q1454" s="431"/>
      <c r="R1454" s="431"/>
      <c r="S1454" s="431"/>
      <c r="T1454" s="432">
        <f>IFERROR(HLOOKUP(B1454,[1]pp1p!$1:$3,3,0),0)+IFERROR(HLOOKUP(B1454,[1]pp3p1m!$1:$3,3,0),0)</f>
        <v>0</v>
      </c>
    </row>
    <row r="1455" spans="1:20" ht="22.2" hidden="1" customHeight="1">
      <c r="A1455" s="379"/>
      <c r="B1455" s="410" t="s">
        <v>1079</v>
      </c>
      <c r="C1455" s="469" t="str">
        <f t="shared" si="260"/>
        <v xml:space="preserve"> </v>
      </c>
      <c r="D1455" s="440">
        <v>1</v>
      </c>
      <c r="E1455" s="422"/>
      <c r="F1455" s="441" t="str">
        <f>VLOOKUP($B1455,[1]DG!A:D,[1]DG!$C$2,)</f>
        <v>Ty neo Ø22x3700</v>
      </c>
      <c r="G1455" s="422" t="str">
        <f>VLOOKUP($B1455,[1]DG!A:D,[1]DG!$D$2,)</f>
        <v>cái</v>
      </c>
      <c r="H1455" s="435">
        <f t="shared" ref="H1455:N1457" si="268">H$1454*$D1455</f>
        <v>0</v>
      </c>
      <c r="I1455" s="435">
        <f t="shared" si="268"/>
        <v>0</v>
      </c>
      <c r="J1455" s="435">
        <f t="shared" si="268"/>
        <v>0</v>
      </c>
      <c r="K1455" s="435">
        <f t="shared" si="268"/>
        <v>0</v>
      </c>
      <c r="L1455" s="435">
        <f t="shared" si="268"/>
        <v>0</v>
      </c>
      <c r="M1455" s="435">
        <f t="shared" si="268"/>
        <v>0</v>
      </c>
      <c r="N1455" s="435">
        <f t="shared" si="268"/>
        <v>0</v>
      </c>
      <c r="O1455" s="435"/>
      <c r="P1455" s="435"/>
      <c r="Q1455" s="442"/>
      <c r="R1455" s="442"/>
      <c r="S1455" s="442"/>
      <c r="T1455" s="432">
        <f t="shared" si="267"/>
        <v>0</v>
      </c>
    </row>
    <row r="1456" spans="1:20" ht="22.2" hidden="1" customHeight="1">
      <c r="A1456" s="379"/>
      <c r="B1456" s="410" t="s">
        <v>1085</v>
      </c>
      <c r="C1456" s="469" t="str">
        <f t="shared" si="260"/>
        <v xml:space="preserve"> </v>
      </c>
      <c r="D1456" s="440">
        <v>1</v>
      </c>
      <c r="E1456" s="422" t="str">
        <f>VLOOKUP($B1456,[1]DG!A:D,[1]DG!$B$2,)</f>
        <v>04.3802</v>
      </c>
      <c r="F1456" s="441" t="str">
        <f>VLOOKUP($B1456,[1]DG!A:D,[1]DG!$C$2,)</f>
        <v>Đế neo BTCT 400x1500</v>
      </c>
      <c r="G1456" s="422" t="str">
        <f>VLOOKUP($B1456,[1]DG!A:D,[1]DG!$D$2,)</f>
        <v>cái</v>
      </c>
      <c r="H1456" s="435">
        <f t="shared" si="268"/>
        <v>0</v>
      </c>
      <c r="I1456" s="435">
        <f t="shared" si="268"/>
        <v>0</v>
      </c>
      <c r="J1456" s="435">
        <f t="shared" si="268"/>
        <v>0</v>
      </c>
      <c r="K1456" s="435">
        <f t="shared" si="268"/>
        <v>0</v>
      </c>
      <c r="L1456" s="435">
        <f t="shared" si="268"/>
        <v>0</v>
      </c>
      <c r="M1456" s="435">
        <f t="shared" si="268"/>
        <v>0</v>
      </c>
      <c r="N1456" s="435">
        <f t="shared" si="268"/>
        <v>0</v>
      </c>
      <c r="O1456" s="435"/>
      <c r="P1456" s="435"/>
      <c r="Q1456" s="442"/>
      <c r="R1456" s="442"/>
      <c r="S1456" s="442"/>
      <c r="T1456" s="432">
        <f t="shared" si="267"/>
        <v>0</v>
      </c>
    </row>
    <row r="1457" spans="1:20" ht="22.2" hidden="1" customHeight="1">
      <c r="A1457" s="379"/>
      <c r="B1457" s="410" t="s">
        <v>1072</v>
      </c>
      <c r="C1457" s="469" t="str">
        <f t="shared" si="260"/>
        <v xml:space="preserve"> </v>
      </c>
      <c r="D1457" s="439">
        <v>1.7</v>
      </c>
      <c r="E1457" s="422" t="str">
        <f>VLOOKUP($B1457,[1]DG!A:D,[1]DG!$B$2,)</f>
        <v>04.9001</v>
      </c>
      <c r="F1457" s="441" t="str">
        <f>VLOOKUP($B1457,[1]DG!A:D,[1]DG!$C$2,)</f>
        <v>Bitum</v>
      </c>
      <c r="G1457" s="422" t="str">
        <f>VLOOKUP($B1457,[1]DG!A:D,[1]DG!$D$2,)</f>
        <v>m2</v>
      </c>
      <c r="H1457" s="435">
        <f t="shared" si="268"/>
        <v>0</v>
      </c>
      <c r="I1457" s="435">
        <f t="shared" si="268"/>
        <v>0</v>
      </c>
      <c r="J1457" s="435">
        <f t="shared" si="268"/>
        <v>0</v>
      </c>
      <c r="K1457" s="435">
        <f t="shared" si="268"/>
        <v>0</v>
      </c>
      <c r="L1457" s="435">
        <f t="shared" si="268"/>
        <v>0</v>
      </c>
      <c r="M1457" s="435">
        <f t="shared" si="268"/>
        <v>0</v>
      </c>
      <c r="N1457" s="435">
        <f t="shared" si="268"/>
        <v>0</v>
      </c>
      <c r="O1457" s="435"/>
      <c r="P1457" s="435"/>
      <c r="Q1457" s="442"/>
      <c r="R1457" s="442"/>
      <c r="S1457" s="442"/>
      <c r="T1457" s="432">
        <f t="shared" si="267"/>
        <v>0</v>
      </c>
    </row>
    <row r="1458" spans="1:20" ht="22.2" hidden="1" customHeight="1">
      <c r="A1458" s="379"/>
      <c r="B1458" s="410" t="s">
        <v>75</v>
      </c>
      <c r="C1458" s="469" t="str">
        <f t="shared" si="260"/>
        <v xml:space="preserve"> </v>
      </c>
      <c r="D1458" s="439">
        <v>10.5</v>
      </c>
      <c r="E1458" s="422" t="str">
        <f>VLOOKUP($B1458,[1]DG!A:D,[1]DG!$B$2,)</f>
        <v>03.1013</v>
      </c>
      <c r="F1458" s="434" t="str">
        <f>VLOOKUP($B1458,[1]DG!A:D,[1]DG!$C$2,)</f>
        <v>Đào hố móng đất cấp 3 sâu &gt;1m</v>
      </c>
      <c r="G1458" s="422" t="str">
        <f>VLOOKUP($B1458,[1]DG!A:D,[1]DG!$D$2,)</f>
        <v>m3</v>
      </c>
      <c r="H1458" s="435"/>
      <c r="I1458" s="435"/>
      <c r="J1458" s="435"/>
      <c r="K1458" s="435"/>
      <c r="L1458" s="435"/>
      <c r="M1458" s="435"/>
      <c r="N1458" s="435"/>
      <c r="O1458" s="435"/>
      <c r="P1458" s="435"/>
      <c r="Q1458" s="442"/>
      <c r="R1458" s="442"/>
      <c r="S1458" s="442"/>
      <c r="T1458" s="432">
        <f t="shared" si="267"/>
        <v>0</v>
      </c>
    </row>
    <row r="1459" spans="1:20" ht="22.2" hidden="1" customHeight="1">
      <c r="A1459" s="379"/>
      <c r="B1459" s="410" t="s">
        <v>76</v>
      </c>
      <c r="C1459" s="469" t="str">
        <f t="shared" si="260"/>
        <v xml:space="preserve"> </v>
      </c>
      <c r="D1459" s="439">
        <v>11.95</v>
      </c>
      <c r="E1459" s="422" t="str">
        <f>VLOOKUP($B1459,[1]DG!A:D,[1]DG!$B$2,)</f>
        <v>03.4113</v>
      </c>
      <c r="F1459" s="434" t="str">
        <f>VLOOKUP($B1459,[1]DG!A:D,[1]DG!$C$2,)</f>
        <v>Đắp đất hố móng, độ chặt k=0,95</v>
      </c>
      <c r="G1459" s="422" t="str">
        <f>VLOOKUP($B1459,[1]DG!A:D,[1]DG!$D$2,)</f>
        <v>m3</v>
      </c>
      <c r="H1459" s="435"/>
      <c r="I1459" s="435"/>
      <c r="J1459" s="435"/>
      <c r="K1459" s="435"/>
      <c r="L1459" s="435"/>
      <c r="M1459" s="435"/>
      <c r="N1459" s="435"/>
      <c r="O1459" s="435"/>
      <c r="P1459" s="435"/>
      <c r="Q1459" s="442"/>
      <c r="R1459" s="442"/>
      <c r="S1459" s="442"/>
      <c r="T1459" s="432">
        <f t="shared" si="267"/>
        <v>0</v>
      </c>
    </row>
    <row r="1460" spans="1:20" ht="22.2" hidden="1" customHeight="1">
      <c r="A1460" s="379"/>
      <c r="B1460" s="410" t="s">
        <v>624</v>
      </c>
      <c r="C1460" s="469" t="str">
        <f t="shared" si="260"/>
        <v xml:space="preserve"> </v>
      </c>
      <c r="D1460" s="439">
        <f>D1461</f>
        <v>0.193</v>
      </c>
      <c r="E1460" s="422" t="str">
        <f>VLOOKUP($B1460,[1]DG!A:D,[1]DG!$B$2,)</f>
        <v>02.1123</v>
      </c>
      <c r="F1460" s="434" t="str">
        <f>VLOOKUP($B1460,[1]DG!A:D,[1]DG!$C$2,)</f>
        <v>Bốc dỡ đà cản, đế néo</v>
      </c>
      <c r="G1460" s="422" t="str">
        <f>VLOOKUP($B1460,[1]DG!A:D,[1]DG!$D$2,)</f>
        <v>tấn</v>
      </c>
      <c r="H1460" s="435"/>
      <c r="I1460" s="435"/>
      <c r="J1460" s="435"/>
      <c r="K1460" s="435"/>
      <c r="L1460" s="435"/>
      <c r="M1460" s="435"/>
      <c r="N1460" s="435"/>
      <c r="O1460" s="435"/>
      <c r="P1460" s="435"/>
      <c r="Q1460" s="442"/>
      <c r="R1460" s="442"/>
      <c r="S1460" s="442"/>
      <c r="T1460" s="432">
        <f t="shared" si="267"/>
        <v>0</v>
      </c>
    </row>
    <row r="1461" spans="1:20" ht="22.2" hidden="1" customHeight="1">
      <c r="A1461" s="379"/>
      <c r="B1461" s="438" t="s">
        <v>1073</v>
      </c>
      <c r="C1461" s="469" t="str">
        <f t="shared" si="260"/>
        <v xml:space="preserve"> </v>
      </c>
      <c r="D1461" s="439">
        <v>0.193</v>
      </c>
      <c r="E1461" s="422" t="str">
        <f>VLOOKUP($B1461,[1]DG!A:C,2,)</f>
        <v>02.1451</v>
      </c>
      <c r="F1461" s="434" t="str">
        <f>VLOOKUP($B1461,[1]DG!A:C,3,)</f>
        <v>V/c đế néo vào vị trí (cự ly &lt;=100m)</v>
      </c>
      <c r="G1461" s="422" t="str">
        <f>VLOOKUP($B1461,[1]DG!A:D,4,0)</f>
        <v>tấn</v>
      </c>
      <c r="H1461" s="435"/>
      <c r="I1461" s="435"/>
      <c r="J1461" s="435"/>
      <c r="K1461" s="435"/>
      <c r="L1461" s="435"/>
      <c r="M1461" s="435"/>
      <c r="N1461" s="435"/>
      <c r="O1461" s="435"/>
      <c r="P1461" s="435"/>
      <c r="Q1461" s="437"/>
      <c r="R1461" s="437"/>
      <c r="S1461" s="437"/>
      <c r="T1461" s="432">
        <f t="shared" si="267"/>
        <v>0</v>
      </c>
    </row>
    <row r="1462" spans="1:20" ht="22.2" hidden="1" customHeight="1">
      <c r="A1462" s="379"/>
      <c r="B1462" s="438" t="s">
        <v>1065</v>
      </c>
      <c r="C1462" s="469" t="str">
        <f t="shared" si="260"/>
        <v xml:space="preserve"> </v>
      </c>
      <c r="D1462" s="439">
        <v>0.05</v>
      </c>
      <c r="E1462" s="422" t="str">
        <f>VLOOKUP($B1462,[1]DG!A:C,2,)</f>
        <v>02.1482</v>
      </c>
      <c r="F1462" s="434" t="str">
        <f>VLOOKUP($B1462,[1]DG!A:C,3,)</f>
        <v>V/c dụng cụ thi công vào vị trí (cự ly &lt;=100m)</v>
      </c>
      <c r="G1462" s="422" t="str">
        <f>VLOOKUP($B1462,[1]DG!A:D,4,0)</f>
        <v>tấn</v>
      </c>
      <c r="H1462" s="435"/>
      <c r="I1462" s="435"/>
      <c r="J1462" s="435"/>
      <c r="K1462" s="435"/>
      <c r="L1462" s="435"/>
      <c r="M1462" s="435"/>
      <c r="N1462" s="435"/>
      <c r="O1462" s="435"/>
      <c r="P1462" s="435"/>
      <c r="Q1462" s="437"/>
      <c r="R1462" s="437"/>
      <c r="S1462" s="437"/>
      <c r="T1462" s="432">
        <f t="shared" si="267"/>
        <v>0</v>
      </c>
    </row>
    <row r="1463" spans="1:20" ht="22.2" hidden="1" customHeight="1">
      <c r="A1463" s="423" t="s">
        <v>1086</v>
      </c>
      <c r="B1463" s="424" t="s">
        <v>1086</v>
      </c>
      <c r="C1463" s="469" t="str">
        <f t="shared" si="260"/>
        <v xml:space="preserve"> </v>
      </c>
      <c r="D1463" s="426"/>
      <c r="E1463" s="427"/>
      <c r="F1463" s="428" t="s">
        <v>1087</v>
      </c>
      <c r="G1463" s="349" t="s">
        <v>67</v>
      </c>
      <c r="H1463" s="429">
        <f>SUM(I1463:O1463)</f>
        <v>0</v>
      </c>
      <c r="I1463" s="430"/>
      <c r="J1463" s="430"/>
      <c r="K1463" s="430">
        <f>IFERROR(HLOOKUP(B1463,[1]pp3p1m!$1:$3,3,0),0)</f>
        <v>0</v>
      </c>
      <c r="L1463" s="430">
        <f>IFERROR(HLOOKUP(chitiet!B1463,[1]pp1p!$1:$3,3,0),0)</f>
        <v>0</v>
      </c>
      <c r="M1463" s="430"/>
      <c r="N1463" s="430"/>
      <c r="O1463" s="430"/>
      <c r="P1463" s="430">
        <f>H1463+Q1463-R1463</f>
        <v>0</v>
      </c>
      <c r="Q1463" s="431"/>
      <c r="R1463" s="431"/>
      <c r="S1463" s="431"/>
      <c r="T1463" s="432">
        <f>IFERROR(HLOOKUP(B1463,[1]pp1p!$1:$3,3,0),0)+IFERROR(HLOOKUP(B1463,[1]pp3p1m!$1:$3,3,0),0)</f>
        <v>0</v>
      </c>
    </row>
    <row r="1464" spans="1:20" ht="22.2" hidden="1" customHeight="1">
      <c r="A1464" s="379"/>
      <c r="B1464" s="410" t="s">
        <v>1070</v>
      </c>
      <c r="C1464" s="469" t="str">
        <f t="shared" si="260"/>
        <v xml:space="preserve"> </v>
      </c>
      <c r="D1464" s="440">
        <v>1</v>
      </c>
      <c r="E1464" s="422"/>
      <c r="F1464" s="441" t="str">
        <f>VLOOKUP($B1464,[1]DG!A:D,[1]DG!$C$2,)</f>
        <v>Ty neo Ø22x3000</v>
      </c>
      <c r="G1464" s="422" t="str">
        <f>VLOOKUP($B1464,[1]DG!A:D,[1]DG!$D$2,)</f>
        <v>cái</v>
      </c>
      <c r="H1464" s="435">
        <f t="shared" ref="H1464:N1466" si="269">H$1463*$D1464</f>
        <v>0</v>
      </c>
      <c r="I1464" s="435">
        <f t="shared" si="269"/>
        <v>0</v>
      </c>
      <c r="J1464" s="435">
        <f t="shared" si="269"/>
        <v>0</v>
      </c>
      <c r="K1464" s="435">
        <f t="shared" si="269"/>
        <v>0</v>
      </c>
      <c r="L1464" s="435">
        <f t="shared" si="269"/>
        <v>0</v>
      </c>
      <c r="M1464" s="435">
        <f t="shared" si="269"/>
        <v>0</v>
      </c>
      <c r="N1464" s="435">
        <f t="shared" si="269"/>
        <v>0</v>
      </c>
      <c r="O1464" s="435"/>
      <c r="P1464" s="435"/>
      <c r="Q1464" s="442"/>
      <c r="R1464" s="442"/>
      <c r="S1464" s="442"/>
      <c r="T1464" s="432">
        <f t="shared" si="267"/>
        <v>0</v>
      </c>
    </row>
    <row r="1465" spans="1:20" ht="22.2" hidden="1" customHeight="1">
      <c r="A1465" s="379"/>
      <c r="B1465" s="410" t="s">
        <v>1085</v>
      </c>
      <c r="C1465" s="469" t="str">
        <f t="shared" si="260"/>
        <v xml:space="preserve"> </v>
      </c>
      <c r="D1465" s="440">
        <v>1</v>
      </c>
      <c r="E1465" s="422" t="str">
        <f>VLOOKUP($B1465,[1]DG!A:D,[1]DG!$B$2,)</f>
        <v>04.3802</v>
      </c>
      <c r="F1465" s="441" t="str">
        <f>VLOOKUP($B1465,[1]DG!A:D,[1]DG!$C$2,)</f>
        <v>Đế neo BTCT 400x1500</v>
      </c>
      <c r="G1465" s="422" t="str">
        <f>VLOOKUP($B1465,[1]DG!A:D,[1]DG!$D$2,)</f>
        <v>cái</v>
      </c>
      <c r="H1465" s="435">
        <f t="shared" si="269"/>
        <v>0</v>
      </c>
      <c r="I1465" s="435">
        <f t="shared" si="269"/>
        <v>0</v>
      </c>
      <c r="J1465" s="435">
        <f t="shared" si="269"/>
        <v>0</v>
      </c>
      <c r="K1465" s="435">
        <f t="shared" si="269"/>
        <v>0</v>
      </c>
      <c r="L1465" s="435">
        <f t="shared" si="269"/>
        <v>0</v>
      </c>
      <c r="M1465" s="435">
        <f t="shared" si="269"/>
        <v>0</v>
      </c>
      <c r="N1465" s="435">
        <f t="shared" si="269"/>
        <v>0</v>
      </c>
      <c r="O1465" s="435"/>
      <c r="P1465" s="435"/>
      <c r="Q1465" s="442"/>
      <c r="R1465" s="442"/>
      <c r="S1465" s="442"/>
      <c r="T1465" s="432">
        <f t="shared" si="267"/>
        <v>0</v>
      </c>
    </row>
    <row r="1466" spans="1:20" ht="22.2" hidden="1" customHeight="1">
      <c r="A1466" s="379"/>
      <c r="B1466" s="410" t="s">
        <v>1072</v>
      </c>
      <c r="C1466" s="469" t="str">
        <f t="shared" ref="C1466:C1529" si="270">IF(OR(P1466&lt;&gt;0,H1466&lt;&gt;0),"x"," ")</f>
        <v xml:space="preserve"> </v>
      </c>
      <c r="D1466" s="439">
        <v>1.7</v>
      </c>
      <c r="E1466" s="422" t="str">
        <f>VLOOKUP($B1466,[1]DG!A:D,[1]DG!$B$2,)</f>
        <v>04.9001</v>
      </c>
      <c r="F1466" s="441" t="str">
        <f>VLOOKUP($B1466,[1]DG!A:D,[1]DG!$C$2,)</f>
        <v>Bitum</v>
      </c>
      <c r="G1466" s="422" t="str">
        <f>VLOOKUP($B1466,[1]DG!A:D,[1]DG!$D$2,)</f>
        <v>m2</v>
      </c>
      <c r="H1466" s="435">
        <f t="shared" si="269"/>
        <v>0</v>
      </c>
      <c r="I1466" s="435">
        <f t="shared" si="269"/>
        <v>0</v>
      </c>
      <c r="J1466" s="435">
        <f t="shared" si="269"/>
        <v>0</v>
      </c>
      <c r="K1466" s="435">
        <f t="shared" si="269"/>
        <v>0</v>
      </c>
      <c r="L1466" s="435">
        <f t="shared" si="269"/>
        <v>0</v>
      </c>
      <c r="M1466" s="435">
        <f t="shared" si="269"/>
        <v>0</v>
      </c>
      <c r="N1466" s="435">
        <f t="shared" si="269"/>
        <v>0</v>
      </c>
      <c r="O1466" s="435"/>
      <c r="P1466" s="435"/>
      <c r="Q1466" s="442"/>
      <c r="R1466" s="442"/>
      <c r="S1466" s="442"/>
      <c r="T1466" s="432">
        <f t="shared" si="267"/>
        <v>0</v>
      </c>
    </row>
    <row r="1467" spans="1:20" ht="22.2" hidden="1" customHeight="1">
      <c r="A1467" s="379"/>
      <c r="B1467" s="410" t="s">
        <v>75</v>
      </c>
      <c r="C1467" s="469" t="str">
        <f t="shared" si="270"/>
        <v xml:space="preserve"> </v>
      </c>
      <c r="D1467" s="439">
        <v>9.2799999999999994</v>
      </c>
      <c r="E1467" s="422" t="str">
        <f>VLOOKUP($B1467,[1]DG!A:D,[1]DG!$B$2,)</f>
        <v>03.1013</v>
      </c>
      <c r="F1467" s="434" t="str">
        <f>VLOOKUP($B1467,[1]DG!A:D,[1]DG!$C$2,)</f>
        <v>Đào hố móng đất cấp 3 sâu &gt;1m</v>
      </c>
      <c r="G1467" s="422" t="str">
        <f>VLOOKUP($B1467,[1]DG!A:D,[1]DG!$D$2,)</f>
        <v>m3</v>
      </c>
      <c r="H1467" s="435"/>
      <c r="I1467" s="435"/>
      <c r="J1467" s="435"/>
      <c r="K1467" s="435"/>
      <c r="L1467" s="435"/>
      <c r="M1467" s="435"/>
      <c r="N1467" s="435"/>
      <c r="O1467" s="435"/>
      <c r="P1467" s="435"/>
      <c r="Q1467" s="442"/>
      <c r="R1467" s="442"/>
      <c r="S1467" s="442"/>
      <c r="T1467" s="432">
        <f t="shared" si="267"/>
        <v>0</v>
      </c>
    </row>
    <row r="1468" spans="1:20" ht="22.2" hidden="1" customHeight="1">
      <c r="A1468" s="379"/>
      <c r="B1468" s="410" t="s">
        <v>76</v>
      </c>
      <c r="C1468" s="469" t="str">
        <f t="shared" si="270"/>
        <v xml:space="preserve"> </v>
      </c>
      <c r="D1468" s="439">
        <v>9.76</v>
      </c>
      <c r="E1468" s="422" t="str">
        <f>VLOOKUP($B1468,[1]DG!A:D,[1]DG!$B$2,)</f>
        <v>03.4113</v>
      </c>
      <c r="F1468" s="434" t="str">
        <f>VLOOKUP($B1468,[1]DG!A:D,[1]DG!$C$2,)</f>
        <v>Đắp đất hố móng, độ chặt k=0,95</v>
      </c>
      <c r="G1468" s="422" t="str">
        <f>VLOOKUP($B1468,[1]DG!A:D,[1]DG!$D$2,)</f>
        <v>m3</v>
      </c>
      <c r="H1468" s="435"/>
      <c r="I1468" s="435"/>
      <c r="J1468" s="435"/>
      <c r="K1468" s="435"/>
      <c r="L1468" s="435"/>
      <c r="M1468" s="435"/>
      <c r="N1468" s="435"/>
      <c r="O1468" s="435"/>
      <c r="P1468" s="435"/>
      <c r="Q1468" s="442"/>
      <c r="R1468" s="442"/>
      <c r="S1468" s="442"/>
      <c r="T1468" s="432">
        <f t="shared" si="267"/>
        <v>0</v>
      </c>
    </row>
    <row r="1469" spans="1:20" ht="22.2" hidden="1" customHeight="1">
      <c r="A1469" s="379"/>
      <c r="B1469" s="410" t="s">
        <v>624</v>
      </c>
      <c r="C1469" s="469" t="str">
        <f t="shared" si="270"/>
        <v xml:space="preserve"> </v>
      </c>
      <c r="D1469" s="439">
        <f>D1470</f>
        <v>0.193</v>
      </c>
      <c r="E1469" s="422" t="str">
        <f>VLOOKUP($B1469,[1]DG!A:D,[1]DG!$B$2,)</f>
        <v>02.1123</v>
      </c>
      <c r="F1469" s="434" t="str">
        <f>VLOOKUP($B1469,[1]DG!A:D,[1]DG!$C$2,)</f>
        <v>Bốc dỡ đà cản, đế néo</v>
      </c>
      <c r="G1469" s="422" t="str">
        <f>VLOOKUP($B1469,[1]DG!A:D,[1]DG!$D$2,)</f>
        <v>tấn</v>
      </c>
      <c r="H1469" s="435"/>
      <c r="I1469" s="435"/>
      <c r="J1469" s="435"/>
      <c r="K1469" s="435"/>
      <c r="L1469" s="435"/>
      <c r="M1469" s="435"/>
      <c r="N1469" s="435"/>
      <c r="O1469" s="435"/>
      <c r="P1469" s="435"/>
      <c r="Q1469" s="442"/>
      <c r="R1469" s="442"/>
      <c r="S1469" s="442"/>
      <c r="T1469" s="432">
        <f t="shared" si="267"/>
        <v>0</v>
      </c>
    </row>
    <row r="1470" spans="1:20" ht="22.2" hidden="1" customHeight="1">
      <c r="A1470" s="379"/>
      <c r="B1470" s="438" t="s">
        <v>1073</v>
      </c>
      <c r="C1470" s="469" t="str">
        <f t="shared" si="270"/>
        <v xml:space="preserve"> </v>
      </c>
      <c r="D1470" s="439">
        <v>0.193</v>
      </c>
      <c r="E1470" s="422" t="str">
        <f>VLOOKUP($B1470,[1]DG!A:C,2,)</f>
        <v>02.1451</v>
      </c>
      <c r="F1470" s="434" t="str">
        <f>VLOOKUP($B1470,[1]DG!A:C,3,)</f>
        <v>V/c đế néo vào vị trí (cự ly &lt;=100m)</v>
      </c>
      <c r="G1470" s="422" t="str">
        <f>VLOOKUP($B1470,[1]DG!A:D,4,0)</f>
        <v>tấn</v>
      </c>
      <c r="H1470" s="435"/>
      <c r="I1470" s="435"/>
      <c r="J1470" s="435"/>
      <c r="K1470" s="435"/>
      <c r="L1470" s="435"/>
      <c r="M1470" s="435"/>
      <c r="N1470" s="435"/>
      <c r="O1470" s="435"/>
      <c r="P1470" s="435"/>
      <c r="Q1470" s="437"/>
      <c r="R1470" s="437"/>
      <c r="S1470" s="437"/>
      <c r="T1470" s="432">
        <f t="shared" si="267"/>
        <v>0</v>
      </c>
    </row>
    <row r="1471" spans="1:20" ht="22.2" hidden="1" customHeight="1">
      <c r="A1471" s="379"/>
      <c r="B1471" s="438" t="s">
        <v>1065</v>
      </c>
      <c r="C1471" s="469" t="str">
        <f t="shared" si="270"/>
        <v xml:space="preserve"> </v>
      </c>
      <c r="D1471" s="439">
        <v>0.05</v>
      </c>
      <c r="E1471" s="422" t="str">
        <f>VLOOKUP($B1471,[1]DG!A:C,2,)</f>
        <v>02.1482</v>
      </c>
      <c r="F1471" s="434" t="str">
        <f>VLOOKUP($B1471,[1]DG!A:C,3,)</f>
        <v>V/c dụng cụ thi công vào vị trí (cự ly &lt;=100m)</v>
      </c>
      <c r="G1471" s="422" t="str">
        <f>VLOOKUP($B1471,[1]DG!A:D,4,0)</f>
        <v>tấn</v>
      </c>
      <c r="H1471" s="435"/>
      <c r="I1471" s="435"/>
      <c r="J1471" s="435"/>
      <c r="K1471" s="435"/>
      <c r="L1471" s="435"/>
      <c r="M1471" s="435"/>
      <c r="N1471" s="435"/>
      <c r="O1471" s="435"/>
      <c r="P1471" s="435"/>
      <c r="Q1471" s="437"/>
      <c r="R1471" s="437"/>
      <c r="S1471" s="437"/>
      <c r="T1471" s="432">
        <f t="shared" si="267"/>
        <v>0</v>
      </c>
    </row>
    <row r="1472" spans="1:20" ht="22.2" hidden="1" customHeight="1">
      <c r="A1472" s="483" t="s">
        <v>1088</v>
      </c>
      <c r="B1472" s="424" t="s">
        <v>1088</v>
      </c>
      <c r="C1472" s="469" t="str">
        <f t="shared" si="270"/>
        <v xml:space="preserve"> </v>
      </c>
      <c r="D1472" s="426"/>
      <c r="E1472" s="427"/>
      <c r="F1472" s="428" t="s">
        <v>1089</v>
      </c>
      <c r="G1472" s="349" t="s">
        <v>67</v>
      </c>
      <c r="H1472" s="429">
        <f>SUM(I1472:O1472)</f>
        <v>0</v>
      </c>
      <c r="I1472" s="430"/>
      <c r="J1472" s="430"/>
      <c r="K1472" s="430">
        <f>IFERROR(HLOOKUP(B1472,[1]pp3p1m!$1:$3,3,0),0)</f>
        <v>0</v>
      </c>
      <c r="L1472" s="430">
        <f>IFERROR(HLOOKUP(chitiet!B1472,[1]pp1p!$1:$3,3,0),0)</f>
        <v>0</v>
      </c>
      <c r="M1472" s="430"/>
      <c r="N1472" s="430"/>
      <c r="O1472" s="430"/>
      <c r="P1472" s="430">
        <f>H1472+Q1472-R1472</f>
        <v>0</v>
      </c>
      <c r="Q1472" s="431"/>
      <c r="R1472" s="431"/>
      <c r="S1472" s="431"/>
      <c r="T1472" s="432">
        <f>IFERROR(HLOOKUP(B1472,[1]pp1p!$1:$3,3,0),0)+IFERROR(HLOOKUP(B1472,[1]pp3p1m!$1:$3,3,0),0)</f>
        <v>0</v>
      </c>
    </row>
    <row r="1473" spans="1:20" ht="22.2" hidden="1" customHeight="1">
      <c r="A1473" s="379"/>
      <c r="B1473" s="410" t="s">
        <v>1079</v>
      </c>
      <c r="C1473" s="469" t="str">
        <f t="shared" si="270"/>
        <v xml:space="preserve"> </v>
      </c>
      <c r="D1473" s="440">
        <v>1</v>
      </c>
      <c r="E1473" s="422"/>
      <c r="F1473" s="441" t="str">
        <f>VLOOKUP($B1473,[1]DG!A:D,[1]DG!$C$2,)</f>
        <v>Ty neo Ø22x3700</v>
      </c>
      <c r="G1473" s="422" t="str">
        <f>VLOOKUP($B1473,[1]DG!A:D,[1]DG!$D$2,)</f>
        <v>cái</v>
      </c>
      <c r="H1473" s="435">
        <f t="shared" ref="H1473:N1475" si="271">H$1472*$D1473</f>
        <v>0</v>
      </c>
      <c r="I1473" s="435">
        <f t="shared" si="271"/>
        <v>0</v>
      </c>
      <c r="J1473" s="435">
        <f t="shared" si="271"/>
        <v>0</v>
      </c>
      <c r="K1473" s="435">
        <f t="shared" si="271"/>
        <v>0</v>
      </c>
      <c r="L1473" s="435">
        <f t="shared" si="271"/>
        <v>0</v>
      </c>
      <c r="M1473" s="435">
        <f t="shared" si="271"/>
        <v>0</v>
      </c>
      <c r="N1473" s="435">
        <f t="shared" si="271"/>
        <v>0</v>
      </c>
      <c r="O1473" s="435"/>
      <c r="P1473" s="435"/>
      <c r="Q1473" s="442"/>
      <c r="R1473" s="442"/>
      <c r="S1473" s="442"/>
      <c r="T1473" s="432">
        <f t="shared" si="267"/>
        <v>0</v>
      </c>
    </row>
    <row r="1474" spans="1:20" ht="22.2" hidden="1" customHeight="1">
      <c r="A1474" s="379"/>
      <c r="B1474" s="410" t="s">
        <v>1090</v>
      </c>
      <c r="C1474" s="469" t="str">
        <f t="shared" si="270"/>
        <v xml:space="preserve"> </v>
      </c>
      <c r="D1474" s="440">
        <v>1</v>
      </c>
      <c r="E1474" s="422" t="str">
        <f>VLOOKUP($B1474,[1]DG!A:D,[1]DG!$B$2,)</f>
        <v>04.3802</v>
      </c>
      <c r="F1474" s="441" t="str">
        <f>VLOOKUP($B1474,[1]DG!A:D,[1]DG!$C$2,)</f>
        <v>Đế neo BTCT 600x1500</v>
      </c>
      <c r="G1474" s="422" t="str">
        <f>VLOOKUP($B1474,[1]DG!A:D,[1]DG!$D$2,)</f>
        <v>cái</v>
      </c>
      <c r="H1474" s="435">
        <f t="shared" si="271"/>
        <v>0</v>
      </c>
      <c r="I1474" s="435">
        <f t="shared" si="271"/>
        <v>0</v>
      </c>
      <c r="J1474" s="435">
        <f t="shared" si="271"/>
        <v>0</v>
      </c>
      <c r="K1474" s="435">
        <f t="shared" si="271"/>
        <v>0</v>
      </c>
      <c r="L1474" s="435">
        <f t="shared" si="271"/>
        <v>0</v>
      </c>
      <c r="M1474" s="435">
        <f t="shared" si="271"/>
        <v>0</v>
      </c>
      <c r="N1474" s="435">
        <f t="shared" si="271"/>
        <v>0</v>
      </c>
      <c r="O1474" s="435"/>
      <c r="P1474" s="435"/>
      <c r="Q1474" s="442"/>
      <c r="R1474" s="442"/>
      <c r="S1474" s="442"/>
      <c r="T1474" s="432">
        <f t="shared" si="267"/>
        <v>0</v>
      </c>
    </row>
    <row r="1475" spans="1:20" ht="22.2" hidden="1" customHeight="1">
      <c r="A1475" s="379"/>
      <c r="B1475" s="410" t="s">
        <v>1072</v>
      </c>
      <c r="C1475" s="469" t="str">
        <f t="shared" si="270"/>
        <v xml:space="preserve"> </v>
      </c>
      <c r="D1475" s="439">
        <v>2</v>
      </c>
      <c r="E1475" s="422" t="str">
        <f>VLOOKUP($B1475,[1]DG!A:D,[1]DG!$B$2,)</f>
        <v>04.9001</v>
      </c>
      <c r="F1475" s="441" t="str">
        <f>VLOOKUP($B1475,[1]DG!A:D,[1]DG!$C$2,)</f>
        <v>Bitum</v>
      </c>
      <c r="G1475" s="422" t="str">
        <f>VLOOKUP($B1475,[1]DG!A:D,[1]DG!$D$2,)</f>
        <v>m2</v>
      </c>
      <c r="H1475" s="435">
        <f t="shared" si="271"/>
        <v>0</v>
      </c>
      <c r="I1475" s="435">
        <f t="shared" si="271"/>
        <v>0</v>
      </c>
      <c r="J1475" s="435">
        <f t="shared" si="271"/>
        <v>0</v>
      </c>
      <c r="K1475" s="435">
        <f t="shared" si="271"/>
        <v>0</v>
      </c>
      <c r="L1475" s="435">
        <f t="shared" si="271"/>
        <v>0</v>
      </c>
      <c r="M1475" s="435">
        <f t="shared" si="271"/>
        <v>0</v>
      </c>
      <c r="N1475" s="435">
        <f t="shared" si="271"/>
        <v>0</v>
      </c>
      <c r="O1475" s="435"/>
      <c r="P1475" s="435"/>
      <c r="Q1475" s="442"/>
      <c r="R1475" s="442"/>
      <c r="S1475" s="442"/>
      <c r="T1475" s="432">
        <f t="shared" si="267"/>
        <v>0</v>
      </c>
    </row>
    <row r="1476" spans="1:20" ht="22.2" hidden="1" customHeight="1">
      <c r="A1476" s="379"/>
      <c r="B1476" s="410" t="s">
        <v>75</v>
      </c>
      <c r="C1476" s="469" t="str">
        <f t="shared" si="270"/>
        <v xml:space="preserve"> </v>
      </c>
      <c r="D1476" s="439">
        <v>11.01</v>
      </c>
      <c r="E1476" s="422" t="str">
        <f>VLOOKUP($B1476,[1]DG!A:D,[1]DG!$B$2,)</f>
        <v>03.1013</v>
      </c>
      <c r="F1476" s="434" t="str">
        <f>VLOOKUP($B1476,[1]DG!A:D,[1]DG!$C$2,)</f>
        <v>Đào hố móng đất cấp 3 sâu &gt;1m</v>
      </c>
      <c r="G1476" s="422" t="str">
        <f>VLOOKUP($B1476,[1]DG!A:D,[1]DG!$D$2,)</f>
        <v>m3</v>
      </c>
      <c r="H1476" s="435"/>
      <c r="I1476" s="435"/>
      <c r="J1476" s="435"/>
      <c r="K1476" s="435"/>
      <c r="L1476" s="435"/>
      <c r="M1476" s="435"/>
      <c r="N1476" s="435"/>
      <c r="O1476" s="435"/>
      <c r="P1476" s="435"/>
      <c r="Q1476" s="442"/>
      <c r="R1476" s="442"/>
      <c r="S1476" s="442"/>
      <c r="T1476" s="432">
        <f t="shared" si="267"/>
        <v>0</v>
      </c>
    </row>
    <row r="1477" spans="1:20" ht="22.2" hidden="1" customHeight="1">
      <c r="A1477" s="379"/>
      <c r="B1477" s="410" t="s">
        <v>76</v>
      </c>
      <c r="C1477" s="469" t="str">
        <f t="shared" si="270"/>
        <v xml:space="preserve"> </v>
      </c>
      <c r="D1477" s="439">
        <v>12.48</v>
      </c>
      <c r="E1477" s="422" t="str">
        <f>VLOOKUP($B1477,[1]DG!A:D,[1]DG!$B$2,)</f>
        <v>03.4113</v>
      </c>
      <c r="F1477" s="434" t="str">
        <f>VLOOKUP($B1477,[1]DG!A:D,[1]DG!$C$2,)</f>
        <v>Đắp đất hố móng, độ chặt k=0,95</v>
      </c>
      <c r="G1477" s="422" t="str">
        <f>VLOOKUP($B1477,[1]DG!A:D,[1]DG!$D$2,)</f>
        <v>m3</v>
      </c>
      <c r="H1477" s="435"/>
      <c r="I1477" s="435"/>
      <c r="J1477" s="435"/>
      <c r="K1477" s="435"/>
      <c r="L1477" s="435"/>
      <c r="M1477" s="435"/>
      <c r="N1477" s="435"/>
      <c r="O1477" s="435"/>
      <c r="P1477" s="435"/>
      <c r="Q1477" s="442"/>
      <c r="R1477" s="442"/>
      <c r="S1477" s="442"/>
      <c r="T1477" s="432">
        <f t="shared" si="267"/>
        <v>0</v>
      </c>
    </row>
    <row r="1478" spans="1:20" ht="22.2" hidden="1" customHeight="1">
      <c r="A1478" s="379"/>
      <c r="B1478" s="410" t="s">
        <v>624</v>
      </c>
      <c r="C1478" s="469" t="str">
        <f t="shared" si="270"/>
        <v xml:space="preserve"> </v>
      </c>
      <c r="D1478" s="439">
        <f>D1479</f>
        <v>0.28899999999999998</v>
      </c>
      <c r="E1478" s="422" t="str">
        <f>VLOOKUP($B1478,[1]DG!A:D,[1]DG!$B$2,)</f>
        <v>02.1123</v>
      </c>
      <c r="F1478" s="434" t="str">
        <f>VLOOKUP($B1478,[1]DG!A:D,[1]DG!$C$2,)</f>
        <v>Bốc dỡ đà cản, đế néo</v>
      </c>
      <c r="G1478" s="422" t="str">
        <f>VLOOKUP($B1478,[1]DG!A:D,[1]DG!$D$2,)</f>
        <v>tấn</v>
      </c>
      <c r="H1478" s="435"/>
      <c r="I1478" s="435"/>
      <c r="J1478" s="435"/>
      <c r="K1478" s="435"/>
      <c r="L1478" s="435"/>
      <c r="M1478" s="435"/>
      <c r="N1478" s="435"/>
      <c r="O1478" s="435"/>
      <c r="P1478" s="435"/>
      <c r="Q1478" s="442"/>
      <c r="R1478" s="442"/>
      <c r="S1478" s="442"/>
      <c r="T1478" s="432">
        <f t="shared" si="267"/>
        <v>0</v>
      </c>
    </row>
    <row r="1479" spans="1:20" ht="22.2" hidden="1" customHeight="1">
      <c r="A1479" s="379"/>
      <c r="B1479" s="438" t="s">
        <v>1073</v>
      </c>
      <c r="C1479" s="469" t="str">
        <f t="shared" si="270"/>
        <v xml:space="preserve"> </v>
      </c>
      <c r="D1479" s="439">
        <v>0.28899999999999998</v>
      </c>
      <c r="E1479" s="422" t="str">
        <f>VLOOKUP($B1479,[1]DG!A:C,2,)</f>
        <v>02.1451</v>
      </c>
      <c r="F1479" s="434" t="str">
        <f>VLOOKUP($B1479,[1]DG!A:C,3,)</f>
        <v>V/c đế néo vào vị trí (cự ly &lt;=100m)</v>
      </c>
      <c r="G1479" s="422" t="str">
        <f>VLOOKUP($B1479,[1]DG!A:D,4,0)</f>
        <v>tấn</v>
      </c>
      <c r="H1479" s="435"/>
      <c r="I1479" s="435"/>
      <c r="J1479" s="435"/>
      <c r="K1479" s="435"/>
      <c r="L1479" s="435"/>
      <c r="M1479" s="435"/>
      <c r="N1479" s="435"/>
      <c r="O1479" s="435"/>
      <c r="P1479" s="435"/>
      <c r="Q1479" s="437"/>
      <c r="R1479" s="437"/>
      <c r="S1479" s="437"/>
      <c r="T1479" s="432">
        <f t="shared" si="267"/>
        <v>0</v>
      </c>
    </row>
    <row r="1480" spans="1:20" ht="22.2" hidden="1" customHeight="1">
      <c r="A1480" s="379"/>
      <c r="B1480" s="438" t="s">
        <v>1065</v>
      </c>
      <c r="C1480" s="469" t="str">
        <f t="shared" si="270"/>
        <v xml:space="preserve"> </v>
      </c>
      <c r="D1480" s="439">
        <v>0.05</v>
      </c>
      <c r="E1480" s="422" t="str">
        <f>VLOOKUP($B1480,[1]DG!A:C,2,)</f>
        <v>02.1482</v>
      </c>
      <c r="F1480" s="434" t="str">
        <f>VLOOKUP($B1480,[1]DG!A:C,3,)</f>
        <v>V/c dụng cụ thi công vào vị trí (cự ly &lt;=100m)</v>
      </c>
      <c r="G1480" s="422" t="str">
        <f>VLOOKUP($B1480,[1]DG!A:D,4,0)</f>
        <v>tấn</v>
      </c>
      <c r="H1480" s="435"/>
      <c r="I1480" s="435"/>
      <c r="J1480" s="435"/>
      <c r="K1480" s="435"/>
      <c r="L1480" s="435"/>
      <c r="M1480" s="435"/>
      <c r="N1480" s="435"/>
      <c r="O1480" s="435"/>
      <c r="P1480" s="435"/>
      <c r="Q1480" s="437"/>
      <c r="R1480" s="437"/>
      <c r="S1480" s="437"/>
      <c r="T1480" s="432">
        <f t="shared" si="267"/>
        <v>0</v>
      </c>
    </row>
    <row r="1481" spans="1:20" ht="22.2" hidden="1" customHeight="1">
      <c r="A1481" s="483" t="s">
        <v>1091</v>
      </c>
      <c r="B1481" s="424" t="s">
        <v>1091</v>
      </c>
      <c r="C1481" s="469" t="str">
        <f t="shared" si="270"/>
        <v xml:space="preserve"> </v>
      </c>
      <c r="D1481" s="426"/>
      <c r="E1481" s="427"/>
      <c r="F1481" s="428" t="s">
        <v>1092</v>
      </c>
      <c r="G1481" s="349" t="s">
        <v>67</v>
      </c>
      <c r="H1481" s="429">
        <f>SUM(I1481:O1481)</f>
        <v>0</v>
      </c>
      <c r="I1481" s="430"/>
      <c r="J1481" s="430"/>
      <c r="K1481" s="430">
        <f>IFERROR(HLOOKUP(B1481,[1]pp3p1m!$1:$3,3,0),0)</f>
        <v>0</v>
      </c>
      <c r="L1481" s="430">
        <f>IFERROR(HLOOKUP(chitiet!B1481,[1]pp1p!$1:$3,3,0),0)</f>
        <v>0</v>
      </c>
      <c r="M1481" s="430"/>
      <c r="N1481" s="430"/>
      <c r="O1481" s="430"/>
      <c r="P1481" s="430">
        <f>H1481+Q1481-R1481</f>
        <v>0</v>
      </c>
      <c r="Q1481" s="431"/>
      <c r="R1481" s="431"/>
      <c r="S1481" s="431"/>
      <c r="T1481" s="432">
        <f>IFERROR(HLOOKUP(B1481,[1]pp1p!$1:$3,3,0),0)+IFERROR(HLOOKUP(B1481,[1]pp3p1m!$1:$3,3,0),0)</f>
        <v>0</v>
      </c>
    </row>
    <row r="1482" spans="1:20" ht="22.2" hidden="1" customHeight="1">
      <c r="A1482" s="379"/>
      <c r="B1482" s="410" t="s">
        <v>1070</v>
      </c>
      <c r="C1482" s="469" t="str">
        <f t="shared" si="270"/>
        <v xml:space="preserve"> </v>
      </c>
      <c r="D1482" s="440">
        <v>1</v>
      </c>
      <c r="E1482" s="422"/>
      <c r="F1482" s="441" t="str">
        <f>VLOOKUP($B1482,[1]DG!A:D,[1]DG!$C$2,)</f>
        <v>Ty neo Ø22x3000</v>
      </c>
      <c r="G1482" s="422" t="str">
        <f>VLOOKUP($B1482,[1]DG!A:D,[1]DG!$D$2,)</f>
        <v>cái</v>
      </c>
      <c r="H1482" s="435">
        <f t="shared" ref="H1482:N1484" si="272">H$1481*$D1482</f>
        <v>0</v>
      </c>
      <c r="I1482" s="435">
        <f t="shared" si="272"/>
        <v>0</v>
      </c>
      <c r="J1482" s="435">
        <f t="shared" si="272"/>
        <v>0</v>
      </c>
      <c r="K1482" s="435">
        <f t="shared" si="272"/>
        <v>0</v>
      </c>
      <c r="L1482" s="435">
        <f t="shared" si="272"/>
        <v>0</v>
      </c>
      <c r="M1482" s="435">
        <f t="shared" si="272"/>
        <v>0</v>
      </c>
      <c r="N1482" s="435">
        <f t="shared" si="272"/>
        <v>0</v>
      </c>
      <c r="O1482" s="435"/>
      <c r="P1482" s="435"/>
      <c r="Q1482" s="442"/>
      <c r="R1482" s="442"/>
      <c r="S1482" s="442"/>
      <c r="T1482" s="432">
        <f t="shared" si="267"/>
        <v>0</v>
      </c>
    </row>
    <row r="1483" spans="1:20" ht="22.2" hidden="1" customHeight="1">
      <c r="A1483" s="379"/>
      <c r="B1483" s="410" t="s">
        <v>1090</v>
      </c>
      <c r="C1483" s="469" t="str">
        <f t="shared" si="270"/>
        <v xml:space="preserve"> </v>
      </c>
      <c r="D1483" s="440">
        <v>1</v>
      </c>
      <c r="E1483" s="422" t="str">
        <f>VLOOKUP($B1483,[1]DG!A:D,[1]DG!$B$2,)</f>
        <v>04.3802</v>
      </c>
      <c r="F1483" s="441" t="str">
        <f>VLOOKUP($B1483,[1]DG!A:D,[1]DG!$C$2,)</f>
        <v>Đế neo BTCT 600x1500</v>
      </c>
      <c r="G1483" s="422" t="str">
        <f>VLOOKUP($B1483,[1]DG!A:D,[1]DG!$D$2,)</f>
        <v>cái</v>
      </c>
      <c r="H1483" s="435">
        <f t="shared" si="272"/>
        <v>0</v>
      </c>
      <c r="I1483" s="435">
        <f t="shared" si="272"/>
        <v>0</v>
      </c>
      <c r="J1483" s="435">
        <f t="shared" si="272"/>
        <v>0</v>
      </c>
      <c r="K1483" s="435">
        <f t="shared" si="272"/>
        <v>0</v>
      </c>
      <c r="L1483" s="435">
        <f t="shared" si="272"/>
        <v>0</v>
      </c>
      <c r="M1483" s="435">
        <f t="shared" si="272"/>
        <v>0</v>
      </c>
      <c r="N1483" s="435">
        <f t="shared" si="272"/>
        <v>0</v>
      </c>
      <c r="O1483" s="435"/>
      <c r="P1483" s="435"/>
      <c r="Q1483" s="442"/>
      <c r="R1483" s="442"/>
      <c r="S1483" s="442"/>
      <c r="T1483" s="432">
        <f t="shared" si="267"/>
        <v>0</v>
      </c>
    </row>
    <row r="1484" spans="1:20" ht="22.2" hidden="1" customHeight="1">
      <c r="A1484" s="379"/>
      <c r="B1484" s="410" t="s">
        <v>1072</v>
      </c>
      <c r="C1484" s="469" t="str">
        <f t="shared" si="270"/>
        <v xml:space="preserve"> </v>
      </c>
      <c r="D1484" s="439">
        <v>2</v>
      </c>
      <c r="E1484" s="422" t="str">
        <f>VLOOKUP($B1484,[1]DG!A:D,[1]DG!$B$2,)</f>
        <v>04.9001</v>
      </c>
      <c r="F1484" s="441" t="str">
        <f>VLOOKUP($B1484,[1]DG!A:D,[1]DG!$C$2,)</f>
        <v>Bitum</v>
      </c>
      <c r="G1484" s="422" t="str">
        <f>VLOOKUP($B1484,[1]DG!A:D,[1]DG!$D$2,)</f>
        <v>m2</v>
      </c>
      <c r="H1484" s="435">
        <f t="shared" si="272"/>
        <v>0</v>
      </c>
      <c r="I1484" s="435">
        <f t="shared" si="272"/>
        <v>0</v>
      </c>
      <c r="J1484" s="435">
        <f t="shared" si="272"/>
        <v>0</v>
      </c>
      <c r="K1484" s="435">
        <f t="shared" si="272"/>
        <v>0</v>
      </c>
      <c r="L1484" s="435">
        <f t="shared" si="272"/>
        <v>0</v>
      </c>
      <c r="M1484" s="435">
        <f t="shared" si="272"/>
        <v>0</v>
      </c>
      <c r="N1484" s="435">
        <f t="shared" si="272"/>
        <v>0</v>
      </c>
      <c r="O1484" s="435"/>
      <c r="P1484" s="435"/>
      <c r="Q1484" s="442"/>
      <c r="R1484" s="442"/>
      <c r="S1484" s="442"/>
      <c r="T1484" s="432">
        <f t="shared" si="267"/>
        <v>0</v>
      </c>
    </row>
    <row r="1485" spans="1:20" ht="22.2" hidden="1" customHeight="1">
      <c r="A1485" s="379"/>
      <c r="B1485" s="410" t="s">
        <v>75</v>
      </c>
      <c r="C1485" s="469" t="str">
        <f t="shared" si="270"/>
        <v xml:space="preserve"> </v>
      </c>
      <c r="D1485" s="439">
        <v>10.56</v>
      </c>
      <c r="E1485" s="422" t="str">
        <f>VLOOKUP($B1485,[1]DG!A:D,[1]DG!$B$2,)</f>
        <v>03.1013</v>
      </c>
      <c r="F1485" s="434" t="str">
        <f>VLOOKUP($B1485,[1]DG!A:D,[1]DG!$C$2,)</f>
        <v>Đào hố móng đất cấp 3 sâu &gt;1m</v>
      </c>
      <c r="G1485" s="422" t="str">
        <f>VLOOKUP($B1485,[1]DG!A:D,[1]DG!$D$2,)</f>
        <v>m3</v>
      </c>
      <c r="H1485" s="435"/>
      <c r="I1485" s="435"/>
      <c r="J1485" s="435"/>
      <c r="K1485" s="435"/>
      <c r="L1485" s="435"/>
      <c r="M1485" s="435"/>
      <c r="N1485" s="435"/>
      <c r="O1485" s="435"/>
      <c r="P1485" s="435"/>
      <c r="Q1485" s="442"/>
      <c r="R1485" s="442"/>
      <c r="S1485" s="442"/>
      <c r="T1485" s="432">
        <f t="shared" si="267"/>
        <v>0</v>
      </c>
    </row>
    <row r="1486" spans="1:20" ht="22.2" hidden="1" customHeight="1">
      <c r="A1486" s="379"/>
      <c r="B1486" s="410" t="s">
        <v>76</v>
      </c>
      <c r="C1486" s="469" t="str">
        <f t="shared" si="270"/>
        <v xml:space="preserve"> </v>
      </c>
      <c r="D1486" s="439">
        <v>11.78</v>
      </c>
      <c r="E1486" s="422" t="str">
        <f>VLOOKUP($B1486,[1]DG!A:D,[1]DG!$B$2,)</f>
        <v>03.4113</v>
      </c>
      <c r="F1486" s="434" t="str">
        <f>VLOOKUP($B1486,[1]DG!A:D,[1]DG!$C$2,)</f>
        <v>Đắp đất hố móng, độ chặt k=0,95</v>
      </c>
      <c r="G1486" s="422" t="str">
        <f>VLOOKUP($B1486,[1]DG!A:D,[1]DG!$D$2,)</f>
        <v>m3</v>
      </c>
      <c r="H1486" s="435"/>
      <c r="I1486" s="435"/>
      <c r="J1486" s="435"/>
      <c r="K1486" s="435"/>
      <c r="L1486" s="435"/>
      <c r="M1486" s="435"/>
      <c r="N1486" s="435"/>
      <c r="O1486" s="435"/>
      <c r="P1486" s="435"/>
      <c r="Q1486" s="442"/>
      <c r="R1486" s="442"/>
      <c r="S1486" s="442"/>
      <c r="T1486" s="432">
        <f t="shared" si="267"/>
        <v>0</v>
      </c>
    </row>
    <row r="1487" spans="1:20" ht="22.2" hidden="1" customHeight="1">
      <c r="A1487" s="379"/>
      <c r="B1487" s="410" t="s">
        <v>624</v>
      </c>
      <c r="C1487" s="469" t="str">
        <f t="shared" si="270"/>
        <v xml:space="preserve"> </v>
      </c>
      <c r="D1487" s="439">
        <f>D1488</f>
        <v>0.28899999999999998</v>
      </c>
      <c r="E1487" s="422" t="str">
        <f>VLOOKUP($B1487,[1]DG!A:D,[1]DG!$B$2,)</f>
        <v>02.1123</v>
      </c>
      <c r="F1487" s="434" t="str">
        <f>VLOOKUP($B1487,[1]DG!A:D,[1]DG!$C$2,)</f>
        <v>Bốc dỡ đà cản, đế néo</v>
      </c>
      <c r="G1487" s="422" t="str">
        <f>VLOOKUP($B1487,[1]DG!A:D,[1]DG!$D$2,)</f>
        <v>tấn</v>
      </c>
      <c r="H1487" s="435"/>
      <c r="I1487" s="435"/>
      <c r="J1487" s="435"/>
      <c r="K1487" s="435"/>
      <c r="L1487" s="435"/>
      <c r="M1487" s="435"/>
      <c r="N1487" s="435"/>
      <c r="O1487" s="435"/>
      <c r="P1487" s="435"/>
      <c r="Q1487" s="442"/>
      <c r="R1487" s="442"/>
      <c r="S1487" s="442"/>
      <c r="T1487" s="432">
        <f t="shared" si="267"/>
        <v>0</v>
      </c>
    </row>
    <row r="1488" spans="1:20" ht="22.2" hidden="1" customHeight="1">
      <c r="A1488" s="379"/>
      <c r="B1488" s="438" t="s">
        <v>1073</v>
      </c>
      <c r="C1488" s="469" t="str">
        <f t="shared" si="270"/>
        <v xml:space="preserve"> </v>
      </c>
      <c r="D1488" s="439">
        <v>0.28899999999999998</v>
      </c>
      <c r="E1488" s="422" t="str">
        <f>VLOOKUP($B1488,[1]DG!A:C,2,)</f>
        <v>02.1451</v>
      </c>
      <c r="F1488" s="434" t="str">
        <f>VLOOKUP($B1488,[1]DG!A:C,3,)</f>
        <v>V/c đế néo vào vị trí (cự ly &lt;=100m)</v>
      </c>
      <c r="G1488" s="422" t="str">
        <f>VLOOKUP($B1488,[1]DG!A:D,4,0)</f>
        <v>tấn</v>
      </c>
      <c r="H1488" s="435"/>
      <c r="I1488" s="435"/>
      <c r="J1488" s="435"/>
      <c r="K1488" s="435"/>
      <c r="L1488" s="435"/>
      <c r="M1488" s="435"/>
      <c r="N1488" s="435"/>
      <c r="O1488" s="435"/>
      <c r="P1488" s="435"/>
      <c r="Q1488" s="437"/>
      <c r="R1488" s="437"/>
      <c r="S1488" s="437"/>
      <c r="T1488" s="432">
        <f t="shared" si="267"/>
        <v>0</v>
      </c>
    </row>
    <row r="1489" spans="1:20" ht="22.2" hidden="1" customHeight="1">
      <c r="A1489" s="379"/>
      <c r="B1489" s="438" t="s">
        <v>1065</v>
      </c>
      <c r="C1489" s="469" t="str">
        <f t="shared" si="270"/>
        <v xml:space="preserve"> </v>
      </c>
      <c r="D1489" s="439">
        <v>0.05</v>
      </c>
      <c r="E1489" s="422" t="str">
        <f>VLOOKUP($B1489,[1]DG!A:C,2,)</f>
        <v>02.1482</v>
      </c>
      <c r="F1489" s="434" t="str">
        <f>VLOOKUP($B1489,[1]DG!A:C,3,)</f>
        <v>V/c dụng cụ thi công vào vị trí (cự ly &lt;=100m)</v>
      </c>
      <c r="G1489" s="422" t="str">
        <f>VLOOKUP($B1489,[1]DG!A:D,4,0)</f>
        <v>tấn</v>
      </c>
      <c r="H1489" s="435"/>
      <c r="I1489" s="435"/>
      <c r="J1489" s="435"/>
      <c r="K1489" s="435"/>
      <c r="L1489" s="435"/>
      <c r="M1489" s="435"/>
      <c r="N1489" s="435"/>
      <c r="O1489" s="435"/>
      <c r="P1489" s="435"/>
      <c r="Q1489" s="437"/>
      <c r="R1489" s="437"/>
      <c r="S1489" s="437"/>
      <c r="T1489" s="432">
        <f t="shared" si="267"/>
        <v>0</v>
      </c>
    </row>
    <row r="1490" spans="1:20" ht="22.2" customHeight="1">
      <c r="A1490" s="451"/>
      <c r="B1490" s="424">
        <v>0</v>
      </c>
      <c r="C1490" s="465" t="s">
        <v>615</v>
      </c>
      <c r="D1490" s="466">
        <f>SUM(H1490:N1490)+S1490</f>
        <v>0</v>
      </c>
      <c r="E1490" s="349" t="s">
        <v>1093</v>
      </c>
      <c r="F1490" s="349" t="s">
        <v>1094</v>
      </c>
      <c r="G1490" s="427"/>
      <c r="H1490" s="429">
        <f t="shared" ref="H1490:H1491" si="273">SUM(I1490:O1490)</f>
        <v>0</v>
      </c>
      <c r="I1490" s="427"/>
      <c r="J1490" s="427"/>
      <c r="K1490" s="427"/>
      <c r="L1490" s="430">
        <f>IFERROR(HLOOKUP(chitiet!B1490,[1]pp1p!$1:$3,3,0),0)</f>
        <v>0</v>
      </c>
      <c r="M1490" s="427"/>
      <c r="N1490" s="427"/>
      <c r="O1490" s="427"/>
      <c r="P1490" s="429">
        <f>H1490+Q1490-R1490</f>
        <v>0</v>
      </c>
      <c r="Q1490" s="427"/>
      <c r="R1490" s="427"/>
      <c r="S1490" s="427"/>
      <c r="T1490" s="432">
        <f t="shared" si="267"/>
        <v>0</v>
      </c>
    </row>
    <row r="1491" spans="1:20" ht="22.2" hidden="1" customHeight="1">
      <c r="A1491" s="423" t="s">
        <v>1095</v>
      </c>
      <c r="B1491" s="424" t="s">
        <v>1095</v>
      </c>
      <c r="C1491" s="469" t="str">
        <f>IF(D1491&lt;&gt;0,"x"," ")</f>
        <v xml:space="preserve"> </v>
      </c>
      <c r="D1491" s="426">
        <f>IF(SUM(D1492:D1510)&lt;&gt;0,1,0)</f>
        <v>0</v>
      </c>
      <c r="E1491" s="349" t="s">
        <v>1096</v>
      </c>
      <c r="F1491" s="428" t="s">
        <v>1097</v>
      </c>
      <c r="G1491" s="349" t="s">
        <v>1098</v>
      </c>
      <c r="H1491" s="429">
        <f t="shared" si="273"/>
        <v>0</v>
      </c>
      <c r="I1491" s="430"/>
      <c r="J1491" s="430"/>
      <c r="K1491" s="430"/>
      <c r="L1491" s="430">
        <f>IFERROR(HLOOKUP(chitiet!B1491,[1]pp1p!$1:$3,3,0),0)</f>
        <v>0</v>
      </c>
      <c r="M1491" s="430"/>
      <c r="N1491" s="430"/>
      <c r="O1491" s="430"/>
      <c r="P1491" s="430">
        <f>H1491+Q1491-R1491</f>
        <v>0</v>
      </c>
      <c r="Q1491" s="431"/>
      <c r="R1491" s="431"/>
      <c r="S1491" s="431"/>
      <c r="T1491" s="432">
        <f t="shared" si="267"/>
        <v>0</v>
      </c>
    </row>
    <row r="1492" spans="1:20" ht="22.2" hidden="1" customHeight="1">
      <c r="A1492" s="379"/>
      <c r="B1492" s="410" t="s">
        <v>1099</v>
      </c>
      <c r="C1492" s="469" t="str">
        <f t="shared" si="270"/>
        <v xml:space="preserve"> </v>
      </c>
      <c r="D1492" s="439">
        <f>ROUND(E1492*1.02*0.952,2)</f>
        <v>0</v>
      </c>
      <c r="E1492" s="484">
        <f>[1]pp_NC!D186</f>
        <v>0</v>
      </c>
      <c r="F1492" s="441" t="str">
        <f>VLOOKUP($B1492,[1]DG!A:D,[1]DG!$C$2,)</f>
        <v>Cáp nhôm lõi thép AC-240/39</v>
      </c>
      <c r="G1492" s="422" t="str">
        <f>VLOOKUP($B1492,[1]DG!A:D,[1]DG!$D$2,)</f>
        <v>kg</v>
      </c>
      <c r="H1492" s="435">
        <f t="shared" ref="H1492:H1555" si="274">$D1492</f>
        <v>0</v>
      </c>
      <c r="I1492" s="435"/>
      <c r="J1492" s="435">
        <f t="shared" ref="J1492:J1555" si="275">D1492</f>
        <v>0</v>
      </c>
      <c r="K1492" s="435"/>
      <c r="L1492" s="435"/>
      <c r="M1492" s="435"/>
      <c r="N1492" s="435"/>
      <c r="O1492" s="435"/>
      <c r="P1492" s="435">
        <f>H1492+Q1492-R1492</f>
        <v>0</v>
      </c>
      <c r="Q1492" s="442"/>
      <c r="R1492" s="442"/>
      <c r="S1492" s="442"/>
      <c r="T1492" s="432">
        <f t="shared" si="267"/>
        <v>0</v>
      </c>
    </row>
    <row r="1493" spans="1:20" ht="22.2" hidden="1" customHeight="1">
      <c r="A1493" s="379"/>
      <c r="B1493" s="410" t="s">
        <v>1100</v>
      </c>
      <c r="C1493" s="469" t="str">
        <f t="shared" si="270"/>
        <v xml:space="preserve"> </v>
      </c>
      <c r="D1493" s="439">
        <f>ROUND(E1493*1.02*0.727,2)</f>
        <v>0</v>
      </c>
      <c r="E1493" s="484">
        <f>[1]pp_NC!D187</f>
        <v>0</v>
      </c>
      <c r="F1493" s="441" t="str">
        <f>VLOOKUP($B1493,[1]DG!A:D,[1]DG!$C$2,)</f>
        <v>Cáp nhôm lõi thép AC-185/29</v>
      </c>
      <c r="G1493" s="422" t="str">
        <f>VLOOKUP($B1493,[1]DG!A:D,[1]DG!$D$2,)</f>
        <v>kg</v>
      </c>
      <c r="H1493" s="435">
        <f t="shared" si="274"/>
        <v>0</v>
      </c>
      <c r="I1493" s="435"/>
      <c r="J1493" s="435">
        <f t="shared" si="275"/>
        <v>0</v>
      </c>
      <c r="K1493" s="435"/>
      <c r="L1493" s="435"/>
      <c r="M1493" s="435"/>
      <c r="N1493" s="435"/>
      <c r="O1493" s="435"/>
      <c r="P1493" s="435">
        <f t="shared" ref="P1493:P1556" si="276">H1493+Q1493-R1493</f>
        <v>0</v>
      </c>
      <c r="Q1493" s="442"/>
      <c r="R1493" s="442"/>
      <c r="S1493" s="442"/>
      <c r="T1493" s="432">
        <f t="shared" si="267"/>
        <v>0</v>
      </c>
    </row>
    <row r="1494" spans="1:20" ht="22.2" hidden="1" customHeight="1">
      <c r="A1494" s="379"/>
      <c r="B1494" s="410" t="s">
        <v>1101</v>
      </c>
      <c r="C1494" s="469" t="str">
        <f t="shared" si="270"/>
        <v xml:space="preserve"> </v>
      </c>
      <c r="D1494" s="439">
        <f>ROUND(E1494*1.02*0.6,2)</f>
        <v>0</v>
      </c>
      <c r="E1494" s="484">
        <f>[1]pp_NC!D188</f>
        <v>0</v>
      </c>
      <c r="F1494" s="441" t="str">
        <f>VLOOKUP($B1494,[1]DG!A:D,[1]DG!$C$2,)</f>
        <v>Cáp nhôm lõi thép AC-150/24</v>
      </c>
      <c r="G1494" s="422" t="str">
        <f>VLOOKUP($B1494,[1]DG!A:D,[1]DG!$D$2,)</f>
        <v>kg</v>
      </c>
      <c r="H1494" s="435">
        <f t="shared" si="274"/>
        <v>0</v>
      </c>
      <c r="I1494" s="435"/>
      <c r="J1494" s="435">
        <f t="shared" si="275"/>
        <v>0</v>
      </c>
      <c r="K1494" s="435"/>
      <c r="L1494" s="435"/>
      <c r="M1494" s="435"/>
      <c r="N1494" s="435"/>
      <c r="O1494" s="435"/>
      <c r="P1494" s="435">
        <f t="shared" si="276"/>
        <v>0</v>
      </c>
      <c r="Q1494" s="442"/>
      <c r="R1494" s="442"/>
      <c r="S1494" s="442"/>
      <c r="T1494" s="432">
        <f t="shared" si="267"/>
        <v>0</v>
      </c>
    </row>
    <row r="1495" spans="1:20" ht="22.2" hidden="1" customHeight="1">
      <c r="A1495" s="379"/>
      <c r="B1495" s="410" t="s">
        <v>1102</v>
      </c>
      <c r="C1495" s="469" t="str">
        <f t="shared" si="270"/>
        <v xml:space="preserve"> </v>
      </c>
      <c r="D1495" s="439">
        <f>ROUND(E1495*1.02*0.471,2)</f>
        <v>0</v>
      </c>
      <c r="E1495" s="484"/>
      <c r="F1495" s="441" t="str">
        <f>VLOOKUP($B1495,[1]DG!A:D,[1]DG!$C$2,)</f>
        <v>Cáp nhôm lõi thép AC-120/19</v>
      </c>
      <c r="G1495" s="422" t="str">
        <f>VLOOKUP($B1495,[1]DG!A:D,[1]DG!$D$2,)</f>
        <v>kg</v>
      </c>
      <c r="H1495" s="435">
        <f t="shared" si="274"/>
        <v>0</v>
      </c>
      <c r="I1495" s="435"/>
      <c r="J1495" s="435">
        <f t="shared" si="275"/>
        <v>0</v>
      </c>
      <c r="K1495" s="435"/>
      <c r="L1495" s="435"/>
      <c r="M1495" s="435"/>
      <c r="N1495" s="435"/>
      <c r="O1495" s="435"/>
      <c r="P1495" s="435">
        <f t="shared" si="276"/>
        <v>0</v>
      </c>
      <c r="Q1495" s="442"/>
      <c r="R1495" s="442"/>
      <c r="S1495" s="442"/>
      <c r="T1495" s="432">
        <f t="shared" si="267"/>
        <v>0</v>
      </c>
    </row>
    <row r="1496" spans="1:20" ht="22.2" hidden="1" customHeight="1">
      <c r="A1496" s="379"/>
      <c r="B1496" s="410" t="s">
        <v>1103</v>
      </c>
      <c r="C1496" s="469" t="str">
        <f t="shared" si="270"/>
        <v xml:space="preserve"> </v>
      </c>
      <c r="D1496" s="439">
        <f>ROUND(E1496*1.02*0.384,2)</f>
        <v>0</v>
      </c>
      <c r="E1496" s="484">
        <f>[1]pp_NC!D190</f>
        <v>0</v>
      </c>
      <c r="F1496" s="441" t="str">
        <f>VLOOKUP($B1496,[1]DG!A:D,[1]DG!$C$2,)</f>
        <v>Cáp nhôm lõi thép AC-95/16</v>
      </c>
      <c r="G1496" s="422" t="str">
        <f>VLOOKUP($B1496,[1]DG!A:D,[1]DG!$D$2,)</f>
        <v>kg</v>
      </c>
      <c r="H1496" s="435">
        <f t="shared" si="274"/>
        <v>0</v>
      </c>
      <c r="I1496" s="435"/>
      <c r="J1496" s="435">
        <f t="shared" si="275"/>
        <v>0</v>
      </c>
      <c r="K1496" s="435"/>
      <c r="L1496" s="435"/>
      <c r="M1496" s="435"/>
      <c r="N1496" s="435"/>
      <c r="O1496" s="435"/>
      <c r="P1496" s="435">
        <f t="shared" si="276"/>
        <v>0</v>
      </c>
      <c r="Q1496" s="442"/>
      <c r="R1496" s="442"/>
      <c r="S1496" s="442"/>
      <c r="T1496" s="432">
        <f t="shared" si="267"/>
        <v>0</v>
      </c>
    </row>
    <row r="1497" spans="1:20" ht="22.2" hidden="1" customHeight="1">
      <c r="A1497" s="379"/>
      <c r="B1497" s="410" t="s">
        <v>1104</v>
      </c>
      <c r="C1497" s="469" t="str">
        <f t="shared" si="270"/>
        <v xml:space="preserve"> </v>
      </c>
      <c r="D1497" s="439">
        <f>ROUND(E1497*1.02*0.274,2)</f>
        <v>0</v>
      </c>
      <c r="E1497" s="484">
        <f>[1]pp_NC!D191</f>
        <v>0</v>
      </c>
      <c r="F1497" s="441" t="str">
        <f>VLOOKUP($B1497,[1]DG!A:D,[1]DG!$C$2,)</f>
        <v>Cáp nhôm lõi thép AC-70/11</v>
      </c>
      <c r="G1497" s="422" t="str">
        <f>VLOOKUP($B1497,[1]DG!A:D,[1]DG!$D$2,)</f>
        <v>kg</v>
      </c>
      <c r="H1497" s="435">
        <f t="shared" si="274"/>
        <v>0</v>
      </c>
      <c r="I1497" s="435"/>
      <c r="J1497" s="435">
        <f t="shared" si="275"/>
        <v>0</v>
      </c>
      <c r="K1497" s="435"/>
      <c r="L1497" s="435"/>
      <c r="M1497" s="435"/>
      <c r="N1497" s="435"/>
      <c r="O1497" s="435"/>
      <c r="P1497" s="435">
        <f t="shared" si="276"/>
        <v>0</v>
      </c>
      <c r="Q1497" s="442"/>
      <c r="R1497" s="442"/>
      <c r="S1497" s="442"/>
      <c r="T1497" s="432">
        <f t="shared" si="267"/>
        <v>0</v>
      </c>
    </row>
    <row r="1498" spans="1:20" ht="22.2" hidden="1" customHeight="1">
      <c r="A1498" s="379"/>
      <c r="B1498" s="410" t="s">
        <v>1105</v>
      </c>
      <c r="C1498" s="469" t="str">
        <f t="shared" si="270"/>
        <v xml:space="preserve"> </v>
      </c>
      <c r="D1498" s="439">
        <f>ROUND(E1498*1.02*0.195,2)</f>
        <v>0</v>
      </c>
      <c r="E1498" s="484"/>
      <c r="F1498" s="441" t="str">
        <f>VLOOKUP($B1498,[1]DG!A:D,[1]DG!$C$2,)</f>
        <v>Cáp nhôm lõi thép AC-50/8</v>
      </c>
      <c r="G1498" s="422" t="str">
        <f>VLOOKUP($B1498,[1]DG!A:D,[1]DG!$D$2,)</f>
        <v>kg</v>
      </c>
      <c r="H1498" s="435">
        <f t="shared" si="274"/>
        <v>0</v>
      </c>
      <c r="I1498" s="435"/>
      <c r="J1498" s="435">
        <f t="shared" si="275"/>
        <v>0</v>
      </c>
      <c r="K1498" s="435"/>
      <c r="L1498" s="435"/>
      <c r="M1498" s="435"/>
      <c r="N1498" s="435"/>
      <c r="O1498" s="435"/>
      <c r="P1498" s="435">
        <f t="shared" si="276"/>
        <v>0</v>
      </c>
      <c r="Q1498" s="442"/>
      <c r="R1498" s="442"/>
      <c r="S1498" s="442"/>
      <c r="T1498" s="432">
        <f t="shared" si="267"/>
        <v>0</v>
      </c>
    </row>
    <row r="1499" spans="1:20" ht="22.2" hidden="1" customHeight="1">
      <c r="A1499" s="379"/>
      <c r="B1499" s="406" t="s">
        <v>1106</v>
      </c>
      <c r="C1499" s="469" t="str">
        <f t="shared" si="270"/>
        <v xml:space="preserve"> </v>
      </c>
      <c r="D1499" s="439">
        <f>E1499*2.04</f>
        <v>0</v>
      </c>
      <c r="E1499" s="484">
        <f>[1]pp_NC!C199</f>
        <v>0</v>
      </c>
      <c r="F1499" s="441" t="str">
        <f>VLOOKUP($B1499,[1]DG!A:D,[1]DG!$C$2,)</f>
        <v>Cáp 24KV ACX 50mm2</v>
      </c>
      <c r="G1499" s="422" t="str">
        <f>VLOOKUP($B1499,[1]DG!A:D,[1]DG!$D$2,)</f>
        <v>mét</v>
      </c>
      <c r="H1499" s="435">
        <f t="shared" si="274"/>
        <v>0</v>
      </c>
      <c r="I1499" s="435"/>
      <c r="J1499" s="435">
        <f t="shared" si="275"/>
        <v>0</v>
      </c>
      <c r="K1499" s="435"/>
      <c r="L1499" s="435"/>
      <c r="M1499" s="435"/>
      <c r="N1499" s="435"/>
      <c r="O1499" s="435"/>
      <c r="P1499" s="435">
        <f t="shared" si="276"/>
        <v>0</v>
      </c>
      <c r="Q1499" s="442"/>
      <c r="R1499" s="442"/>
      <c r="S1499" s="442"/>
      <c r="T1499" s="432">
        <f t="shared" si="267"/>
        <v>0</v>
      </c>
    </row>
    <row r="1500" spans="1:20" ht="22.2" hidden="1" customHeight="1">
      <c r="A1500" s="379"/>
      <c r="B1500" s="410" t="s">
        <v>1107</v>
      </c>
      <c r="C1500" s="469" t="str">
        <f t="shared" si="270"/>
        <v xml:space="preserve"> </v>
      </c>
      <c r="D1500" s="440">
        <f t="shared" ref="D1500:D1505" si="277">ROUND(E1500*1.03,2)</f>
        <v>0</v>
      </c>
      <c r="E1500" s="484">
        <f>[1]pp_NC!D193</f>
        <v>0</v>
      </c>
      <c r="F1500" s="441" t="str">
        <f>VLOOKUP($B1500,[1]DG!A:D,[1]DG!$C$2,)</f>
        <v>Cáp 24KV A/XLPE/PVC 240mm2</v>
      </c>
      <c r="G1500" s="422" t="str">
        <f>VLOOKUP($B1500,[1]DG!A:D,[1]DG!$D$2,)</f>
        <v>mét</v>
      </c>
      <c r="H1500" s="435">
        <f t="shared" si="274"/>
        <v>0</v>
      </c>
      <c r="I1500" s="435"/>
      <c r="J1500" s="435">
        <f t="shared" si="275"/>
        <v>0</v>
      </c>
      <c r="K1500" s="435"/>
      <c r="L1500" s="435"/>
      <c r="M1500" s="435"/>
      <c r="N1500" s="435"/>
      <c r="O1500" s="435"/>
      <c r="P1500" s="435">
        <f t="shared" si="276"/>
        <v>0</v>
      </c>
      <c r="Q1500" s="442"/>
      <c r="R1500" s="442"/>
      <c r="S1500" s="442"/>
      <c r="T1500" s="432">
        <f t="shared" si="267"/>
        <v>0</v>
      </c>
    </row>
    <row r="1501" spans="1:20" ht="22.2" hidden="1" customHeight="1">
      <c r="A1501" s="379"/>
      <c r="B1501" s="410" t="s">
        <v>1108</v>
      </c>
      <c r="C1501" s="469" t="str">
        <f t="shared" si="270"/>
        <v xml:space="preserve"> </v>
      </c>
      <c r="D1501" s="440">
        <f t="shared" si="277"/>
        <v>0</v>
      </c>
      <c r="E1501" s="484">
        <f>[1]pp_NC!D194</f>
        <v>0</v>
      </c>
      <c r="F1501" s="441" t="str">
        <f>VLOOKUP($B1501,[1]DG!A:D,[1]DG!$C$2,)</f>
        <v>Cáp 24KV A/XLPE/PVC 185mm2</v>
      </c>
      <c r="G1501" s="422" t="str">
        <f>VLOOKUP($B1501,[1]DG!A:D,[1]DG!$D$2,)</f>
        <v>mét</v>
      </c>
      <c r="H1501" s="435">
        <f t="shared" si="274"/>
        <v>0</v>
      </c>
      <c r="I1501" s="435"/>
      <c r="J1501" s="435">
        <f t="shared" si="275"/>
        <v>0</v>
      </c>
      <c r="K1501" s="435"/>
      <c r="L1501" s="435"/>
      <c r="M1501" s="435"/>
      <c r="N1501" s="435"/>
      <c r="O1501" s="435"/>
      <c r="P1501" s="435">
        <f t="shared" si="276"/>
        <v>0</v>
      </c>
      <c r="Q1501" s="442"/>
      <c r="R1501" s="442"/>
      <c r="S1501" s="442"/>
      <c r="T1501" s="432">
        <f t="shared" si="267"/>
        <v>0</v>
      </c>
    </row>
    <row r="1502" spans="1:20" ht="22.2" hidden="1" customHeight="1">
      <c r="A1502" s="379"/>
      <c r="B1502" s="410" t="s">
        <v>1109</v>
      </c>
      <c r="C1502" s="469" t="str">
        <f t="shared" si="270"/>
        <v xml:space="preserve"> </v>
      </c>
      <c r="D1502" s="440">
        <f t="shared" si="277"/>
        <v>0</v>
      </c>
      <c r="E1502" s="484">
        <f>[1]pp_NC!D195</f>
        <v>0</v>
      </c>
      <c r="F1502" s="441" t="str">
        <f>VLOOKUP($B1502,[1]DG!A:D,[1]DG!$C$2,)</f>
        <v>Cáp 24KV A/XLPE/PVC 150mm2</v>
      </c>
      <c r="G1502" s="422" t="str">
        <f>VLOOKUP($B1502,[1]DG!A:D,[1]DG!$D$2,)</f>
        <v>mét</v>
      </c>
      <c r="H1502" s="435">
        <f t="shared" si="274"/>
        <v>0</v>
      </c>
      <c r="I1502" s="435"/>
      <c r="J1502" s="435">
        <f t="shared" si="275"/>
        <v>0</v>
      </c>
      <c r="K1502" s="435"/>
      <c r="L1502" s="435"/>
      <c r="M1502" s="435"/>
      <c r="N1502" s="435"/>
      <c r="O1502" s="435"/>
      <c r="P1502" s="435">
        <f t="shared" si="276"/>
        <v>0</v>
      </c>
      <c r="Q1502" s="442"/>
      <c r="R1502" s="442"/>
      <c r="S1502" s="442"/>
      <c r="T1502" s="432">
        <f t="shared" si="267"/>
        <v>0</v>
      </c>
    </row>
    <row r="1503" spans="1:20" ht="22.2" hidden="1" customHeight="1">
      <c r="A1503" s="379"/>
      <c r="B1503" s="410" t="s">
        <v>1110</v>
      </c>
      <c r="C1503" s="469" t="str">
        <f t="shared" si="270"/>
        <v xml:space="preserve"> </v>
      </c>
      <c r="D1503" s="440">
        <f t="shared" si="277"/>
        <v>0</v>
      </c>
      <c r="E1503" s="484">
        <f>[1]pp_NC!D196</f>
        <v>0</v>
      </c>
      <c r="F1503" s="441" t="str">
        <f>VLOOKUP($B1503,[1]DG!A:D,[1]DG!$C$2,)</f>
        <v>Cáp 24KV A/XLPE/PVC 120mm2</v>
      </c>
      <c r="G1503" s="422" t="str">
        <f>VLOOKUP($B1503,[1]DG!A:D,[1]DG!$D$2,)</f>
        <v>mét</v>
      </c>
      <c r="H1503" s="435">
        <f t="shared" si="274"/>
        <v>0</v>
      </c>
      <c r="I1503" s="435"/>
      <c r="J1503" s="435">
        <f t="shared" si="275"/>
        <v>0</v>
      </c>
      <c r="K1503" s="435"/>
      <c r="L1503" s="435"/>
      <c r="M1503" s="435"/>
      <c r="N1503" s="435"/>
      <c r="O1503" s="435"/>
      <c r="P1503" s="435">
        <f t="shared" si="276"/>
        <v>0</v>
      </c>
      <c r="Q1503" s="442"/>
      <c r="R1503" s="442"/>
      <c r="S1503" s="442"/>
      <c r="T1503" s="432">
        <f t="shared" si="267"/>
        <v>0</v>
      </c>
    </row>
    <row r="1504" spans="1:20" ht="22.2" hidden="1" customHeight="1">
      <c r="A1504" s="379"/>
      <c r="B1504" s="410" t="s">
        <v>1111</v>
      </c>
      <c r="C1504" s="469" t="str">
        <f t="shared" si="270"/>
        <v xml:space="preserve"> </v>
      </c>
      <c r="D1504" s="440">
        <f t="shared" si="277"/>
        <v>0</v>
      </c>
      <c r="E1504" s="484">
        <f>[1]pp_NC!D197</f>
        <v>0</v>
      </c>
      <c r="F1504" s="441" t="str">
        <f>VLOOKUP($B1504,[1]DG!A:D,[1]DG!$C$2,)</f>
        <v>Cáp 24KV A/XLPE/PVC 95mm2</v>
      </c>
      <c r="G1504" s="422" t="str">
        <f>VLOOKUP($B1504,[1]DG!A:D,[1]DG!$D$2,)</f>
        <v>mét</v>
      </c>
      <c r="H1504" s="435">
        <f t="shared" si="274"/>
        <v>0</v>
      </c>
      <c r="I1504" s="435"/>
      <c r="J1504" s="435">
        <f t="shared" si="275"/>
        <v>0</v>
      </c>
      <c r="K1504" s="435"/>
      <c r="L1504" s="435"/>
      <c r="M1504" s="435"/>
      <c r="N1504" s="435"/>
      <c r="O1504" s="435"/>
      <c r="P1504" s="435">
        <f t="shared" si="276"/>
        <v>0</v>
      </c>
      <c r="Q1504" s="442"/>
      <c r="R1504" s="442"/>
      <c r="S1504" s="442"/>
      <c r="T1504" s="432">
        <f t="shared" si="267"/>
        <v>0</v>
      </c>
    </row>
    <row r="1505" spans="1:20" ht="22.2" hidden="1" customHeight="1">
      <c r="A1505" s="379"/>
      <c r="B1505" s="410" t="s">
        <v>1112</v>
      </c>
      <c r="C1505" s="469" t="str">
        <f t="shared" si="270"/>
        <v xml:space="preserve"> </v>
      </c>
      <c r="D1505" s="440">
        <f t="shared" si="277"/>
        <v>0</v>
      </c>
      <c r="E1505" s="484">
        <f>[1]pp_NC!D198</f>
        <v>0</v>
      </c>
      <c r="F1505" s="441" t="str">
        <f>VLOOKUP($B1505,[1]DG!A:D,[1]DG!$C$2,)</f>
        <v>Cáp 24KV A/XLPE/PVC 70mm2</v>
      </c>
      <c r="G1505" s="422" t="str">
        <f>VLOOKUP($B1505,[1]DG!A:D,[1]DG!$D$2,)</f>
        <v>mét</v>
      </c>
      <c r="H1505" s="435">
        <f t="shared" si="274"/>
        <v>0</v>
      </c>
      <c r="I1505" s="435"/>
      <c r="J1505" s="435">
        <f t="shared" si="275"/>
        <v>0</v>
      </c>
      <c r="K1505" s="435"/>
      <c r="L1505" s="435"/>
      <c r="M1505" s="435"/>
      <c r="N1505" s="435"/>
      <c r="O1505" s="435"/>
      <c r="P1505" s="435">
        <f t="shared" si="276"/>
        <v>0</v>
      </c>
      <c r="Q1505" s="442"/>
      <c r="R1505" s="442"/>
      <c r="S1505" s="442"/>
      <c r="T1505" s="432">
        <f t="shared" si="267"/>
        <v>0</v>
      </c>
    </row>
    <row r="1506" spans="1:20" ht="22.2" hidden="1" customHeight="1">
      <c r="A1506" s="379"/>
      <c r="B1506" s="485" t="s">
        <v>1113</v>
      </c>
      <c r="C1506" s="469" t="str">
        <f t="shared" si="270"/>
        <v xml:space="preserve"> </v>
      </c>
      <c r="D1506" s="440">
        <f>[1]pp_NC!DK184</f>
        <v>0</v>
      </c>
      <c r="E1506" s="422"/>
      <c r="F1506" s="486" t="s">
        <v>1114</v>
      </c>
      <c r="G1506" s="487" t="s">
        <v>375</v>
      </c>
      <c r="H1506" s="435">
        <f t="shared" si="274"/>
        <v>0</v>
      </c>
      <c r="I1506" s="435"/>
      <c r="J1506" s="435">
        <f t="shared" si="275"/>
        <v>0</v>
      </c>
      <c r="K1506" s="435"/>
      <c r="L1506" s="435"/>
      <c r="M1506" s="435"/>
      <c r="N1506" s="435"/>
      <c r="O1506" s="435"/>
      <c r="P1506" s="435">
        <f t="shared" si="276"/>
        <v>0</v>
      </c>
      <c r="Q1506" s="442"/>
      <c r="R1506" s="442"/>
      <c r="S1506" s="442"/>
      <c r="T1506" s="432">
        <f t="shared" si="267"/>
        <v>0</v>
      </c>
    </row>
    <row r="1507" spans="1:20" ht="22.2" hidden="1" customHeight="1">
      <c r="A1507" s="379"/>
      <c r="B1507" s="410" t="s">
        <v>476</v>
      </c>
      <c r="C1507" s="469" t="str">
        <f t="shared" si="270"/>
        <v xml:space="preserve"> </v>
      </c>
      <c r="D1507" s="440">
        <f>D1506</f>
        <v>0</v>
      </c>
      <c r="E1507" s="422"/>
      <c r="F1507" s="441" t="str">
        <f>VLOOKUP($B1507,[1]DG!A:D,[1]DG!$C$2,)</f>
        <v>Uclevis + sứ ống chỉ</v>
      </c>
      <c r="G1507" s="422" t="str">
        <f>VLOOKUP($B1507,[1]DG!A:D,[1]DG!$D$2,)</f>
        <v>bộ</v>
      </c>
      <c r="H1507" s="435">
        <f t="shared" si="274"/>
        <v>0</v>
      </c>
      <c r="I1507" s="435"/>
      <c r="J1507" s="435">
        <f t="shared" si="275"/>
        <v>0</v>
      </c>
      <c r="K1507" s="435"/>
      <c r="L1507" s="435"/>
      <c r="M1507" s="435"/>
      <c r="N1507" s="435"/>
      <c r="O1507" s="435"/>
      <c r="P1507" s="435">
        <f t="shared" si="276"/>
        <v>0</v>
      </c>
      <c r="Q1507" s="442"/>
      <c r="R1507" s="442"/>
      <c r="S1507" s="442"/>
      <c r="T1507" s="432">
        <f t="shared" si="267"/>
        <v>0</v>
      </c>
    </row>
    <row r="1508" spans="1:20" ht="22.2" hidden="1" customHeight="1">
      <c r="A1508" s="379"/>
      <c r="B1508" s="410" t="s">
        <v>65</v>
      </c>
      <c r="C1508" s="469" t="str">
        <f t="shared" si="270"/>
        <v xml:space="preserve"> </v>
      </c>
      <c r="D1508" s="440">
        <f>D1506</f>
        <v>0</v>
      </c>
      <c r="E1508" s="422"/>
      <c r="F1508" s="441" t="str">
        <f>VLOOKUP($B1508,[1]DG!A:D,[1]DG!$C$2,)</f>
        <v>Boulon 16x300+ 2 long đền vuông D18-50x50x3/Zn</v>
      </c>
      <c r="G1508" s="422" t="str">
        <f>VLOOKUP($B1508,[1]DG!A:D,[1]DG!$D$2,)</f>
        <v>bộ</v>
      </c>
      <c r="H1508" s="435">
        <f t="shared" si="274"/>
        <v>0</v>
      </c>
      <c r="I1508" s="435"/>
      <c r="J1508" s="435">
        <f t="shared" si="275"/>
        <v>0</v>
      </c>
      <c r="K1508" s="435"/>
      <c r="L1508" s="435"/>
      <c r="M1508" s="435"/>
      <c r="N1508" s="435"/>
      <c r="O1508" s="435"/>
      <c r="P1508" s="435">
        <f t="shared" si="276"/>
        <v>0</v>
      </c>
      <c r="Q1508" s="442"/>
      <c r="R1508" s="442"/>
      <c r="S1508" s="442"/>
      <c r="T1508" s="432">
        <f t="shared" si="267"/>
        <v>0</v>
      </c>
    </row>
    <row r="1509" spans="1:20" ht="22.2" hidden="1" customHeight="1">
      <c r="A1509" s="379"/>
      <c r="B1509" s="485" t="s">
        <v>1115</v>
      </c>
      <c r="C1509" s="469" t="str">
        <f t="shared" si="270"/>
        <v xml:space="preserve"> </v>
      </c>
      <c r="D1509" s="440">
        <f>[1]pp_NC!DM184</f>
        <v>0</v>
      </c>
      <c r="E1509" s="422"/>
      <c r="F1509" s="486" t="s">
        <v>1116</v>
      </c>
      <c r="G1509" s="487" t="s">
        <v>375</v>
      </c>
      <c r="H1509" s="435">
        <f t="shared" si="274"/>
        <v>0</v>
      </c>
      <c r="I1509" s="435"/>
      <c r="J1509" s="435">
        <f t="shared" si="275"/>
        <v>0</v>
      </c>
      <c r="K1509" s="435"/>
      <c r="L1509" s="435"/>
      <c r="M1509" s="435"/>
      <c r="N1509" s="435"/>
      <c r="O1509" s="435"/>
      <c r="P1509" s="435">
        <f t="shared" si="276"/>
        <v>0</v>
      </c>
      <c r="Q1509" s="442"/>
      <c r="R1509" s="442"/>
      <c r="S1509" s="442"/>
      <c r="T1509" s="432">
        <f t="shared" si="267"/>
        <v>0</v>
      </c>
    </row>
    <row r="1510" spans="1:20" ht="22.2" hidden="1" customHeight="1">
      <c r="A1510" s="379"/>
      <c r="B1510" s="410" t="s">
        <v>476</v>
      </c>
      <c r="C1510" s="469" t="str">
        <f t="shared" si="270"/>
        <v xml:space="preserve"> </v>
      </c>
      <c r="D1510" s="440">
        <f>D1509</f>
        <v>0</v>
      </c>
      <c r="E1510" s="422"/>
      <c r="F1510" s="441" t="str">
        <f>VLOOKUP($B1510,[1]DG!A:D,[1]DG!$C$2,)</f>
        <v>Uclevis + sứ ống chỉ</v>
      </c>
      <c r="G1510" s="422" t="str">
        <f>VLOOKUP($B1510,[1]DG!A:D,[1]DG!$D$2,)</f>
        <v>bộ</v>
      </c>
      <c r="H1510" s="435">
        <f t="shared" si="274"/>
        <v>0</v>
      </c>
      <c r="I1510" s="435"/>
      <c r="J1510" s="435">
        <f t="shared" si="275"/>
        <v>0</v>
      </c>
      <c r="K1510" s="435"/>
      <c r="L1510" s="435"/>
      <c r="M1510" s="435"/>
      <c r="N1510" s="435"/>
      <c r="O1510" s="435"/>
      <c r="P1510" s="435">
        <f t="shared" si="276"/>
        <v>0</v>
      </c>
      <c r="Q1510" s="442"/>
      <c r="R1510" s="442"/>
      <c r="S1510" s="442"/>
      <c r="T1510" s="432">
        <f t="shared" si="267"/>
        <v>0</v>
      </c>
    </row>
    <row r="1511" spans="1:20" ht="22.2" hidden="1" customHeight="1">
      <c r="A1511" s="379"/>
      <c r="B1511" s="410" t="s">
        <v>65</v>
      </c>
      <c r="C1511" s="469" t="str">
        <f t="shared" si="270"/>
        <v xml:space="preserve"> </v>
      </c>
      <c r="D1511" s="440">
        <f>D1509</f>
        <v>0</v>
      </c>
      <c r="E1511" s="422"/>
      <c r="F1511" s="441" t="str">
        <f>VLOOKUP($B1511,[1]DG!A:D,[1]DG!$C$2,)</f>
        <v>Boulon 16x300+ 2 long đền vuông D18-50x50x3/Zn</v>
      </c>
      <c r="G1511" s="422" t="str">
        <f>VLOOKUP($B1511,[1]DG!A:D,[1]DG!$D$2,)</f>
        <v>bộ</v>
      </c>
      <c r="H1511" s="435">
        <f t="shared" si="274"/>
        <v>0</v>
      </c>
      <c r="I1511" s="435"/>
      <c r="J1511" s="435">
        <f t="shared" si="275"/>
        <v>0</v>
      </c>
      <c r="K1511" s="435"/>
      <c r="L1511" s="435"/>
      <c r="M1511" s="435"/>
      <c r="N1511" s="435"/>
      <c r="O1511" s="435"/>
      <c r="P1511" s="435">
        <f t="shared" si="276"/>
        <v>0</v>
      </c>
      <c r="Q1511" s="442"/>
      <c r="R1511" s="442"/>
      <c r="S1511" s="442"/>
      <c r="T1511" s="432">
        <f t="shared" si="267"/>
        <v>0</v>
      </c>
    </row>
    <row r="1512" spans="1:20" ht="22.2" hidden="1" customHeight="1">
      <c r="A1512" s="379"/>
      <c r="B1512" s="410" t="s">
        <v>1117</v>
      </c>
      <c r="C1512" s="469" t="str">
        <f t="shared" si="270"/>
        <v xml:space="preserve"> </v>
      </c>
      <c r="D1512" s="440">
        <f>D1509*3</f>
        <v>0</v>
      </c>
      <c r="E1512" s="422"/>
      <c r="F1512" s="441" t="str">
        <f>VLOOKUP($B1512,[1]DG!A:D,[1]DG!$C$2,)</f>
        <v>Kẹp 2 rãnh (APC) cỡ dây 50mm2</v>
      </c>
      <c r="G1512" s="422" t="str">
        <f>VLOOKUP($B1512,[1]DG!A:D,[1]DG!$D$2,)</f>
        <v>cái</v>
      </c>
      <c r="H1512" s="435">
        <f t="shared" si="274"/>
        <v>0</v>
      </c>
      <c r="I1512" s="435"/>
      <c r="J1512" s="435">
        <f t="shared" si="275"/>
        <v>0</v>
      </c>
      <c r="K1512" s="435"/>
      <c r="L1512" s="435"/>
      <c r="M1512" s="435"/>
      <c r="N1512" s="435"/>
      <c r="O1512" s="435"/>
      <c r="P1512" s="435">
        <f t="shared" si="276"/>
        <v>0</v>
      </c>
      <c r="Q1512" s="442"/>
      <c r="R1512" s="442"/>
      <c r="S1512" s="442"/>
      <c r="T1512" s="432">
        <f t="shared" si="267"/>
        <v>0</v>
      </c>
    </row>
    <row r="1513" spans="1:20" ht="22.2" hidden="1" customHeight="1">
      <c r="A1513" s="379"/>
      <c r="B1513" s="485" t="s">
        <v>1118</v>
      </c>
      <c r="C1513" s="469" t="str">
        <f t="shared" si="270"/>
        <v xml:space="preserve"> </v>
      </c>
      <c r="D1513" s="440">
        <f>[1]pp_NC!DN184</f>
        <v>0</v>
      </c>
      <c r="E1513" s="422"/>
      <c r="F1513" s="486" t="s">
        <v>1119</v>
      </c>
      <c r="G1513" s="487" t="s">
        <v>375</v>
      </c>
      <c r="H1513" s="435">
        <f t="shared" si="274"/>
        <v>0</v>
      </c>
      <c r="I1513" s="435"/>
      <c r="J1513" s="435">
        <f t="shared" si="275"/>
        <v>0</v>
      </c>
      <c r="K1513" s="435"/>
      <c r="L1513" s="435"/>
      <c r="M1513" s="435"/>
      <c r="N1513" s="435"/>
      <c r="O1513" s="435"/>
      <c r="P1513" s="435">
        <f t="shared" si="276"/>
        <v>0</v>
      </c>
      <c r="Q1513" s="442"/>
      <c r="R1513" s="442"/>
      <c r="S1513" s="442"/>
      <c r="T1513" s="432">
        <f t="shared" si="267"/>
        <v>0</v>
      </c>
    </row>
    <row r="1514" spans="1:20" ht="22.2" hidden="1" customHeight="1">
      <c r="A1514" s="379"/>
      <c r="B1514" s="488" t="s">
        <v>1120</v>
      </c>
      <c r="C1514" s="469" t="str">
        <f t="shared" si="270"/>
        <v xml:space="preserve"> </v>
      </c>
      <c r="D1514" s="440">
        <f>D1513</f>
        <v>0</v>
      </c>
      <c r="E1514" s="422"/>
      <c r="F1514" s="441" t="str">
        <f>VLOOKUP($B1514,[1]DG!A:D,[1]DG!$C$2,)</f>
        <v>Khóa néo dây cỡ dây 50</v>
      </c>
      <c r="G1514" s="422" t="str">
        <f>VLOOKUP($B1514,[1]DG!A:D,[1]DG!$D$2,)</f>
        <v>cái</v>
      </c>
      <c r="H1514" s="435">
        <f t="shared" si="274"/>
        <v>0</v>
      </c>
      <c r="I1514" s="435"/>
      <c r="J1514" s="435">
        <f t="shared" si="275"/>
        <v>0</v>
      </c>
      <c r="K1514" s="435"/>
      <c r="L1514" s="435"/>
      <c r="M1514" s="435"/>
      <c r="N1514" s="435"/>
      <c r="O1514" s="435"/>
      <c r="P1514" s="435">
        <f t="shared" si="276"/>
        <v>0</v>
      </c>
      <c r="Q1514" s="442"/>
      <c r="R1514" s="442"/>
      <c r="S1514" s="442"/>
      <c r="T1514" s="432">
        <f t="shared" si="267"/>
        <v>0</v>
      </c>
    </row>
    <row r="1515" spans="1:20" ht="22.2" hidden="1" customHeight="1">
      <c r="A1515" s="379"/>
      <c r="B1515" s="410" t="s">
        <v>478</v>
      </c>
      <c r="C1515" s="469" t="str">
        <f t="shared" si="270"/>
        <v xml:space="preserve"> </v>
      </c>
      <c r="D1515" s="440">
        <f>D1513*2</f>
        <v>0</v>
      </c>
      <c r="E1515" s="422"/>
      <c r="F1515" s="441" t="str">
        <f>VLOOKUP($B1515,[1]DG!A:D,[1]DG!$C$2,)</f>
        <v xml:space="preserve">Móc treo chữ U </v>
      </c>
      <c r="G1515" s="422" t="str">
        <f>VLOOKUP($B1515,[1]DG!A:D,[1]DG!$D$2,)</f>
        <v>cái</v>
      </c>
      <c r="H1515" s="435">
        <f t="shared" si="274"/>
        <v>0</v>
      </c>
      <c r="I1515" s="435"/>
      <c r="J1515" s="435">
        <f t="shared" si="275"/>
        <v>0</v>
      </c>
      <c r="K1515" s="435"/>
      <c r="L1515" s="435"/>
      <c r="M1515" s="435"/>
      <c r="N1515" s="435"/>
      <c r="O1515" s="435"/>
      <c r="P1515" s="435">
        <f t="shared" si="276"/>
        <v>0</v>
      </c>
      <c r="Q1515" s="442"/>
      <c r="R1515" s="442"/>
      <c r="S1515" s="442"/>
      <c r="T1515" s="432">
        <f t="shared" ref="T1515:T1578" si="278">IFERROR(HLOOKUP(B1515,BangKeTru,3,0),0)</f>
        <v>0</v>
      </c>
    </row>
    <row r="1516" spans="1:20" ht="22.2" hidden="1" customHeight="1">
      <c r="A1516" s="379"/>
      <c r="B1516" s="410" t="s">
        <v>483</v>
      </c>
      <c r="C1516" s="469" t="str">
        <f t="shared" si="270"/>
        <v xml:space="preserve"> </v>
      </c>
      <c r="D1516" s="440">
        <f>D1514</f>
        <v>0</v>
      </c>
      <c r="E1516" s="422"/>
      <c r="F1516" s="441" t="str">
        <f>VLOOKUP($B1516,[1]DG!A:D,[1]DG!$C$2,)</f>
        <v>Boulon mắt 16x300+ 2 long đền vuông D18-50x50x3/Zn</v>
      </c>
      <c r="G1516" s="422" t="str">
        <f>VLOOKUP($B1516,[1]DG!A:D,[1]DG!$D$2,)</f>
        <v>bộ</v>
      </c>
      <c r="H1516" s="435">
        <f t="shared" si="274"/>
        <v>0</v>
      </c>
      <c r="I1516" s="435"/>
      <c r="J1516" s="435">
        <f t="shared" si="275"/>
        <v>0</v>
      </c>
      <c r="K1516" s="435"/>
      <c r="L1516" s="435"/>
      <c r="M1516" s="435"/>
      <c r="N1516" s="435"/>
      <c r="O1516" s="435"/>
      <c r="P1516" s="435">
        <f t="shared" si="276"/>
        <v>0</v>
      </c>
      <c r="Q1516" s="442"/>
      <c r="R1516" s="442"/>
      <c r="S1516" s="442"/>
      <c r="T1516" s="432">
        <f t="shared" si="278"/>
        <v>0</v>
      </c>
    </row>
    <row r="1517" spans="1:20" ht="22.2" hidden="1" customHeight="1">
      <c r="A1517" s="379"/>
      <c r="B1517" s="410" t="s">
        <v>184</v>
      </c>
      <c r="C1517" s="469" t="str">
        <f t="shared" si="270"/>
        <v xml:space="preserve"> </v>
      </c>
      <c r="D1517" s="440">
        <f>D1513</f>
        <v>0</v>
      </c>
      <c r="E1517" s="422"/>
      <c r="F1517" s="441" t="str">
        <f>VLOOKUP($B1517,[1]DG!A:D,[1]DG!$C$2,)</f>
        <v>Kẹp ép WR cỡ dây 50mm2</v>
      </c>
      <c r="G1517" s="422" t="str">
        <f>VLOOKUP($B1517,[1]DG!A:D,[1]DG!$D$2,)</f>
        <v>cái</v>
      </c>
      <c r="H1517" s="435">
        <f t="shared" si="274"/>
        <v>0</v>
      </c>
      <c r="I1517" s="435"/>
      <c r="J1517" s="435">
        <f t="shared" si="275"/>
        <v>0</v>
      </c>
      <c r="K1517" s="435"/>
      <c r="L1517" s="435"/>
      <c r="M1517" s="435"/>
      <c r="N1517" s="435"/>
      <c r="O1517" s="435"/>
      <c r="P1517" s="435">
        <f t="shared" si="276"/>
        <v>0</v>
      </c>
      <c r="Q1517" s="442"/>
      <c r="R1517" s="442"/>
      <c r="S1517" s="442"/>
      <c r="T1517" s="432">
        <f t="shared" si="278"/>
        <v>0</v>
      </c>
    </row>
    <row r="1518" spans="1:20" ht="22.2" hidden="1" customHeight="1">
      <c r="A1518" s="379"/>
      <c r="B1518" s="485" t="s">
        <v>1121</v>
      </c>
      <c r="C1518" s="469" t="str">
        <f t="shared" si="270"/>
        <v xml:space="preserve"> </v>
      </c>
      <c r="D1518" s="440">
        <f>[1]pp_NC!DO95</f>
        <v>0</v>
      </c>
      <c r="E1518" s="422"/>
      <c r="F1518" s="486" t="s">
        <v>1122</v>
      </c>
      <c r="G1518" s="487" t="s">
        <v>375</v>
      </c>
      <c r="H1518" s="435">
        <f t="shared" si="274"/>
        <v>0</v>
      </c>
      <c r="I1518" s="435"/>
      <c r="J1518" s="435">
        <f t="shared" si="275"/>
        <v>0</v>
      </c>
      <c r="K1518" s="435"/>
      <c r="L1518" s="435"/>
      <c r="M1518" s="435"/>
      <c r="N1518" s="435"/>
      <c r="O1518" s="435"/>
      <c r="P1518" s="435">
        <f t="shared" si="276"/>
        <v>0</v>
      </c>
      <c r="Q1518" s="442"/>
      <c r="R1518" s="442"/>
      <c r="S1518" s="442"/>
      <c r="T1518" s="432">
        <f t="shared" si="278"/>
        <v>0</v>
      </c>
    </row>
    <row r="1519" spans="1:20" ht="22.2" hidden="1" customHeight="1">
      <c r="A1519" s="379"/>
      <c r="B1519" s="488" t="s">
        <v>1120</v>
      </c>
      <c r="C1519" s="469" t="str">
        <f t="shared" si="270"/>
        <v xml:space="preserve"> </v>
      </c>
      <c r="D1519" s="440">
        <f>D1518</f>
        <v>0</v>
      </c>
      <c r="E1519" s="422"/>
      <c r="F1519" s="441" t="str">
        <f>VLOOKUP($B1519,[1]DG!A:D,[1]DG!$C$2,)</f>
        <v>Khóa néo dây cỡ dây 50</v>
      </c>
      <c r="G1519" s="422" t="str">
        <f>VLOOKUP($B1519,[1]DG!A:D,[1]DG!$D$2,)</f>
        <v>cái</v>
      </c>
      <c r="H1519" s="435">
        <f t="shared" si="274"/>
        <v>0</v>
      </c>
      <c r="I1519" s="435"/>
      <c r="J1519" s="435">
        <f t="shared" si="275"/>
        <v>0</v>
      </c>
      <c r="K1519" s="435"/>
      <c r="L1519" s="435"/>
      <c r="M1519" s="435"/>
      <c r="N1519" s="435"/>
      <c r="O1519" s="435"/>
      <c r="P1519" s="435">
        <f t="shared" si="276"/>
        <v>0</v>
      </c>
      <c r="Q1519" s="442"/>
      <c r="R1519" s="442"/>
      <c r="S1519" s="442"/>
      <c r="T1519" s="432">
        <f t="shared" si="278"/>
        <v>0</v>
      </c>
    </row>
    <row r="1520" spans="1:20" ht="22.2" hidden="1" customHeight="1">
      <c r="A1520" s="379"/>
      <c r="B1520" s="410" t="s">
        <v>478</v>
      </c>
      <c r="C1520" s="469" t="str">
        <f t="shared" si="270"/>
        <v xml:space="preserve"> </v>
      </c>
      <c r="D1520" s="440">
        <f>D1518*2</f>
        <v>0</v>
      </c>
      <c r="E1520" s="422"/>
      <c r="F1520" s="441" t="str">
        <f>VLOOKUP($B1520,[1]DG!A:D,[1]DG!$C$2,)</f>
        <v xml:space="preserve">Móc treo chữ U </v>
      </c>
      <c r="G1520" s="422" t="str">
        <f>VLOOKUP($B1520,[1]DG!A:D,[1]DG!$D$2,)</f>
        <v>cái</v>
      </c>
      <c r="H1520" s="435">
        <f t="shared" si="274"/>
        <v>0</v>
      </c>
      <c r="I1520" s="435"/>
      <c r="J1520" s="435">
        <f t="shared" si="275"/>
        <v>0</v>
      </c>
      <c r="K1520" s="435"/>
      <c r="L1520" s="435"/>
      <c r="M1520" s="435"/>
      <c r="N1520" s="435"/>
      <c r="O1520" s="435"/>
      <c r="P1520" s="435">
        <f t="shared" si="276"/>
        <v>0</v>
      </c>
      <c r="Q1520" s="442"/>
      <c r="R1520" s="442"/>
      <c r="S1520" s="442"/>
      <c r="T1520" s="432">
        <f t="shared" si="278"/>
        <v>0</v>
      </c>
    </row>
    <row r="1521" spans="1:20" ht="22.2" hidden="1" customHeight="1">
      <c r="A1521" s="379"/>
      <c r="B1521" s="410" t="s">
        <v>184</v>
      </c>
      <c r="C1521" s="469" t="str">
        <f t="shared" si="270"/>
        <v xml:space="preserve"> </v>
      </c>
      <c r="D1521" s="440">
        <f>D1518*2</f>
        <v>0</v>
      </c>
      <c r="E1521" s="422"/>
      <c r="F1521" s="441" t="str">
        <f>VLOOKUP($B1521,[1]DG!A:D,[1]DG!$C$2,)</f>
        <v>Kẹp ép WR cỡ dây 50mm2</v>
      </c>
      <c r="G1521" s="422" t="str">
        <f>VLOOKUP($B1521,[1]DG!A:D,[1]DG!$D$2,)</f>
        <v>cái</v>
      </c>
      <c r="H1521" s="435">
        <f t="shared" si="274"/>
        <v>0</v>
      </c>
      <c r="I1521" s="435"/>
      <c r="J1521" s="435">
        <f t="shared" si="275"/>
        <v>0</v>
      </c>
      <c r="K1521" s="435"/>
      <c r="L1521" s="435"/>
      <c r="M1521" s="435"/>
      <c r="N1521" s="435"/>
      <c r="O1521" s="435"/>
      <c r="P1521" s="435">
        <f t="shared" si="276"/>
        <v>0</v>
      </c>
      <c r="Q1521" s="442"/>
      <c r="R1521" s="442"/>
      <c r="S1521" s="442"/>
      <c r="T1521" s="432">
        <f t="shared" si="278"/>
        <v>0</v>
      </c>
    </row>
    <row r="1522" spans="1:20" ht="22.2" hidden="1" customHeight="1">
      <c r="A1522" s="379"/>
      <c r="B1522" s="489" t="s">
        <v>1123</v>
      </c>
      <c r="C1522" s="469" t="str">
        <f t="shared" si="270"/>
        <v xml:space="preserve"> </v>
      </c>
      <c r="D1522" s="440">
        <f>[1]pp_NC!DH184</f>
        <v>0</v>
      </c>
      <c r="E1522" s="422"/>
      <c r="F1522" s="486" t="s">
        <v>1124</v>
      </c>
      <c r="G1522" s="487" t="s">
        <v>375</v>
      </c>
      <c r="H1522" s="435">
        <f t="shared" si="274"/>
        <v>0</v>
      </c>
      <c r="I1522" s="435"/>
      <c r="J1522" s="435">
        <f t="shared" si="275"/>
        <v>0</v>
      </c>
      <c r="K1522" s="435"/>
      <c r="L1522" s="435"/>
      <c r="M1522" s="435"/>
      <c r="N1522" s="435"/>
      <c r="O1522" s="435"/>
      <c r="P1522" s="435">
        <f t="shared" si="276"/>
        <v>0</v>
      </c>
      <c r="Q1522" s="442"/>
      <c r="R1522" s="442"/>
      <c r="S1522" s="442"/>
      <c r="T1522" s="432">
        <f t="shared" si="278"/>
        <v>0</v>
      </c>
    </row>
    <row r="1523" spans="1:20" ht="22.2" hidden="1" customHeight="1">
      <c r="A1523" s="379"/>
      <c r="B1523" s="406" t="s">
        <v>138</v>
      </c>
      <c r="C1523" s="469" t="str">
        <f t="shared" si="270"/>
        <v xml:space="preserve"> </v>
      </c>
      <c r="D1523" s="440">
        <f>D1522</f>
        <v>0</v>
      </c>
      <c r="E1523" s="422"/>
      <c r="F1523" s="441" t="str">
        <f>VLOOKUP($B1523,[1]DG!A:D,[1]DG!$C$2,)</f>
        <v xml:space="preserve">Sứ đứng 24KV </v>
      </c>
      <c r="G1523" s="422" t="str">
        <f>VLOOKUP($B1523,[1]DG!A:D,[1]DG!$D$2,)</f>
        <v>cái</v>
      </c>
      <c r="H1523" s="435">
        <f t="shared" si="274"/>
        <v>0</v>
      </c>
      <c r="I1523" s="435"/>
      <c r="J1523" s="435">
        <f t="shared" si="275"/>
        <v>0</v>
      </c>
      <c r="K1523" s="435"/>
      <c r="L1523" s="435"/>
      <c r="M1523" s="435"/>
      <c r="N1523" s="435"/>
      <c r="O1523" s="435"/>
      <c r="P1523" s="435">
        <f t="shared" si="276"/>
        <v>0</v>
      </c>
      <c r="Q1523" s="442"/>
      <c r="R1523" s="442"/>
      <c r="S1523" s="442"/>
      <c r="T1523" s="432">
        <f t="shared" si="278"/>
        <v>0</v>
      </c>
    </row>
    <row r="1524" spans="1:20" ht="22.2" hidden="1" customHeight="1">
      <c r="A1524" s="379"/>
      <c r="B1524" s="406" t="s">
        <v>139</v>
      </c>
      <c r="C1524" s="469" t="str">
        <f t="shared" si="270"/>
        <v xml:space="preserve"> </v>
      </c>
      <c r="D1524" s="440">
        <f>D1522</f>
        <v>0</v>
      </c>
      <c r="E1524" s="422"/>
      <c r="F1524" s="441" t="str">
        <f>VLOOKUP($B1524,[1]DG!A:D,[1]DG!$C$2,)</f>
        <v>Chân sứ đứng D20</v>
      </c>
      <c r="G1524" s="422" t="str">
        <f>VLOOKUP($B1524,[1]DG!A:D,[1]DG!$D$2,)</f>
        <v>cái</v>
      </c>
      <c r="H1524" s="435">
        <f t="shared" si="274"/>
        <v>0</v>
      </c>
      <c r="I1524" s="435"/>
      <c r="J1524" s="435">
        <f t="shared" si="275"/>
        <v>0</v>
      </c>
      <c r="K1524" s="435"/>
      <c r="L1524" s="435"/>
      <c r="M1524" s="435"/>
      <c r="N1524" s="435"/>
      <c r="O1524" s="435"/>
      <c r="P1524" s="435">
        <f t="shared" si="276"/>
        <v>0</v>
      </c>
      <c r="Q1524" s="442"/>
      <c r="R1524" s="442"/>
      <c r="S1524" s="442"/>
      <c r="T1524" s="432">
        <f t="shared" si="278"/>
        <v>0</v>
      </c>
    </row>
    <row r="1525" spans="1:20" ht="22.2" hidden="1" customHeight="1">
      <c r="A1525" s="379"/>
      <c r="B1525" s="485" t="s">
        <v>1125</v>
      </c>
      <c r="C1525" s="469" t="str">
        <f t="shared" si="270"/>
        <v xml:space="preserve"> </v>
      </c>
      <c r="D1525" s="440">
        <f>[1]pp_NC!DF184</f>
        <v>0</v>
      </c>
      <c r="E1525" s="422"/>
      <c r="F1525" s="486" t="s">
        <v>1126</v>
      </c>
      <c r="G1525" s="487" t="s">
        <v>375</v>
      </c>
      <c r="H1525" s="435">
        <f t="shared" si="274"/>
        <v>0</v>
      </c>
      <c r="I1525" s="435"/>
      <c r="J1525" s="435">
        <f t="shared" si="275"/>
        <v>0</v>
      </c>
      <c r="K1525" s="435"/>
      <c r="L1525" s="435"/>
      <c r="M1525" s="435"/>
      <c r="N1525" s="435"/>
      <c r="O1525" s="435"/>
      <c r="P1525" s="435">
        <f t="shared" si="276"/>
        <v>0</v>
      </c>
      <c r="Q1525" s="442"/>
      <c r="R1525" s="442"/>
      <c r="S1525" s="442"/>
      <c r="T1525" s="432">
        <f t="shared" si="278"/>
        <v>0</v>
      </c>
    </row>
    <row r="1526" spans="1:20" ht="22.2" hidden="1" customHeight="1">
      <c r="A1526" s="379"/>
      <c r="B1526" s="410" t="s">
        <v>138</v>
      </c>
      <c r="C1526" s="469" t="str">
        <f t="shared" si="270"/>
        <v xml:space="preserve"> </v>
      </c>
      <c r="D1526" s="440">
        <f>D1525</f>
        <v>0</v>
      </c>
      <c r="E1526" s="422"/>
      <c r="F1526" s="441" t="str">
        <f>VLOOKUP($B1526,[1]DG!A:D,[1]DG!$C$2,)</f>
        <v xml:space="preserve">Sứ đứng 24KV </v>
      </c>
      <c r="G1526" s="422" t="str">
        <f>VLOOKUP($B1526,[1]DG!A:D,[1]DG!$D$2,)</f>
        <v>cái</v>
      </c>
      <c r="H1526" s="435">
        <f t="shared" si="274"/>
        <v>0</v>
      </c>
      <c r="I1526" s="435"/>
      <c r="J1526" s="435">
        <f t="shared" si="275"/>
        <v>0</v>
      </c>
      <c r="K1526" s="435"/>
      <c r="L1526" s="435"/>
      <c r="M1526" s="435"/>
      <c r="N1526" s="435"/>
      <c r="O1526" s="435"/>
      <c r="P1526" s="435">
        <f t="shared" si="276"/>
        <v>0</v>
      </c>
      <c r="Q1526" s="442"/>
      <c r="R1526" s="442"/>
      <c r="S1526" s="442"/>
      <c r="T1526" s="432">
        <f t="shared" si="278"/>
        <v>0</v>
      </c>
    </row>
    <row r="1527" spans="1:20" ht="22.2" hidden="1" customHeight="1">
      <c r="A1527" s="379"/>
      <c r="B1527" s="410" t="s">
        <v>880</v>
      </c>
      <c r="C1527" s="469" t="str">
        <f t="shared" si="270"/>
        <v xml:space="preserve"> </v>
      </c>
      <c r="D1527" s="440">
        <f>D1525</f>
        <v>0</v>
      </c>
      <c r="E1527" s="422"/>
      <c r="F1527" s="441" t="str">
        <f>VLOOKUP($B1527,[1]DG!A:D,[1]DG!$C$2,)</f>
        <v>Chân sứ đỉnh thẳng dài 870mm</v>
      </c>
      <c r="G1527" s="422" t="str">
        <f>VLOOKUP($B1527,[1]DG!A:D,[1]DG!$D$2,)</f>
        <v>cái</v>
      </c>
      <c r="H1527" s="435">
        <f t="shared" si="274"/>
        <v>0</v>
      </c>
      <c r="I1527" s="435"/>
      <c r="J1527" s="435">
        <f t="shared" si="275"/>
        <v>0</v>
      </c>
      <c r="K1527" s="435"/>
      <c r="L1527" s="435"/>
      <c r="M1527" s="435"/>
      <c r="N1527" s="435"/>
      <c r="O1527" s="435"/>
      <c r="P1527" s="435">
        <f t="shared" si="276"/>
        <v>0</v>
      </c>
      <c r="Q1527" s="442"/>
      <c r="R1527" s="442"/>
      <c r="S1527" s="442"/>
      <c r="T1527" s="432">
        <f t="shared" si="278"/>
        <v>0</v>
      </c>
    </row>
    <row r="1528" spans="1:20" ht="22.2" hidden="1" customHeight="1">
      <c r="A1528" s="379"/>
      <c r="B1528" s="410" t="s">
        <v>65</v>
      </c>
      <c r="C1528" s="469" t="str">
        <f t="shared" si="270"/>
        <v xml:space="preserve"> </v>
      </c>
      <c r="D1528" s="440">
        <f>D1525*2</f>
        <v>0</v>
      </c>
      <c r="E1528" s="422"/>
      <c r="F1528" s="441" t="str">
        <f>VLOOKUP($B1528,[1]DG!A:D,[1]DG!$C$2,)</f>
        <v>Boulon 16x300+ 2 long đền vuông D18-50x50x3/Zn</v>
      </c>
      <c r="G1528" s="422" t="str">
        <f>VLOOKUP($B1528,[1]DG!A:D,[1]DG!$D$2,)</f>
        <v>bộ</v>
      </c>
      <c r="H1528" s="435">
        <f t="shared" si="274"/>
        <v>0</v>
      </c>
      <c r="I1528" s="435"/>
      <c r="J1528" s="435">
        <f t="shared" si="275"/>
        <v>0</v>
      </c>
      <c r="K1528" s="435"/>
      <c r="L1528" s="435"/>
      <c r="M1528" s="435"/>
      <c r="N1528" s="435"/>
      <c r="O1528" s="435"/>
      <c r="P1528" s="435">
        <f t="shared" si="276"/>
        <v>0</v>
      </c>
      <c r="Q1528" s="442"/>
      <c r="R1528" s="442"/>
      <c r="S1528" s="442"/>
      <c r="T1528" s="432">
        <f t="shared" si="278"/>
        <v>0</v>
      </c>
    </row>
    <row r="1529" spans="1:20" ht="22.2" hidden="1" customHeight="1">
      <c r="A1529" s="379"/>
      <c r="B1529" s="485" t="s">
        <v>1127</v>
      </c>
      <c r="C1529" s="469" t="str">
        <f t="shared" si="270"/>
        <v xml:space="preserve"> </v>
      </c>
      <c r="D1529" s="446">
        <f>[1]pp_NC!DG184</f>
        <v>0</v>
      </c>
      <c r="E1529" s="422"/>
      <c r="F1529" s="486" t="s">
        <v>1128</v>
      </c>
      <c r="G1529" s="487" t="s">
        <v>375</v>
      </c>
      <c r="H1529" s="435">
        <f t="shared" si="274"/>
        <v>0</v>
      </c>
      <c r="I1529" s="436"/>
      <c r="J1529" s="435">
        <f t="shared" si="275"/>
        <v>0</v>
      </c>
      <c r="K1529" s="436"/>
      <c r="L1529" s="436"/>
      <c r="M1529" s="436"/>
      <c r="N1529" s="436"/>
      <c r="O1529" s="436"/>
      <c r="P1529" s="435">
        <f t="shared" si="276"/>
        <v>0</v>
      </c>
      <c r="Q1529" s="442"/>
      <c r="R1529" s="442"/>
      <c r="S1529" s="442"/>
      <c r="T1529" s="432">
        <f t="shared" si="278"/>
        <v>0</v>
      </c>
    </row>
    <row r="1530" spans="1:20" ht="22.2" hidden="1" customHeight="1">
      <c r="A1530" s="379"/>
      <c r="B1530" s="410" t="s">
        <v>138</v>
      </c>
      <c r="C1530" s="469" t="str">
        <f t="shared" ref="C1530:C1593" si="279">IF(OR(P1530&lt;&gt;0,H1530&lt;&gt;0),"x"," ")</f>
        <v xml:space="preserve"> </v>
      </c>
      <c r="D1530" s="446">
        <f>D1529*2</f>
        <v>0</v>
      </c>
      <c r="E1530" s="422"/>
      <c r="F1530" s="441" t="str">
        <f>VLOOKUP($B1530,[1]DG!A:D,[1]DG!$C$2,)</f>
        <v xml:space="preserve">Sứ đứng 24KV </v>
      </c>
      <c r="G1530" s="422" t="str">
        <f>VLOOKUP($B1530,[1]DG!A:D,[1]DG!$D$2,)</f>
        <v>cái</v>
      </c>
      <c r="H1530" s="435">
        <f t="shared" si="274"/>
        <v>0</v>
      </c>
      <c r="I1530" s="436"/>
      <c r="J1530" s="435">
        <f t="shared" si="275"/>
        <v>0</v>
      </c>
      <c r="K1530" s="436"/>
      <c r="L1530" s="436"/>
      <c r="M1530" s="436"/>
      <c r="N1530" s="436"/>
      <c r="O1530" s="436"/>
      <c r="P1530" s="435">
        <f t="shared" si="276"/>
        <v>0</v>
      </c>
      <c r="Q1530" s="442"/>
      <c r="R1530" s="442"/>
      <c r="S1530" s="442"/>
      <c r="T1530" s="432">
        <f t="shared" si="278"/>
        <v>0</v>
      </c>
    </row>
    <row r="1531" spans="1:20" ht="22.2" hidden="1" customHeight="1">
      <c r="A1531" s="379"/>
      <c r="B1531" s="410" t="s">
        <v>1129</v>
      </c>
      <c r="C1531" s="469" t="str">
        <f t="shared" si="279"/>
        <v xml:space="preserve"> </v>
      </c>
      <c r="D1531" s="446">
        <f>D1529*2</f>
        <v>0</v>
      </c>
      <c r="E1531" s="422"/>
      <c r="F1531" s="441" t="str">
        <f>VLOOKUP($B1531,[1]DG!A:D,[1]DG!$C$2,)</f>
        <v>Chân sứ đỉnh đỡ góc dài 870mm</v>
      </c>
      <c r="G1531" s="422" t="str">
        <f>VLOOKUP($B1531,[1]DG!A:D,[1]DG!$D$2,)</f>
        <v>cái</v>
      </c>
      <c r="H1531" s="435">
        <f t="shared" si="274"/>
        <v>0</v>
      </c>
      <c r="I1531" s="436"/>
      <c r="J1531" s="435">
        <f t="shared" si="275"/>
        <v>0</v>
      </c>
      <c r="K1531" s="436"/>
      <c r="L1531" s="436"/>
      <c r="M1531" s="436"/>
      <c r="N1531" s="436"/>
      <c r="O1531" s="436"/>
      <c r="P1531" s="435">
        <f t="shared" si="276"/>
        <v>0</v>
      </c>
      <c r="Q1531" s="442"/>
      <c r="R1531" s="442"/>
      <c r="S1531" s="442"/>
      <c r="T1531" s="432">
        <f t="shared" si="278"/>
        <v>0</v>
      </c>
    </row>
    <row r="1532" spans="1:20" ht="22.2" hidden="1" customHeight="1">
      <c r="A1532" s="379"/>
      <c r="B1532" s="410" t="s">
        <v>65</v>
      </c>
      <c r="C1532" s="469" t="str">
        <f t="shared" si="279"/>
        <v xml:space="preserve"> </v>
      </c>
      <c r="D1532" s="446">
        <f>D1529*2</f>
        <v>0</v>
      </c>
      <c r="E1532" s="422"/>
      <c r="F1532" s="441" t="str">
        <f>VLOOKUP($B1532,[1]DG!A:D,[1]DG!$C$2,)</f>
        <v>Boulon 16x300+ 2 long đền vuông D18-50x50x3/Zn</v>
      </c>
      <c r="G1532" s="422" t="str">
        <f>VLOOKUP($B1532,[1]DG!A:D,[1]DG!$D$2,)</f>
        <v>bộ</v>
      </c>
      <c r="H1532" s="435">
        <f t="shared" si="274"/>
        <v>0</v>
      </c>
      <c r="I1532" s="436"/>
      <c r="J1532" s="435">
        <f t="shared" si="275"/>
        <v>0</v>
      </c>
      <c r="K1532" s="436"/>
      <c r="L1532" s="436"/>
      <c r="M1532" s="436"/>
      <c r="N1532" s="436"/>
      <c r="O1532" s="436"/>
      <c r="P1532" s="435">
        <f t="shared" si="276"/>
        <v>0</v>
      </c>
      <c r="Q1532" s="442"/>
      <c r="R1532" s="442"/>
      <c r="S1532" s="442"/>
      <c r="T1532" s="432">
        <f t="shared" si="278"/>
        <v>0</v>
      </c>
    </row>
    <row r="1533" spans="1:20" ht="22.2" hidden="1" customHeight="1">
      <c r="A1533" s="379"/>
      <c r="B1533" s="485" t="s">
        <v>1130</v>
      </c>
      <c r="C1533" s="469" t="str">
        <f t="shared" si="279"/>
        <v xml:space="preserve"> </v>
      </c>
      <c r="D1533" s="440"/>
      <c r="E1533" s="422"/>
      <c r="F1533" s="486" t="s">
        <v>1131</v>
      </c>
      <c r="G1533" s="487" t="s">
        <v>1132</v>
      </c>
      <c r="H1533" s="435">
        <f t="shared" si="274"/>
        <v>0</v>
      </c>
      <c r="I1533" s="435"/>
      <c r="J1533" s="435">
        <f t="shared" si="275"/>
        <v>0</v>
      </c>
      <c r="K1533" s="435"/>
      <c r="L1533" s="435"/>
      <c r="M1533" s="435"/>
      <c r="N1533" s="435"/>
      <c r="O1533" s="435"/>
      <c r="P1533" s="435">
        <f t="shared" si="276"/>
        <v>0</v>
      </c>
      <c r="Q1533" s="442"/>
      <c r="R1533" s="442"/>
      <c r="S1533" s="442"/>
      <c r="T1533" s="432">
        <f t="shared" si="278"/>
        <v>0</v>
      </c>
    </row>
    <row r="1534" spans="1:20" ht="22.2" hidden="1" customHeight="1">
      <c r="A1534" s="379"/>
      <c r="B1534" s="410" t="s">
        <v>1133</v>
      </c>
      <c r="C1534" s="469" t="str">
        <f t="shared" si="279"/>
        <v xml:space="preserve"> </v>
      </c>
      <c r="D1534" s="440">
        <f>D1533*2</f>
        <v>0</v>
      </c>
      <c r="E1534" s="422"/>
      <c r="F1534" s="441" t="str">
        <f>VLOOKUP($B1534,[1]DG!A:D,[1]DG!$C$2,)</f>
        <v>Sứ treo loại 70kN</v>
      </c>
      <c r="G1534" s="422" t="str">
        <f>VLOOKUP($B1534,[1]DG!A:D,[1]DG!$D$2,)</f>
        <v>bát</v>
      </c>
      <c r="H1534" s="435">
        <f t="shared" si="274"/>
        <v>0</v>
      </c>
      <c r="I1534" s="435"/>
      <c r="J1534" s="435">
        <f t="shared" si="275"/>
        <v>0</v>
      </c>
      <c r="K1534" s="435"/>
      <c r="L1534" s="435"/>
      <c r="M1534" s="435"/>
      <c r="N1534" s="435"/>
      <c r="O1534" s="435"/>
      <c r="P1534" s="435">
        <f t="shared" si="276"/>
        <v>0</v>
      </c>
      <c r="Q1534" s="442"/>
      <c r="R1534" s="442"/>
      <c r="S1534" s="442"/>
      <c r="T1534" s="432">
        <f t="shared" si="278"/>
        <v>0</v>
      </c>
    </row>
    <row r="1535" spans="1:20" ht="22.2" hidden="1" customHeight="1">
      <c r="A1535" s="379"/>
      <c r="B1535" s="410" t="s">
        <v>478</v>
      </c>
      <c r="C1535" s="469" t="str">
        <f t="shared" si="279"/>
        <v xml:space="preserve"> </v>
      </c>
      <c r="D1535" s="440">
        <f>D1533*2</f>
        <v>0</v>
      </c>
      <c r="E1535" s="422"/>
      <c r="F1535" s="441" t="str">
        <f>VLOOKUP($B1535,[1]DG!A:D,[1]DG!$C$2,)</f>
        <v xml:space="preserve">Móc treo chữ U </v>
      </c>
      <c r="G1535" s="422" t="str">
        <f>VLOOKUP($B1535,[1]DG!A:D,[1]DG!$D$2,)</f>
        <v>cái</v>
      </c>
      <c r="H1535" s="435">
        <f t="shared" si="274"/>
        <v>0</v>
      </c>
      <c r="I1535" s="435"/>
      <c r="J1535" s="435">
        <f t="shared" si="275"/>
        <v>0</v>
      </c>
      <c r="K1535" s="435"/>
      <c r="L1535" s="435"/>
      <c r="M1535" s="435"/>
      <c r="N1535" s="435"/>
      <c r="O1535" s="435"/>
      <c r="P1535" s="435">
        <f t="shared" si="276"/>
        <v>0</v>
      </c>
      <c r="Q1535" s="442"/>
      <c r="R1535" s="442"/>
      <c r="S1535" s="442"/>
      <c r="T1535" s="432">
        <f t="shared" si="278"/>
        <v>0</v>
      </c>
    </row>
    <row r="1536" spans="1:20" ht="22.2" hidden="1" customHeight="1">
      <c r="A1536" s="379"/>
      <c r="B1536" s="410" t="s">
        <v>1134</v>
      </c>
      <c r="C1536" s="469" t="str">
        <f t="shared" si="279"/>
        <v xml:space="preserve"> </v>
      </c>
      <c r="D1536" s="440">
        <f>D1533</f>
        <v>0</v>
      </c>
      <c r="E1536" s="422"/>
      <c r="F1536" s="441" t="str">
        <f>VLOOKUP($B1536,[1]DG!A:D,[1]DG!$C$2,)</f>
        <v>Vòng treo đầu tròn</v>
      </c>
      <c r="G1536" s="422" t="str">
        <f>VLOOKUP($B1536,[1]DG!A:D,[1]DG!$D$2,)</f>
        <v>cái</v>
      </c>
      <c r="H1536" s="435">
        <f t="shared" si="274"/>
        <v>0</v>
      </c>
      <c r="I1536" s="435"/>
      <c r="J1536" s="435">
        <f t="shared" si="275"/>
        <v>0</v>
      </c>
      <c r="K1536" s="435"/>
      <c r="L1536" s="435"/>
      <c r="M1536" s="435"/>
      <c r="N1536" s="435"/>
      <c r="O1536" s="435"/>
      <c r="P1536" s="435">
        <f t="shared" si="276"/>
        <v>0</v>
      </c>
      <c r="Q1536" s="442"/>
      <c r="R1536" s="442"/>
      <c r="S1536" s="442"/>
      <c r="T1536" s="432">
        <f t="shared" si="278"/>
        <v>0</v>
      </c>
    </row>
    <row r="1537" spans="1:20" ht="22.2" hidden="1" customHeight="1">
      <c r="A1537" s="379"/>
      <c r="B1537" s="410" t="s">
        <v>1135</v>
      </c>
      <c r="C1537" s="469" t="str">
        <f t="shared" si="279"/>
        <v xml:space="preserve"> </v>
      </c>
      <c r="D1537" s="440">
        <f>D1533</f>
        <v>0</v>
      </c>
      <c r="E1537" s="422"/>
      <c r="F1537" s="441" t="str">
        <f>VLOOKUP($B1537,[1]DG!A:D,[1]DG!$C$2,)</f>
        <v>Mắt nối đơn</v>
      </c>
      <c r="G1537" s="422" t="str">
        <f>VLOOKUP($B1537,[1]DG!A:D,[1]DG!$D$2,)</f>
        <v>cái</v>
      </c>
      <c r="H1537" s="435">
        <f t="shared" si="274"/>
        <v>0</v>
      </c>
      <c r="I1537" s="435"/>
      <c r="J1537" s="435">
        <f t="shared" si="275"/>
        <v>0</v>
      </c>
      <c r="K1537" s="435"/>
      <c r="L1537" s="435"/>
      <c r="M1537" s="435"/>
      <c r="N1537" s="435"/>
      <c r="O1537" s="435"/>
      <c r="P1537" s="435">
        <f t="shared" si="276"/>
        <v>0</v>
      </c>
      <c r="Q1537" s="442"/>
      <c r="R1537" s="442"/>
      <c r="S1537" s="442"/>
      <c r="T1537" s="432">
        <f t="shared" si="278"/>
        <v>0</v>
      </c>
    </row>
    <row r="1538" spans="1:20" ht="22.2" hidden="1" customHeight="1">
      <c r="A1538" s="379"/>
      <c r="B1538" s="410" t="s">
        <v>1136</v>
      </c>
      <c r="C1538" s="469" t="str">
        <f t="shared" si="279"/>
        <v xml:space="preserve"> </v>
      </c>
      <c r="D1538" s="440">
        <f>D1533</f>
        <v>0</v>
      </c>
      <c r="E1538" s="422"/>
      <c r="F1538" s="441" t="str">
        <f>VLOOKUP($B1538,[1]DG!A:D,[1]DG!$C$2,)</f>
        <v>Boulon mắt 16x300+ 2 long đền vuông D18-50x50x3/Zn</v>
      </c>
      <c r="G1538" s="422" t="str">
        <f>VLOOKUP($B1538,[1]DG!A:D,[1]DG!$D$2,)</f>
        <v>bộ</v>
      </c>
      <c r="H1538" s="435">
        <f t="shared" si="274"/>
        <v>0</v>
      </c>
      <c r="I1538" s="435"/>
      <c r="J1538" s="435">
        <f t="shared" si="275"/>
        <v>0</v>
      </c>
      <c r="K1538" s="435"/>
      <c r="L1538" s="435"/>
      <c r="M1538" s="435"/>
      <c r="N1538" s="435"/>
      <c r="O1538" s="435"/>
      <c r="P1538" s="435">
        <f t="shared" si="276"/>
        <v>0</v>
      </c>
      <c r="Q1538" s="442"/>
      <c r="R1538" s="442"/>
      <c r="S1538" s="442"/>
      <c r="T1538" s="432">
        <f t="shared" si="278"/>
        <v>0</v>
      </c>
    </row>
    <row r="1539" spans="1:20" ht="22.2" hidden="1" customHeight="1">
      <c r="A1539" s="379"/>
      <c r="B1539" s="485" t="s">
        <v>1137</v>
      </c>
      <c r="C1539" s="469" t="str">
        <f t="shared" si="279"/>
        <v xml:space="preserve"> </v>
      </c>
      <c r="D1539" s="440"/>
      <c r="E1539" s="422"/>
      <c r="F1539" s="490" t="s">
        <v>1138</v>
      </c>
      <c r="G1539" s="487" t="s">
        <v>1132</v>
      </c>
      <c r="H1539" s="435">
        <f t="shared" si="274"/>
        <v>0</v>
      </c>
      <c r="I1539" s="435"/>
      <c r="J1539" s="435">
        <f t="shared" si="275"/>
        <v>0</v>
      </c>
      <c r="K1539" s="435"/>
      <c r="L1539" s="435"/>
      <c r="M1539" s="435"/>
      <c r="N1539" s="435"/>
      <c r="O1539" s="435"/>
      <c r="P1539" s="435">
        <f t="shared" si="276"/>
        <v>0</v>
      </c>
      <c r="Q1539" s="442"/>
      <c r="R1539" s="442"/>
      <c r="S1539" s="442"/>
      <c r="T1539" s="432">
        <f t="shared" si="278"/>
        <v>0</v>
      </c>
    </row>
    <row r="1540" spans="1:20" ht="22.2" hidden="1" customHeight="1">
      <c r="A1540" s="379"/>
      <c r="B1540" s="410" t="s">
        <v>1139</v>
      </c>
      <c r="C1540" s="469" t="str">
        <f t="shared" si="279"/>
        <v xml:space="preserve"> </v>
      </c>
      <c r="D1540" s="440">
        <f>D1539*0</f>
        <v>0</v>
      </c>
      <c r="E1540" s="422"/>
      <c r="F1540" s="441" t="str">
        <f>VLOOKUP($B1540,[1]DG!A:D,[1]DG!$C$2,)</f>
        <v>Sứ treo loại 70kN</v>
      </c>
      <c r="G1540" s="422" t="str">
        <f>VLOOKUP($B1540,[1]DG!A:D,[1]DG!$D$2,)</f>
        <v>bát</v>
      </c>
      <c r="H1540" s="435">
        <f t="shared" si="274"/>
        <v>0</v>
      </c>
      <c r="I1540" s="435"/>
      <c r="J1540" s="435">
        <f t="shared" si="275"/>
        <v>0</v>
      </c>
      <c r="K1540" s="435"/>
      <c r="L1540" s="435"/>
      <c r="M1540" s="435"/>
      <c r="N1540" s="435"/>
      <c r="O1540" s="435"/>
      <c r="P1540" s="435">
        <f t="shared" si="276"/>
        <v>0</v>
      </c>
      <c r="Q1540" s="442"/>
      <c r="R1540" s="442"/>
      <c r="S1540" s="442"/>
      <c r="T1540" s="432">
        <f t="shared" si="278"/>
        <v>0</v>
      </c>
    </row>
    <row r="1541" spans="1:20" ht="22.2" hidden="1" customHeight="1">
      <c r="A1541" s="379"/>
      <c r="B1541" s="410" t="s">
        <v>478</v>
      </c>
      <c r="C1541" s="469" t="str">
        <f t="shared" si="279"/>
        <v xml:space="preserve"> </v>
      </c>
      <c r="D1541" s="440">
        <f>D1539*2</f>
        <v>0</v>
      </c>
      <c r="E1541" s="422"/>
      <c r="F1541" s="441" t="str">
        <f>VLOOKUP($B1541,[1]DG!A:D,[1]DG!$C$2,)</f>
        <v xml:space="preserve">Móc treo chữ U </v>
      </c>
      <c r="G1541" s="422" t="str">
        <f>VLOOKUP($B1541,[1]DG!A:D,[1]DG!$D$2,)</f>
        <v>cái</v>
      </c>
      <c r="H1541" s="435">
        <f t="shared" si="274"/>
        <v>0</v>
      </c>
      <c r="I1541" s="435"/>
      <c r="J1541" s="435">
        <f t="shared" si="275"/>
        <v>0</v>
      </c>
      <c r="K1541" s="435"/>
      <c r="L1541" s="435"/>
      <c r="M1541" s="435"/>
      <c r="N1541" s="435"/>
      <c r="O1541" s="435"/>
      <c r="P1541" s="435">
        <f t="shared" si="276"/>
        <v>0</v>
      </c>
      <c r="Q1541" s="442"/>
      <c r="R1541" s="442"/>
      <c r="S1541" s="442"/>
      <c r="T1541" s="432">
        <f t="shared" si="278"/>
        <v>0</v>
      </c>
    </row>
    <row r="1542" spans="1:20" ht="22.2" hidden="1" customHeight="1">
      <c r="A1542" s="379"/>
      <c r="B1542" s="410" t="s">
        <v>1134</v>
      </c>
      <c r="C1542" s="469" t="str">
        <f t="shared" si="279"/>
        <v xml:space="preserve"> </v>
      </c>
      <c r="D1542" s="440">
        <f>D1539</f>
        <v>0</v>
      </c>
      <c r="E1542" s="422"/>
      <c r="F1542" s="441" t="str">
        <f>VLOOKUP($B1542,[1]DG!A:D,[1]DG!$C$2,)</f>
        <v>Vòng treo đầu tròn</v>
      </c>
      <c r="G1542" s="422" t="str">
        <f>VLOOKUP($B1542,[1]DG!A:D,[1]DG!$D$2,)</f>
        <v>cái</v>
      </c>
      <c r="H1542" s="435">
        <f t="shared" si="274"/>
        <v>0</v>
      </c>
      <c r="I1542" s="435"/>
      <c r="J1542" s="435">
        <f t="shared" si="275"/>
        <v>0</v>
      </c>
      <c r="K1542" s="435"/>
      <c r="L1542" s="435"/>
      <c r="M1542" s="435"/>
      <c r="N1542" s="435"/>
      <c r="O1542" s="435"/>
      <c r="P1542" s="435">
        <f t="shared" si="276"/>
        <v>0</v>
      </c>
      <c r="Q1542" s="442"/>
      <c r="R1542" s="442"/>
      <c r="S1542" s="442"/>
      <c r="T1542" s="432">
        <f t="shared" si="278"/>
        <v>0</v>
      </c>
    </row>
    <row r="1543" spans="1:20" ht="22.2" hidden="1" customHeight="1">
      <c r="A1543" s="379"/>
      <c r="B1543" s="410" t="s">
        <v>1135</v>
      </c>
      <c r="C1543" s="469" t="str">
        <f t="shared" si="279"/>
        <v xml:space="preserve"> </v>
      </c>
      <c r="D1543" s="440">
        <f>D1539</f>
        <v>0</v>
      </c>
      <c r="E1543" s="422"/>
      <c r="F1543" s="441" t="str">
        <f>VLOOKUP($B1543,[1]DG!A:D,[1]DG!$C$2,)</f>
        <v>Mắt nối đơn</v>
      </c>
      <c r="G1543" s="422" t="str">
        <f>VLOOKUP($B1543,[1]DG!A:D,[1]DG!$D$2,)</f>
        <v>cái</v>
      </c>
      <c r="H1543" s="435">
        <f t="shared" si="274"/>
        <v>0</v>
      </c>
      <c r="I1543" s="435"/>
      <c r="J1543" s="435">
        <f t="shared" si="275"/>
        <v>0</v>
      </c>
      <c r="K1543" s="435"/>
      <c r="L1543" s="435"/>
      <c r="M1543" s="435"/>
      <c r="N1543" s="435"/>
      <c r="O1543" s="435"/>
      <c r="P1543" s="435">
        <f t="shared" si="276"/>
        <v>0</v>
      </c>
      <c r="Q1543" s="442"/>
      <c r="R1543" s="442"/>
      <c r="S1543" s="442"/>
      <c r="T1543" s="432">
        <f t="shared" si="278"/>
        <v>0</v>
      </c>
    </row>
    <row r="1544" spans="1:20" ht="22.2" hidden="1" customHeight="1">
      <c r="A1544" s="379"/>
      <c r="B1544" s="489" t="s">
        <v>1140</v>
      </c>
      <c r="C1544" s="469" t="str">
        <f t="shared" si="279"/>
        <v xml:space="preserve"> </v>
      </c>
      <c r="D1544" s="440">
        <f>[1]pp_NC!DJ95</f>
        <v>0</v>
      </c>
      <c r="E1544" s="422"/>
      <c r="F1544" s="486" t="s">
        <v>1141</v>
      </c>
      <c r="G1544" s="487" t="s">
        <v>1132</v>
      </c>
      <c r="H1544" s="435">
        <f t="shared" si="274"/>
        <v>0</v>
      </c>
      <c r="I1544" s="435"/>
      <c r="J1544" s="435">
        <f t="shared" si="275"/>
        <v>0</v>
      </c>
      <c r="K1544" s="435"/>
      <c r="L1544" s="435"/>
      <c r="M1544" s="435"/>
      <c r="N1544" s="435"/>
      <c r="O1544" s="435"/>
      <c r="P1544" s="435">
        <f t="shared" si="276"/>
        <v>0</v>
      </c>
      <c r="Q1544" s="442"/>
      <c r="R1544" s="442"/>
      <c r="S1544" s="442"/>
      <c r="T1544" s="432">
        <f t="shared" si="278"/>
        <v>0</v>
      </c>
    </row>
    <row r="1545" spans="1:20" ht="22.2" hidden="1" customHeight="1">
      <c r="A1545" s="379"/>
      <c r="B1545" s="406" t="s">
        <v>477</v>
      </c>
      <c r="C1545" s="469" t="str">
        <f t="shared" si="279"/>
        <v xml:space="preserve"> </v>
      </c>
      <c r="D1545" s="440">
        <f>D1544</f>
        <v>0</v>
      </c>
      <c r="E1545" s="422"/>
      <c r="F1545" s="441" t="str">
        <f>VLOOKUP($B1545,[1]DG!A:D,[1]DG!$C$2,)</f>
        <v>Sứ treo polymer</v>
      </c>
      <c r="G1545" s="422" t="str">
        <f>VLOOKUP($B1545,[1]DG!A:D,[1]DG!$D$2,)</f>
        <v>chuỗi</v>
      </c>
      <c r="H1545" s="435">
        <f t="shared" si="274"/>
        <v>0</v>
      </c>
      <c r="I1545" s="435"/>
      <c r="J1545" s="435">
        <f t="shared" si="275"/>
        <v>0</v>
      </c>
      <c r="K1545" s="435"/>
      <c r="L1545" s="435"/>
      <c r="M1545" s="435"/>
      <c r="N1545" s="435"/>
      <c r="O1545" s="435"/>
      <c r="P1545" s="435">
        <f t="shared" si="276"/>
        <v>0</v>
      </c>
      <c r="Q1545" s="442"/>
      <c r="R1545" s="442"/>
      <c r="S1545" s="442"/>
      <c r="T1545" s="432">
        <f t="shared" si="278"/>
        <v>0</v>
      </c>
    </row>
    <row r="1546" spans="1:20" ht="22.2" hidden="1" customHeight="1">
      <c r="A1546" s="379"/>
      <c r="B1546" s="406" t="s">
        <v>478</v>
      </c>
      <c r="C1546" s="469" t="str">
        <f t="shared" si="279"/>
        <v xml:space="preserve"> </v>
      </c>
      <c r="D1546" s="440">
        <f>D1544*2</f>
        <v>0</v>
      </c>
      <c r="E1546" s="422"/>
      <c r="F1546" s="441" t="str">
        <f>VLOOKUP($B1546,[1]DG!A:D,[1]DG!$C$2,)</f>
        <v xml:space="preserve">Móc treo chữ U </v>
      </c>
      <c r="G1546" s="422" t="str">
        <f>VLOOKUP($B1546,[1]DG!A:D,[1]DG!$D$2,)</f>
        <v>cái</v>
      </c>
      <c r="H1546" s="435">
        <f t="shared" si="274"/>
        <v>0</v>
      </c>
      <c r="I1546" s="435"/>
      <c r="J1546" s="435">
        <f t="shared" si="275"/>
        <v>0</v>
      </c>
      <c r="K1546" s="435"/>
      <c r="L1546" s="435"/>
      <c r="M1546" s="435"/>
      <c r="N1546" s="435"/>
      <c r="O1546" s="435"/>
      <c r="P1546" s="435">
        <f t="shared" si="276"/>
        <v>0</v>
      </c>
      <c r="Q1546" s="442"/>
      <c r="R1546" s="442"/>
      <c r="S1546" s="442"/>
      <c r="T1546" s="432">
        <f t="shared" si="278"/>
        <v>0</v>
      </c>
    </row>
    <row r="1547" spans="1:20" ht="22.2" hidden="1" customHeight="1">
      <c r="A1547" s="379"/>
      <c r="B1547" s="406" t="s">
        <v>1120</v>
      </c>
      <c r="C1547" s="469" t="str">
        <f t="shared" si="279"/>
        <v xml:space="preserve"> </v>
      </c>
      <c r="D1547" s="440">
        <f>D1544</f>
        <v>0</v>
      </c>
      <c r="E1547" s="422"/>
      <c r="F1547" s="441" t="str">
        <f>VLOOKUP($B1547,[1]DG!A:D,[1]DG!$C$2,)</f>
        <v>Khóa néo dây cỡ dây 50</v>
      </c>
      <c r="G1547" s="422" t="str">
        <f>VLOOKUP($B1547,[1]DG!A:D,[1]DG!$D$2,)</f>
        <v>cái</v>
      </c>
      <c r="H1547" s="435">
        <f t="shared" si="274"/>
        <v>0</v>
      </c>
      <c r="I1547" s="435"/>
      <c r="J1547" s="435">
        <f t="shared" si="275"/>
        <v>0</v>
      </c>
      <c r="K1547" s="435"/>
      <c r="L1547" s="435"/>
      <c r="M1547" s="435"/>
      <c r="N1547" s="435"/>
      <c r="O1547" s="435"/>
      <c r="P1547" s="435">
        <f t="shared" si="276"/>
        <v>0</v>
      </c>
      <c r="Q1547" s="442"/>
      <c r="R1547" s="442"/>
      <c r="S1547" s="442"/>
      <c r="T1547" s="432">
        <f t="shared" si="278"/>
        <v>0</v>
      </c>
    </row>
    <row r="1548" spans="1:20" ht="22.2" hidden="1" customHeight="1">
      <c r="A1548" s="379"/>
      <c r="B1548" s="410" t="s">
        <v>1134</v>
      </c>
      <c r="C1548" s="469" t="str">
        <f t="shared" si="279"/>
        <v xml:space="preserve"> </v>
      </c>
      <c r="D1548" s="440"/>
      <c r="E1548" s="422"/>
      <c r="F1548" s="441" t="str">
        <f>VLOOKUP($B1548,[1]DG!A:D,[1]DG!$C$2,)</f>
        <v>Vòng treo đầu tròn</v>
      </c>
      <c r="G1548" s="422" t="str">
        <f>VLOOKUP($B1548,[1]DG!A:D,[1]DG!$D$2,)</f>
        <v>cái</v>
      </c>
      <c r="H1548" s="435">
        <f t="shared" si="274"/>
        <v>0</v>
      </c>
      <c r="I1548" s="435"/>
      <c r="J1548" s="435">
        <f t="shared" si="275"/>
        <v>0</v>
      </c>
      <c r="K1548" s="435"/>
      <c r="L1548" s="435"/>
      <c r="M1548" s="435"/>
      <c r="N1548" s="435"/>
      <c r="O1548" s="435"/>
      <c r="P1548" s="435">
        <f t="shared" si="276"/>
        <v>0</v>
      </c>
      <c r="Q1548" s="442"/>
      <c r="R1548" s="442"/>
      <c r="S1548" s="442"/>
      <c r="T1548" s="432">
        <f t="shared" si="278"/>
        <v>0</v>
      </c>
    </row>
    <row r="1549" spans="1:20" ht="22.2" hidden="1" customHeight="1">
      <c r="A1549" s="379"/>
      <c r="B1549" s="410" t="s">
        <v>1135</v>
      </c>
      <c r="C1549" s="469" t="str">
        <f t="shared" si="279"/>
        <v xml:space="preserve"> </v>
      </c>
      <c r="D1549" s="440"/>
      <c r="E1549" s="422"/>
      <c r="F1549" s="441" t="str">
        <f>VLOOKUP($B1549,[1]DG!A:D,[1]DG!$C$2,)</f>
        <v>Mắt nối đơn</v>
      </c>
      <c r="G1549" s="422" t="str">
        <f>VLOOKUP($B1549,[1]DG!A:D,[1]DG!$D$2,)</f>
        <v>cái</v>
      </c>
      <c r="H1549" s="435">
        <f t="shared" si="274"/>
        <v>0</v>
      </c>
      <c r="I1549" s="435"/>
      <c r="J1549" s="435">
        <f t="shared" si="275"/>
        <v>0</v>
      </c>
      <c r="K1549" s="435"/>
      <c r="L1549" s="435"/>
      <c r="M1549" s="435"/>
      <c r="N1549" s="435"/>
      <c r="O1549" s="435"/>
      <c r="P1549" s="435">
        <f t="shared" si="276"/>
        <v>0</v>
      </c>
      <c r="Q1549" s="442"/>
      <c r="R1549" s="442"/>
      <c r="S1549" s="442"/>
      <c r="T1549" s="432">
        <f t="shared" si="278"/>
        <v>0</v>
      </c>
    </row>
    <row r="1550" spans="1:20" ht="22.2" hidden="1" customHeight="1">
      <c r="A1550" s="379"/>
      <c r="B1550" s="491"/>
      <c r="C1550" s="469" t="str">
        <f t="shared" si="279"/>
        <v xml:space="preserve"> </v>
      </c>
      <c r="D1550" s="440"/>
      <c r="E1550" s="422"/>
      <c r="F1550" s="492" t="s">
        <v>1142</v>
      </c>
      <c r="G1550" s="422"/>
      <c r="H1550" s="435">
        <f t="shared" si="274"/>
        <v>0</v>
      </c>
      <c r="I1550" s="435"/>
      <c r="J1550" s="435">
        <f t="shared" si="275"/>
        <v>0</v>
      </c>
      <c r="K1550" s="435"/>
      <c r="L1550" s="435"/>
      <c r="M1550" s="435"/>
      <c r="N1550" s="435"/>
      <c r="O1550" s="435"/>
      <c r="P1550" s="435">
        <f t="shared" si="276"/>
        <v>0</v>
      </c>
      <c r="Q1550" s="442"/>
      <c r="R1550" s="442"/>
      <c r="S1550" s="442"/>
      <c r="T1550" s="432">
        <f t="shared" si="278"/>
        <v>0</v>
      </c>
    </row>
    <row r="1551" spans="1:20" ht="22.2" hidden="1" customHeight="1">
      <c r="A1551" s="493"/>
      <c r="B1551" s="491" t="s">
        <v>1143</v>
      </c>
      <c r="C1551" s="469" t="str">
        <f t="shared" si="279"/>
        <v xml:space="preserve"> </v>
      </c>
      <c r="D1551" s="494"/>
      <c r="E1551" s="422"/>
      <c r="F1551" s="441" t="str">
        <f>VLOOKUP($B1551,[1]DG!A:D,[1]DG!$C$2,)</f>
        <v>Khóa đỡ dây cỡ dây 240</v>
      </c>
      <c r="G1551" s="422" t="str">
        <f>VLOOKUP($B1551,[1]DG!A:D,[1]DG!$D$2,)</f>
        <v>cái</v>
      </c>
      <c r="H1551" s="435">
        <f t="shared" si="274"/>
        <v>0</v>
      </c>
      <c r="I1551" s="435"/>
      <c r="J1551" s="435">
        <f t="shared" si="275"/>
        <v>0</v>
      </c>
      <c r="K1551" s="435"/>
      <c r="L1551" s="435"/>
      <c r="M1551" s="435"/>
      <c r="N1551" s="435"/>
      <c r="O1551" s="435"/>
      <c r="P1551" s="435">
        <f t="shared" si="276"/>
        <v>0</v>
      </c>
      <c r="Q1551" s="442"/>
      <c r="R1551" s="442"/>
      <c r="S1551" s="442"/>
      <c r="T1551" s="432">
        <f t="shared" si="278"/>
        <v>0</v>
      </c>
    </row>
    <row r="1552" spans="1:20" ht="22.2" hidden="1" customHeight="1">
      <c r="A1552" s="379"/>
      <c r="B1552" s="491" t="s">
        <v>1144</v>
      </c>
      <c r="C1552" s="469" t="str">
        <f t="shared" si="279"/>
        <v xml:space="preserve"> </v>
      </c>
      <c r="D1552" s="494"/>
      <c r="E1552" s="422"/>
      <c r="F1552" s="441" t="str">
        <f>VLOOKUP($B1552,[1]DG!A:D,[1]DG!$C$2,)</f>
        <v>Khóa đỡ dây cỡ dây 185</v>
      </c>
      <c r="G1552" s="422" t="str">
        <f>VLOOKUP($B1552,[1]DG!A:D,[1]DG!$D$2,)</f>
        <v>cái</v>
      </c>
      <c r="H1552" s="435">
        <f t="shared" si="274"/>
        <v>0</v>
      </c>
      <c r="I1552" s="435"/>
      <c r="J1552" s="435">
        <f t="shared" si="275"/>
        <v>0</v>
      </c>
      <c r="K1552" s="435"/>
      <c r="L1552" s="435"/>
      <c r="M1552" s="435"/>
      <c r="N1552" s="435"/>
      <c r="O1552" s="435"/>
      <c r="P1552" s="435">
        <f t="shared" si="276"/>
        <v>0</v>
      </c>
      <c r="Q1552" s="442"/>
      <c r="R1552" s="442"/>
      <c r="S1552" s="442"/>
      <c r="T1552" s="432">
        <f t="shared" si="278"/>
        <v>0</v>
      </c>
    </row>
    <row r="1553" spans="1:20" ht="22.2" hidden="1" customHeight="1">
      <c r="A1553" s="379"/>
      <c r="B1553" s="491" t="s">
        <v>1145</v>
      </c>
      <c r="C1553" s="469" t="str">
        <f t="shared" si="279"/>
        <v xml:space="preserve"> </v>
      </c>
      <c r="D1553" s="494"/>
      <c r="E1553" s="422"/>
      <c r="F1553" s="441" t="str">
        <f>VLOOKUP($B1553,[1]DG!A:D,[1]DG!$C$2,)</f>
        <v>Khóa đỡ dây cỡ dây 150</v>
      </c>
      <c r="G1553" s="422" t="str">
        <f>VLOOKUP($B1553,[1]DG!A:D,[1]DG!$D$2,)</f>
        <v>cái</v>
      </c>
      <c r="H1553" s="435">
        <f t="shared" si="274"/>
        <v>0</v>
      </c>
      <c r="I1553" s="435"/>
      <c r="J1553" s="435">
        <f t="shared" si="275"/>
        <v>0</v>
      </c>
      <c r="K1553" s="435"/>
      <c r="L1553" s="435"/>
      <c r="M1553" s="435"/>
      <c r="N1553" s="435"/>
      <c r="O1553" s="435"/>
      <c r="P1553" s="435">
        <f t="shared" si="276"/>
        <v>0</v>
      </c>
      <c r="Q1553" s="442"/>
      <c r="R1553" s="442"/>
      <c r="S1553" s="442"/>
      <c r="T1553" s="432">
        <f t="shared" si="278"/>
        <v>0</v>
      </c>
    </row>
    <row r="1554" spans="1:20" ht="22.2" hidden="1" customHeight="1">
      <c r="A1554" s="379"/>
      <c r="B1554" s="491" t="s">
        <v>1146</v>
      </c>
      <c r="C1554" s="469" t="str">
        <f t="shared" si="279"/>
        <v xml:space="preserve"> </v>
      </c>
      <c r="D1554" s="494"/>
      <c r="E1554" s="422"/>
      <c r="F1554" s="441" t="str">
        <f>VLOOKUP($B1554,[1]DG!A:D,[1]DG!$C$2,)</f>
        <v>Khóa đỡ dây cỡ dây 120</v>
      </c>
      <c r="G1554" s="422" t="str">
        <f>VLOOKUP($B1554,[1]DG!A:D,[1]DG!$D$2,)</f>
        <v>cái</v>
      </c>
      <c r="H1554" s="435">
        <f t="shared" si="274"/>
        <v>0</v>
      </c>
      <c r="I1554" s="435"/>
      <c r="J1554" s="435">
        <f t="shared" si="275"/>
        <v>0</v>
      </c>
      <c r="K1554" s="435"/>
      <c r="L1554" s="435"/>
      <c r="M1554" s="435"/>
      <c r="N1554" s="435"/>
      <c r="O1554" s="435"/>
      <c r="P1554" s="435">
        <f t="shared" si="276"/>
        <v>0</v>
      </c>
      <c r="Q1554" s="442"/>
      <c r="R1554" s="442"/>
      <c r="S1554" s="442"/>
      <c r="T1554" s="432">
        <f t="shared" si="278"/>
        <v>0</v>
      </c>
    </row>
    <row r="1555" spans="1:20" ht="22.2" hidden="1" customHeight="1">
      <c r="A1555" s="379"/>
      <c r="B1555" s="491" t="s">
        <v>1147</v>
      </c>
      <c r="C1555" s="469" t="str">
        <f t="shared" si="279"/>
        <v xml:space="preserve"> </v>
      </c>
      <c r="D1555" s="494"/>
      <c r="E1555" s="422"/>
      <c r="F1555" s="441" t="str">
        <f>VLOOKUP($B1555,[1]DG!A:D,[1]DG!$C$2,)</f>
        <v>Khóa đỡ dây cỡ dây 95</v>
      </c>
      <c r="G1555" s="422" t="str">
        <f>VLOOKUP($B1555,[1]DG!A:D,[1]DG!$D$2,)</f>
        <v>cái</v>
      </c>
      <c r="H1555" s="435">
        <f t="shared" si="274"/>
        <v>0</v>
      </c>
      <c r="I1555" s="435"/>
      <c r="J1555" s="435">
        <f t="shared" si="275"/>
        <v>0</v>
      </c>
      <c r="K1555" s="435"/>
      <c r="L1555" s="435"/>
      <c r="M1555" s="435"/>
      <c r="N1555" s="435"/>
      <c r="O1555" s="435"/>
      <c r="P1555" s="435">
        <f t="shared" si="276"/>
        <v>0</v>
      </c>
      <c r="Q1555" s="442"/>
      <c r="R1555" s="442"/>
      <c r="S1555" s="442"/>
      <c r="T1555" s="432">
        <f t="shared" si="278"/>
        <v>0</v>
      </c>
    </row>
    <row r="1556" spans="1:20" ht="22.2" hidden="1" customHeight="1">
      <c r="A1556" s="379"/>
      <c r="B1556" s="491" t="s">
        <v>1148</v>
      </c>
      <c r="C1556" s="469" t="str">
        <f t="shared" si="279"/>
        <v xml:space="preserve"> </v>
      </c>
      <c r="D1556" s="494"/>
      <c r="E1556" s="422"/>
      <c r="F1556" s="441" t="str">
        <f>VLOOKUP($B1556,[1]DG!A:D,[1]DG!$C$2,)</f>
        <v>Khóa đỡ dây cỡ dây 70</v>
      </c>
      <c r="G1556" s="422" t="str">
        <f>VLOOKUP($B1556,[1]DG!A:D,[1]DG!$D$2,)</f>
        <v>cái</v>
      </c>
      <c r="H1556" s="435">
        <f t="shared" ref="H1556:H1594" si="280">$D1556</f>
        <v>0</v>
      </c>
      <c r="I1556" s="435"/>
      <c r="J1556" s="435">
        <f t="shared" ref="J1556:J1594" si="281">D1556</f>
        <v>0</v>
      </c>
      <c r="K1556" s="435"/>
      <c r="L1556" s="435"/>
      <c r="M1556" s="435"/>
      <c r="N1556" s="435"/>
      <c r="O1556" s="435"/>
      <c r="P1556" s="435">
        <f t="shared" si="276"/>
        <v>0</v>
      </c>
      <c r="Q1556" s="442"/>
      <c r="R1556" s="442"/>
      <c r="S1556" s="442"/>
      <c r="T1556" s="432">
        <f t="shared" si="278"/>
        <v>0</v>
      </c>
    </row>
    <row r="1557" spans="1:20" ht="22.2" hidden="1" customHeight="1">
      <c r="A1557" s="379"/>
      <c r="B1557" s="491" t="s">
        <v>1149</v>
      </c>
      <c r="C1557" s="469" t="str">
        <f t="shared" si="279"/>
        <v xml:space="preserve"> </v>
      </c>
      <c r="D1557" s="494"/>
      <c r="E1557" s="422"/>
      <c r="F1557" s="441" t="str">
        <f>VLOOKUP($B1557,[1]DG!A:D,[1]DG!$C$2,)</f>
        <v>Khóa đỡ dây cỡ dây 50</v>
      </c>
      <c r="G1557" s="422" t="str">
        <f>VLOOKUP($B1557,[1]DG!A:D,[1]DG!$D$2,)</f>
        <v>cái</v>
      </c>
      <c r="H1557" s="435">
        <f t="shared" si="280"/>
        <v>0</v>
      </c>
      <c r="I1557" s="435"/>
      <c r="J1557" s="435">
        <f t="shared" si="281"/>
        <v>0</v>
      </c>
      <c r="K1557" s="435"/>
      <c r="L1557" s="435"/>
      <c r="M1557" s="435"/>
      <c r="N1557" s="435"/>
      <c r="O1557" s="435"/>
      <c r="P1557" s="435">
        <f t="shared" ref="P1557:P1620" si="282">H1557+Q1557-R1557</f>
        <v>0</v>
      </c>
      <c r="Q1557" s="442"/>
      <c r="R1557" s="442"/>
      <c r="S1557" s="442"/>
      <c r="T1557" s="432">
        <f t="shared" si="278"/>
        <v>0</v>
      </c>
    </row>
    <row r="1558" spans="1:20" ht="22.2" hidden="1" customHeight="1">
      <c r="A1558" s="379"/>
      <c r="B1558" s="491" t="s">
        <v>1150</v>
      </c>
      <c r="C1558" s="469" t="str">
        <f t="shared" si="279"/>
        <v xml:space="preserve"> </v>
      </c>
      <c r="D1558" s="426"/>
      <c r="E1558" s="422"/>
      <c r="F1558" s="441" t="str">
        <f>VLOOKUP($B1558,[1]DG!A:D,[1]DG!$C$2,)</f>
        <v>Khóa néo dây cỡ dây 240</v>
      </c>
      <c r="G1558" s="422" t="str">
        <f>VLOOKUP($B1558,[1]DG!A:D,[1]DG!$D$2,)</f>
        <v>cái</v>
      </c>
      <c r="H1558" s="435">
        <f t="shared" si="280"/>
        <v>0</v>
      </c>
      <c r="I1558" s="435"/>
      <c r="J1558" s="435">
        <f t="shared" si="281"/>
        <v>0</v>
      </c>
      <c r="K1558" s="435"/>
      <c r="L1558" s="435"/>
      <c r="M1558" s="435"/>
      <c r="N1558" s="435"/>
      <c r="O1558" s="435"/>
      <c r="P1558" s="435">
        <f t="shared" si="282"/>
        <v>0</v>
      </c>
      <c r="Q1558" s="442"/>
      <c r="R1558" s="442"/>
      <c r="S1558" s="442"/>
      <c r="T1558" s="432">
        <f t="shared" si="278"/>
        <v>0</v>
      </c>
    </row>
    <row r="1559" spans="1:20" ht="22.2" hidden="1" customHeight="1">
      <c r="A1559" s="379"/>
      <c r="B1559" s="495" t="s">
        <v>479</v>
      </c>
      <c r="C1559" s="469" t="str">
        <f t="shared" si="279"/>
        <v xml:space="preserve"> </v>
      </c>
      <c r="D1559" s="426"/>
      <c r="E1559" s="422"/>
      <c r="F1559" s="441" t="str">
        <f>VLOOKUP($B1559,[1]DG!A:D,[1]DG!$C$2,)</f>
        <v>Khóa néo dây cỡ dây 185</v>
      </c>
      <c r="G1559" s="422" t="str">
        <f>VLOOKUP($B1559,[1]DG!A:D,[1]DG!$D$2,)</f>
        <v>cái</v>
      </c>
      <c r="H1559" s="435">
        <f t="shared" si="280"/>
        <v>0</v>
      </c>
      <c r="I1559" s="435"/>
      <c r="J1559" s="435">
        <f t="shared" si="281"/>
        <v>0</v>
      </c>
      <c r="K1559" s="435"/>
      <c r="L1559" s="435"/>
      <c r="M1559" s="435"/>
      <c r="N1559" s="435"/>
      <c r="O1559" s="435"/>
      <c r="P1559" s="435">
        <f t="shared" si="282"/>
        <v>0</v>
      </c>
      <c r="Q1559" s="442"/>
      <c r="R1559" s="442"/>
      <c r="S1559" s="442"/>
      <c r="T1559" s="432">
        <f t="shared" si="278"/>
        <v>0</v>
      </c>
    </row>
    <row r="1560" spans="1:20" ht="22.2" hidden="1" customHeight="1">
      <c r="A1560" s="379"/>
      <c r="B1560" s="491" t="s">
        <v>1151</v>
      </c>
      <c r="C1560" s="469" t="str">
        <f t="shared" si="279"/>
        <v xml:space="preserve"> </v>
      </c>
      <c r="D1560" s="426"/>
      <c r="E1560" s="422"/>
      <c r="F1560" s="441" t="str">
        <f>VLOOKUP($B1560,[1]DG!A:D,[1]DG!$C$2,)</f>
        <v>Khóa néo dây cỡ dây 150</v>
      </c>
      <c r="G1560" s="422" t="str">
        <f>VLOOKUP($B1560,[1]DG!A:D,[1]DG!$D$2,)</f>
        <v>cái</v>
      </c>
      <c r="H1560" s="435">
        <f t="shared" si="280"/>
        <v>0</v>
      </c>
      <c r="I1560" s="435"/>
      <c r="J1560" s="435">
        <f t="shared" si="281"/>
        <v>0</v>
      </c>
      <c r="K1560" s="435"/>
      <c r="L1560" s="435"/>
      <c r="M1560" s="435"/>
      <c r="N1560" s="435"/>
      <c r="O1560" s="435"/>
      <c r="P1560" s="435">
        <f t="shared" si="282"/>
        <v>0</v>
      </c>
      <c r="Q1560" s="442"/>
      <c r="R1560" s="442"/>
      <c r="S1560" s="442"/>
      <c r="T1560" s="432">
        <f t="shared" si="278"/>
        <v>0</v>
      </c>
    </row>
    <row r="1561" spans="1:20" ht="22.2" hidden="1" customHeight="1">
      <c r="A1561" s="379"/>
      <c r="B1561" s="495" t="s">
        <v>1152</v>
      </c>
      <c r="C1561" s="469" t="str">
        <f t="shared" si="279"/>
        <v xml:space="preserve"> </v>
      </c>
      <c r="D1561" s="426"/>
      <c r="E1561" s="422"/>
      <c r="F1561" s="441" t="str">
        <f>VLOOKUP($B1561,[1]DG!A:D,[1]DG!$C$2,)</f>
        <v>Khóa néo dây cỡ dây 120</v>
      </c>
      <c r="G1561" s="422" t="str">
        <f>VLOOKUP($B1561,[1]DG!A:D,[1]DG!$D$2,)</f>
        <v>cái</v>
      </c>
      <c r="H1561" s="435">
        <f t="shared" si="280"/>
        <v>0</v>
      </c>
      <c r="I1561" s="435"/>
      <c r="J1561" s="435">
        <f t="shared" si="281"/>
        <v>0</v>
      </c>
      <c r="K1561" s="435"/>
      <c r="L1561" s="435"/>
      <c r="M1561" s="435"/>
      <c r="N1561" s="435"/>
      <c r="O1561" s="435"/>
      <c r="P1561" s="435">
        <f t="shared" si="282"/>
        <v>0</v>
      </c>
      <c r="Q1561" s="442"/>
      <c r="R1561" s="442"/>
      <c r="S1561" s="442"/>
      <c r="T1561" s="432">
        <f t="shared" si="278"/>
        <v>0</v>
      </c>
    </row>
    <row r="1562" spans="1:20" ht="22.2" hidden="1" customHeight="1">
      <c r="A1562" s="379"/>
      <c r="B1562" s="491" t="s">
        <v>1153</v>
      </c>
      <c r="C1562" s="469" t="str">
        <f t="shared" si="279"/>
        <v xml:space="preserve"> </v>
      </c>
      <c r="D1562" s="440"/>
      <c r="E1562" s="422"/>
      <c r="F1562" s="441" t="str">
        <f>VLOOKUP($B1562,[1]DG!A:D,[1]DG!$C$2,)</f>
        <v>Khóa néo dây cỡ dây 95</v>
      </c>
      <c r="G1562" s="422" t="str">
        <f>VLOOKUP($B1562,[1]DG!A:D,[1]DG!$D$2,)</f>
        <v>cái</v>
      </c>
      <c r="H1562" s="435">
        <f t="shared" si="280"/>
        <v>0</v>
      </c>
      <c r="I1562" s="435"/>
      <c r="J1562" s="435">
        <f t="shared" si="281"/>
        <v>0</v>
      </c>
      <c r="K1562" s="435"/>
      <c r="L1562" s="435"/>
      <c r="M1562" s="435"/>
      <c r="N1562" s="435"/>
      <c r="O1562" s="435"/>
      <c r="P1562" s="435">
        <f t="shared" si="282"/>
        <v>0</v>
      </c>
      <c r="Q1562" s="442"/>
      <c r="R1562" s="442"/>
      <c r="S1562" s="442"/>
      <c r="T1562" s="432">
        <f t="shared" si="278"/>
        <v>0</v>
      </c>
    </row>
    <row r="1563" spans="1:20" ht="22.2" hidden="1" customHeight="1">
      <c r="A1563" s="379"/>
      <c r="B1563" s="495" t="s">
        <v>1154</v>
      </c>
      <c r="C1563" s="469" t="str">
        <f t="shared" si="279"/>
        <v xml:space="preserve"> </v>
      </c>
      <c r="D1563" s="426"/>
      <c r="E1563" s="422"/>
      <c r="F1563" s="441" t="str">
        <f>VLOOKUP($B1563,[1]DG!A:D,[1]DG!$C$2,)</f>
        <v>Khóa néo dây cỡ dây 70</v>
      </c>
      <c r="G1563" s="422" t="str">
        <f>VLOOKUP($B1563,[1]DG!A:D,[1]DG!$D$2,)</f>
        <v>cái</v>
      </c>
      <c r="H1563" s="435">
        <f t="shared" si="280"/>
        <v>0</v>
      </c>
      <c r="I1563" s="435"/>
      <c r="J1563" s="435">
        <f t="shared" si="281"/>
        <v>0</v>
      </c>
      <c r="K1563" s="435"/>
      <c r="L1563" s="435"/>
      <c r="M1563" s="435"/>
      <c r="N1563" s="435"/>
      <c r="O1563" s="435"/>
      <c r="P1563" s="435">
        <f t="shared" si="282"/>
        <v>0</v>
      </c>
      <c r="Q1563" s="442"/>
      <c r="R1563" s="442"/>
      <c r="S1563" s="442"/>
      <c r="T1563" s="432">
        <f t="shared" si="278"/>
        <v>0</v>
      </c>
    </row>
    <row r="1564" spans="1:20" ht="22.2" hidden="1" customHeight="1">
      <c r="A1564" s="379"/>
      <c r="B1564" s="495" t="s">
        <v>1155</v>
      </c>
      <c r="C1564" s="469" t="str">
        <f t="shared" si="279"/>
        <v xml:space="preserve"> </v>
      </c>
      <c r="D1564" s="426"/>
      <c r="E1564" s="422"/>
      <c r="F1564" s="441" t="str">
        <f>VLOOKUP($B1564,[1]DG!A:D,[1]DG!$C$2,)</f>
        <v>Khóa néo dây cỡ dây 50</v>
      </c>
      <c r="G1564" s="422" t="str">
        <f>VLOOKUP($B1564,[1]DG!A:D,[1]DG!$D$2,)</f>
        <v>cái</v>
      </c>
      <c r="H1564" s="435">
        <f t="shared" si="280"/>
        <v>0</v>
      </c>
      <c r="I1564" s="435"/>
      <c r="J1564" s="435">
        <f t="shared" si="281"/>
        <v>0</v>
      </c>
      <c r="K1564" s="435"/>
      <c r="L1564" s="435"/>
      <c r="M1564" s="435"/>
      <c r="N1564" s="435"/>
      <c r="O1564" s="435"/>
      <c r="P1564" s="435">
        <f t="shared" si="282"/>
        <v>0</v>
      </c>
      <c r="Q1564" s="442"/>
      <c r="R1564" s="442"/>
      <c r="S1564" s="442"/>
      <c r="T1564" s="432">
        <f t="shared" si="278"/>
        <v>0</v>
      </c>
    </row>
    <row r="1565" spans="1:20" ht="22.2" hidden="1" customHeight="1">
      <c r="A1565" s="379"/>
      <c r="B1565" s="491" t="s">
        <v>1156</v>
      </c>
      <c r="C1565" s="469" t="str">
        <f t="shared" si="279"/>
        <v xml:space="preserve"> </v>
      </c>
      <c r="D1565" s="494"/>
      <c r="E1565" s="422"/>
      <c r="F1565" s="441" t="str">
        <f>VLOOKUP($B1565,[1]DG!A:D,[1]DG!$C$2,)</f>
        <v>Kẹp 2 rãnh (APC) cỡ dây 50mm2</v>
      </c>
      <c r="G1565" s="422" t="str">
        <f>VLOOKUP($B1565,[1]DG!A:D,[1]DG!$D$2,)</f>
        <v>cái</v>
      </c>
      <c r="H1565" s="435">
        <f t="shared" si="280"/>
        <v>0</v>
      </c>
      <c r="I1565" s="435"/>
      <c r="J1565" s="435">
        <f t="shared" si="281"/>
        <v>0</v>
      </c>
      <c r="K1565" s="435"/>
      <c r="L1565" s="435"/>
      <c r="M1565" s="435"/>
      <c r="N1565" s="435"/>
      <c r="O1565" s="435"/>
      <c r="P1565" s="435">
        <f t="shared" si="282"/>
        <v>0</v>
      </c>
      <c r="Q1565" s="442"/>
      <c r="R1565" s="442"/>
      <c r="S1565" s="442"/>
      <c r="T1565" s="432">
        <f t="shared" si="278"/>
        <v>0</v>
      </c>
    </row>
    <row r="1566" spans="1:20" ht="22.2" hidden="1" customHeight="1">
      <c r="A1566" s="379"/>
      <c r="B1566" s="491" t="s">
        <v>1157</v>
      </c>
      <c r="C1566" s="469" t="str">
        <f t="shared" si="279"/>
        <v xml:space="preserve"> </v>
      </c>
      <c r="D1566" s="494"/>
      <c r="E1566" s="422"/>
      <c r="F1566" s="441" t="str">
        <f>VLOOKUP($B1566,[1]DG!A:D,[1]DG!$C$2,)</f>
        <v>Kẹp 2 rãnh (APC) cỡ dây 70mm2</v>
      </c>
      <c r="G1566" s="422" t="str">
        <f>VLOOKUP($B1566,[1]DG!A:D,[1]DG!$D$2,)</f>
        <v>cái</v>
      </c>
      <c r="H1566" s="435">
        <f t="shared" si="280"/>
        <v>0</v>
      </c>
      <c r="I1566" s="435"/>
      <c r="J1566" s="435">
        <f t="shared" si="281"/>
        <v>0</v>
      </c>
      <c r="K1566" s="435"/>
      <c r="L1566" s="435"/>
      <c r="M1566" s="435"/>
      <c r="N1566" s="435"/>
      <c r="O1566" s="435"/>
      <c r="P1566" s="435">
        <f t="shared" si="282"/>
        <v>0</v>
      </c>
      <c r="Q1566" s="442"/>
      <c r="R1566" s="442"/>
      <c r="S1566" s="442"/>
      <c r="T1566" s="432">
        <f t="shared" si="278"/>
        <v>0</v>
      </c>
    </row>
    <row r="1567" spans="1:20" ht="22.2" hidden="1" customHeight="1">
      <c r="A1567" s="379"/>
      <c r="B1567" s="491" t="s">
        <v>1158</v>
      </c>
      <c r="C1567" s="469" t="str">
        <f t="shared" si="279"/>
        <v xml:space="preserve"> </v>
      </c>
      <c r="D1567" s="494"/>
      <c r="E1567" s="422"/>
      <c r="F1567" s="441" t="str">
        <f>VLOOKUP($B1567,[1]DG!A:D,[1]DG!$C$2,)</f>
        <v>Kẹp 2 rãnh (APC) cỡ dây 95mm2</v>
      </c>
      <c r="G1567" s="422" t="str">
        <f>VLOOKUP($B1567,[1]DG!A:D,[1]DG!$D$2,)</f>
        <v>cái</v>
      </c>
      <c r="H1567" s="435">
        <f t="shared" si="280"/>
        <v>0</v>
      </c>
      <c r="I1567" s="435"/>
      <c r="J1567" s="435">
        <f t="shared" si="281"/>
        <v>0</v>
      </c>
      <c r="K1567" s="435"/>
      <c r="L1567" s="435"/>
      <c r="M1567" s="435"/>
      <c r="N1567" s="435"/>
      <c r="O1567" s="435"/>
      <c r="P1567" s="435">
        <f t="shared" si="282"/>
        <v>0</v>
      </c>
      <c r="Q1567" s="442"/>
      <c r="R1567" s="442"/>
      <c r="S1567" s="442"/>
      <c r="T1567" s="432">
        <f t="shared" si="278"/>
        <v>0</v>
      </c>
    </row>
    <row r="1568" spans="1:20" ht="22.2" hidden="1" customHeight="1">
      <c r="A1568" s="379"/>
      <c r="B1568" s="496" t="s">
        <v>99</v>
      </c>
      <c r="C1568" s="469" t="str">
        <f t="shared" si="279"/>
        <v xml:space="preserve"> </v>
      </c>
      <c r="D1568" s="494">
        <f>[1]pp_NC!DP95</f>
        <v>0</v>
      </c>
      <c r="E1568" s="422"/>
      <c r="F1568" s="441" t="str">
        <f>VLOOKUP($B1568,[1]DG!A:D,[1]DG!$C$2,)</f>
        <v>Kẹp quai 2/0</v>
      </c>
      <c r="G1568" s="422" t="str">
        <f>VLOOKUP($B1568,[1]DG!A:D,[1]DG!$D$2,)</f>
        <v>cái</v>
      </c>
      <c r="H1568" s="435">
        <f t="shared" si="280"/>
        <v>0</v>
      </c>
      <c r="I1568" s="435"/>
      <c r="J1568" s="435">
        <f t="shared" si="281"/>
        <v>0</v>
      </c>
      <c r="K1568" s="435"/>
      <c r="L1568" s="435"/>
      <c r="M1568" s="435"/>
      <c r="N1568" s="435"/>
      <c r="O1568" s="435"/>
      <c r="P1568" s="435">
        <f t="shared" si="282"/>
        <v>0</v>
      </c>
      <c r="Q1568" s="442"/>
      <c r="R1568" s="442"/>
      <c r="S1568" s="442"/>
      <c r="T1568" s="432">
        <f t="shared" si="278"/>
        <v>0</v>
      </c>
    </row>
    <row r="1569" spans="1:20" ht="22.2" hidden="1" customHeight="1">
      <c r="A1569" s="379"/>
      <c r="B1569" s="496" t="s">
        <v>100</v>
      </c>
      <c r="C1569" s="469" t="str">
        <f t="shared" si="279"/>
        <v xml:space="preserve"> </v>
      </c>
      <c r="D1569" s="494">
        <f>[1]pp_NC!DQ95</f>
        <v>0</v>
      </c>
      <c r="E1569" s="422"/>
      <c r="F1569" s="441" t="str">
        <f>VLOOKUP($B1569,[1]DG!A:D,[1]DG!$C$2,)</f>
        <v>Kẹp hotline 2/0</v>
      </c>
      <c r="G1569" s="422" t="str">
        <f>VLOOKUP($B1569,[1]DG!A:D,[1]DG!$D$2,)</f>
        <v>cái</v>
      </c>
      <c r="H1569" s="435">
        <f t="shared" si="280"/>
        <v>0</v>
      </c>
      <c r="I1569" s="435"/>
      <c r="J1569" s="435">
        <f t="shared" si="281"/>
        <v>0</v>
      </c>
      <c r="K1569" s="435"/>
      <c r="L1569" s="435"/>
      <c r="M1569" s="435"/>
      <c r="N1569" s="435"/>
      <c r="O1569" s="435"/>
      <c r="P1569" s="435">
        <f t="shared" si="282"/>
        <v>0</v>
      </c>
      <c r="Q1569" s="442"/>
      <c r="R1569" s="442"/>
      <c r="S1569" s="442"/>
      <c r="T1569" s="432">
        <f t="shared" si="278"/>
        <v>0</v>
      </c>
    </row>
    <row r="1570" spans="1:20" ht="22.2" hidden="1" customHeight="1">
      <c r="A1570" s="379"/>
      <c r="B1570" s="496" t="s">
        <v>84</v>
      </c>
      <c r="C1570" s="469" t="str">
        <f t="shared" si="279"/>
        <v xml:space="preserve"> </v>
      </c>
      <c r="D1570" s="494">
        <f>[1]pp_NC!DR95</f>
        <v>0</v>
      </c>
      <c r="E1570" s="422"/>
      <c r="F1570" s="441" t="str">
        <f>VLOOKUP($B1570,[1]DG!A:D,[1]DG!$C$2,)</f>
        <v>Kẹp ép WR cỡ dây 50mm2</v>
      </c>
      <c r="G1570" s="422" t="str">
        <f>VLOOKUP($B1570,[1]DG!A:D,[1]DG!$D$2,)</f>
        <v>cái</v>
      </c>
      <c r="H1570" s="435">
        <f t="shared" si="280"/>
        <v>0</v>
      </c>
      <c r="I1570" s="435"/>
      <c r="J1570" s="435">
        <f t="shared" si="281"/>
        <v>0</v>
      </c>
      <c r="K1570" s="435"/>
      <c r="L1570" s="435"/>
      <c r="M1570" s="435"/>
      <c r="N1570" s="435"/>
      <c r="O1570" s="435"/>
      <c r="P1570" s="435">
        <f t="shared" si="282"/>
        <v>0</v>
      </c>
      <c r="Q1570" s="442"/>
      <c r="R1570" s="442"/>
      <c r="S1570" s="442"/>
      <c r="T1570" s="432">
        <f t="shared" si="278"/>
        <v>0</v>
      </c>
    </row>
    <row r="1571" spans="1:20" ht="22.2" hidden="1" customHeight="1">
      <c r="A1571" s="379"/>
      <c r="B1571" s="496" t="s">
        <v>1159</v>
      </c>
      <c r="C1571" s="469" t="str">
        <f t="shared" si="279"/>
        <v xml:space="preserve"> </v>
      </c>
      <c r="D1571" s="494">
        <f>[1]pp_NC!DS95</f>
        <v>0</v>
      </c>
      <c r="E1571" s="422"/>
      <c r="F1571" s="441" t="str">
        <f>VLOOKUP($B1571,[1]DG!A:D,[1]DG!$C$2,)</f>
        <v>Kẹp ép WR cỡ dây 95mm2</v>
      </c>
      <c r="G1571" s="422" t="str">
        <f>VLOOKUP($B1571,[1]DG!A:D,[1]DG!$D$2,)</f>
        <v>cái</v>
      </c>
      <c r="H1571" s="435">
        <f t="shared" si="280"/>
        <v>0</v>
      </c>
      <c r="I1571" s="435"/>
      <c r="J1571" s="435">
        <f t="shared" si="281"/>
        <v>0</v>
      </c>
      <c r="K1571" s="435"/>
      <c r="L1571" s="435"/>
      <c r="M1571" s="435"/>
      <c r="N1571" s="435"/>
      <c r="O1571" s="435"/>
      <c r="P1571" s="435">
        <f t="shared" si="282"/>
        <v>0</v>
      </c>
      <c r="Q1571" s="442"/>
      <c r="R1571" s="442"/>
      <c r="S1571" s="442"/>
      <c r="T1571" s="432">
        <f t="shared" si="278"/>
        <v>0</v>
      </c>
    </row>
    <row r="1572" spans="1:20" ht="22.2" hidden="1" customHeight="1">
      <c r="A1572" s="379"/>
      <c r="B1572" s="491" t="s">
        <v>1160</v>
      </c>
      <c r="C1572" s="469" t="str">
        <f t="shared" si="279"/>
        <v xml:space="preserve"> </v>
      </c>
      <c r="D1572" s="494">
        <f>[1]pp_NC!DU95</f>
        <v>0</v>
      </c>
      <c r="E1572" s="422"/>
      <c r="F1572" s="441" t="str">
        <f>VLOOKUP($B1572,[1]DG!A:D,[1]DG!$C$2,)</f>
        <v>Kẹp ép WR cỡ dây 150mm2</v>
      </c>
      <c r="G1572" s="422" t="str">
        <f>VLOOKUP($B1572,[1]DG!A:D,[1]DG!$D$2,)</f>
        <v>cái</v>
      </c>
      <c r="H1572" s="435">
        <f t="shared" si="280"/>
        <v>0</v>
      </c>
      <c r="I1572" s="435"/>
      <c r="J1572" s="435">
        <f t="shared" si="281"/>
        <v>0</v>
      </c>
      <c r="K1572" s="435"/>
      <c r="L1572" s="435"/>
      <c r="M1572" s="435"/>
      <c r="N1572" s="435"/>
      <c r="O1572" s="435"/>
      <c r="P1572" s="435">
        <f t="shared" si="282"/>
        <v>0</v>
      </c>
      <c r="Q1572" s="442"/>
      <c r="R1572" s="442"/>
      <c r="S1572" s="442"/>
      <c r="T1572" s="432">
        <f t="shared" si="278"/>
        <v>0</v>
      </c>
    </row>
    <row r="1573" spans="1:20" ht="22.2" hidden="1" customHeight="1">
      <c r="A1573" s="379"/>
      <c r="B1573" s="491" t="s">
        <v>1161</v>
      </c>
      <c r="C1573" s="469" t="str">
        <f t="shared" si="279"/>
        <v xml:space="preserve"> </v>
      </c>
      <c r="D1573" s="494"/>
      <c r="E1573" s="422"/>
      <c r="F1573" s="441" t="str">
        <f>VLOOKUP($B1573,[1]DG!A:D,[1]DG!$C$2,)</f>
        <v>Kẹp ép WR cỡ dây 185mm2</v>
      </c>
      <c r="G1573" s="422" t="str">
        <f>VLOOKUP($B1573,[1]DG!A:D,[1]DG!$D$2,)</f>
        <v>cái</v>
      </c>
      <c r="H1573" s="435">
        <f t="shared" si="280"/>
        <v>0</v>
      </c>
      <c r="I1573" s="435"/>
      <c r="J1573" s="435">
        <f t="shared" si="281"/>
        <v>0</v>
      </c>
      <c r="K1573" s="435"/>
      <c r="L1573" s="435"/>
      <c r="M1573" s="435"/>
      <c r="N1573" s="435"/>
      <c r="O1573" s="435"/>
      <c r="P1573" s="435">
        <f t="shared" si="282"/>
        <v>0</v>
      </c>
      <c r="Q1573" s="442"/>
      <c r="R1573" s="442"/>
      <c r="S1573" s="442"/>
      <c r="T1573" s="432">
        <f t="shared" si="278"/>
        <v>0</v>
      </c>
    </row>
    <row r="1574" spans="1:20" ht="22.2" hidden="1" customHeight="1">
      <c r="A1574" s="379"/>
      <c r="B1574" s="491" t="s">
        <v>1162</v>
      </c>
      <c r="C1574" s="469" t="str">
        <f t="shared" si="279"/>
        <v xml:space="preserve"> </v>
      </c>
      <c r="D1574" s="494">
        <f>[1]pp_NC!DV95</f>
        <v>0</v>
      </c>
      <c r="E1574" s="422"/>
      <c r="F1574" s="441" t="str">
        <f>VLOOKUP($B1574,[1]DG!A:D,[1]DG!$C$2,)</f>
        <v>Kẹp ép WR cỡ dây 240mm2</v>
      </c>
      <c r="G1574" s="422" t="str">
        <f>VLOOKUP($B1574,[1]DG!A:D,[1]DG!$D$2,)</f>
        <v>cái</v>
      </c>
      <c r="H1574" s="435">
        <f t="shared" si="280"/>
        <v>0</v>
      </c>
      <c r="I1574" s="435"/>
      <c r="J1574" s="435">
        <f t="shared" si="281"/>
        <v>0</v>
      </c>
      <c r="K1574" s="435"/>
      <c r="L1574" s="435"/>
      <c r="M1574" s="435"/>
      <c r="N1574" s="435"/>
      <c r="O1574" s="435"/>
      <c r="P1574" s="435">
        <f t="shared" si="282"/>
        <v>0</v>
      </c>
      <c r="Q1574" s="442"/>
      <c r="R1574" s="442"/>
      <c r="S1574" s="442"/>
      <c r="T1574" s="432">
        <f t="shared" si="278"/>
        <v>0</v>
      </c>
    </row>
    <row r="1575" spans="1:20" ht="22.2" hidden="1" customHeight="1">
      <c r="A1575" s="379"/>
      <c r="B1575" s="491" t="s">
        <v>1163</v>
      </c>
      <c r="C1575" s="469" t="str">
        <f t="shared" si="279"/>
        <v xml:space="preserve"> </v>
      </c>
      <c r="D1575" s="494">
        <f>[1]pp_NC!DW184</f>
        <v>0</v>
      </c>
      <c r="E1575" s="422" t="str">
        <f>VLOOKUP($B1575,[1]DG!A:D,[1]DG!$B$2,)</f>
        <v>03.4003</v>
      </c>
      <c r="F1575" s="441" t="str">
        <f>VLOOKUP($B1575,[1]DG!A:D,[1]DG!$C$2,)</f>
        <v>Đầu cosse ép Cu-Al 70mm2</v>
      </c>
      <c r="G1575" s="422" t="str">
        <f>VLOOKUP($B1575,[1]DG!A:D,[1]DG!$D$2,)</f>
        <v>cái</v>
      </c>
      <c r="H1575" s="435">
        <f t="shared" si="280"/>
        <v>0</v>
      </c>
      <c r="I1575" s="435"/>
      <c r="J1575" s="435">
        <f t="shared" si="281"/>
        <v>0</v>
      </c>
      <c r="K1575" s="435"/>
      <c r="L1575" s="435"/>
      <c r="M1575" s="435"/>
      <c r="N1575" s="435"/>
      <c r="O1575" s="435"/>
      <c r="P1575" s="435">
        <f t="shared" si="282"/>
        <v>0</v>
      </c>
      <c r="Q1575" s="442"/>
      <c r="R1575" s="442"/>
      <c r="S1575" s="442"/>
      <c r="T1575" s="432">
        <f t="shared" si="278"/>
        <v>0</v>
      </c>
    </row>
    <row r="1576" spans="1:20" ht="22.2" hidden="1" customHeight="1">
      <c r="A1576" s="379"/>
      <c r="B1576" s="491" t="s">
        <v>1164</v>
      </c>
      <c r="C1576" s="469" t="str">
        <f t="shared" si="279"/>
        <v xml:space="preserve"> </v>
      </c>
      <c r="D1576" s="494">
        <f>[1]pp_NC!DY184</f>
        <v>0</v>
      </c>
      <c r="E1576" s="422" t="str">
        <f>VLOOKUP($B1576,[1]DG!A:D,[1]DG!$B$2,)</f>
        <v>03.4004</v>
      </c>
      <c r="F1576" s="441" t="str">
        <f>VLOOKUP($B1576,[1]DG!A:D,[1]DG!$C$2,)</f>
        <v>Đầu cosse ép Cu-Al 95mm2</v>
      </c>
      <c r="G1576" s="422" t="str">
        <f>VLOOKUP($B1576,[1]DG!A:D,[1]DG!$D$2,)</f>
        <v>cái</v>
      </c>
      <c r="H1576" s="435">
        <f t="shared" si="280"/>
        <v>0</v>
      </c>
      <c r="I1576" s="435"/>
      <c r="J1576" s="435">
        <f t="shared" si="281"/>
        <v>0</v>
      </c>
      <c r="K1576" s="435"/>
      <c r="L1576" s="435"/>
      <c r="M1576" s="435"/>
      <c r="N1576" s="435"/>
      <c r="O1576" s="435"/>
      <c r="P1576" s="435">
        <f t="shared" si="282"/>
        <v>0</v>
      </c>
      <c r="Q1576" s="442"/>
      <c r="R1576" s="442"/>
      <c r="S1576" s="442"/>
      <c r="T1576" s="432">
        <f t="shared" si="278"/>
        <v>0</v>
      </c>
    </row>
    <row r="1577" spans="1:20" ht="22.2" hidden="1" customHeight="1">
      <c r="A1577" s="379"/>
      <c r="B1577" s="491" t="s">
        <v>1165</v>
      </c>
      <c r="C1577" s="469" t="str">
        <f t="shared" si="279"/>
        <v xml:space="preserve"> </v>
      </c>
      <c r="D1577" s="494">
        <f>[1]pp_NC!DZ184</f>
        <v>0</v>
      </c>
      <c r="E1577" s="422" t="str">
        <f>VLOOKUP($B1577,[1]DG!A:D,[1]DG!$B$2,)</f>
        <v>03.4005</v>
      </c>
      <c r="F1577" s="441" t="str">
        <f>VLOOKUP($B1577,[1]DG!A:D,[1]DG!$C$2,)</f>
        <v>Đầu cosse ép Cu-Al 120mm2</v>
      </c>
      <c r="G1577" s="422" t="str">
        <f>VLOOKUP($B1577,[1]DG!A:D,[1]DG!$D$2,)</f>
        <v>cái</v>
      </c>
      <c r="H1577" s="435">
        <f t="shared" si="280"/>
        <v>0</v>
      </c>
      <c r="I1577" s="435"/>
      <c r="J1577" s="435">
        <f t="shared" si="281"/>
        <v>0</v>
      </c>
      <c r="K1577" s="435"/>
      <c r="L1577" s="435"/>
      <c r="M1577" s="435"/>
      <c r="N1577" s="435"/>
      <c r="O1577" s="435"/>
      <c r="P1577" s="435">
        <f t="shared" si="282"/>
        <v>0</v>
      </c>
      <c r="Q1577" s="442"/>
      <c r="R1577" s="442"/>
      <c r="S1577" s="442"/>
      <c r="T1577" s="432">
        <f t="shared" si="278"/>
        <v>0</v>
      </c>
    </row>
    <row r="1578" spans="1:20" ht="22.2" hidden="1" customHeight="1">
      <c r="A1578" s="379"/>
      <c r="B1578" s="491" t="s">
        <v>1166</v>
      </c>
      <c r="C1578" s="469" t="str">
        <f t="shared" si="279"/>
        <v xml:space="preserve"> </v>
      </c>
      <c r="D1578" s="494">
        <f>[1]pp_NC!EA184</f>
        <v>0</v>
      </c>
      <c r="E1578" s="422" t="str">
        <f>VLOOKUP($B1578,[1]DG!A:D,[1]DG!$B$2,)</f>
        <v>03.4006</v>
      </c>
      <c r="F1578" s="441" t="str">
        <f>VLOOKUP($B1578,[1]DG!A:D,[1]DG!$C$2,)</f>
        <v>Đầu cosse ép Cu-Al 150mm2</v>
      </c>
      <c r="G1578" s="422" t="str">
        <f>VLOOKUP($B1578,[1]DG!A:D,[1]DG!$D$2,)</f>
        <v>cái</v>
      </c>
      <c r="H1578" s="435">
        <f t="shared" si="280"/>
        <v>0</v>
      </c>
      <c r="I1578" s="435"/>
      <c r="J1578" s="435">
        <f t="shared" si="281"/>
        <v>0</v>
      </c>
      <c r="K1578" s="435"/>
      <c r="L1578" s="435"/>
      <c r="M1578" s="435"/>
      <c r="N1578" s="435"/>
      <c r="O1578" s="435"/>
      <c r="P1578" s="435">
        <f t="shared" si="282"/>
        <v>0</v>
      </c>
      <c r="Q1578" s="442"/>
      <c r="R1578" s="442"/>
      <c r="S1578" s="442"/>
      <c r="T1578" s="432">
        <f t="shared" si="278"/>
        <v>0</v>
      </c>
    </row>
    <row r="1579" spans="1:20" ht="22.2" hidden="1" customHeight="1">
      <c r="A1579" s="379"/>
      <c r="B1579" s="491" t="s">
        <v>1167</v>
      </c>
      <c r="C1579" s="469" t="str">
        <f t="shared" si="279"/>
        <v xml:space="preserve"> </v>
      </c>
      <c r="D1579" s="494"/>
      <c r="E1579" s="422" t="str">
        <f>VLOOKUP($B1579,[1]DG!A:D,[1]DG!$B$2,)</f>
        <v>03.4007</v>
      </c>
      <c r="F1579" s="441" t="str">
        <f>VLOOKUP($B1579,[1]DG!A:D,[1]DG!$C$2,)</f>
        <v>Đầu cosse ép Cu-Al 185mm2</v>
      </c>
      <c r="G1579" s="422" t="str">
        <f>VLOOKUP($B1579,[1]DG!A:D,[1]DG!$D$2,)</f>
        <v>cái</v>
      </c>
      <c r="H1579" s="435">
        <f t="shared" si="280"/>
        <v>0</v>
      </c>
      <c r="I1579" s="435"/>
      <c r="J1579" s="435">
        <f t="shared" si="281"/>
        <v>0</v>
      </c>
      <c r="K1579" s="435"/>
      <c r="L1579" s="435"/>
      <c r="M1579" s="435"/>
      <c r="N1579" s="435"/>
      <c r="O1579" s="435"/>
      <c r="P1579" s="435">
        <f t="shared" si="282"/>
        <v>0</v>
      </c>
      <c r="Q1579" s="442"/>
      <c r="R1579" s="442"/>
      <c r="S1579" s="442"/>
      <c r="T1579" s="432">
        <f t="shared" ref="T1579:T1642" si="283">IFERROR(HLOOKUP(B1579,BangKeTru,3,0),0)</f>
        <v>0</v>
      </c>
    </row>
    <row r="1580" spans="1:20" ht="22.2" hidden="1" customHeight="1">
      <c r="A1580" s="379"/>
      <c r="B1580" s="491" t="s">
        <v>1168</v>
      </c>
      <c r="C1580" s="469" t="str">
        <f t="shared" si="279"/>
        <v xml:space="preserve"> </v>
      </c>
      <c r="D1580" s="494">
        <f>[1]pp_NC!EC95</f>
        <v>0</v>
      </c>
      <c r="E1580" s="422" t="str">
        <f>VLOOKUP($B1580,[1]DG!A:D,[1]DG!$B$2,)</f>
        <v>03.4008</v>
      </c>
      <c r="F1580" s="441" t="str">
        <f>VLOOKUP($B1580,[1]DG!A:D,[1]DG!$C$2,)</f>
        <v>Đầu cosse ép Cu-Al 240mm2</v>
      </c>
      <c r="G1580" s="422" t="str">
        <f>VLOOKUP($B1580,[1]DG!A:D,[1]DG!$D$2,)</f>
        <v>cái</v>
      </c>
      <c r="H1580" s="435">
        <f t="shared" si="280"/>
        <v>0</v>
      </c>
      <c r="I1580" s="435"/>
      <c r="J1580" s="435">
        <f t="shared" si="281"/>
        <v>0</v>
      </c>
      <c r="K1580" s="435"/>
      <c r="L1580" s="435"/>
      <c r="M1580" s="435"/>
      <c r="N1580" s="435"/>
      <c r="O1580" s="435"/>
      <c r="P1580" s="435">
        <f t="shared" si="282"/>
        <v>0</v>
      </c>
      <c r="Q1580" s="442"/>
      <c r="R1580" s="442"/>
      <c r="S1580" s="442"/>
      <c r="T1580" s="432">
        <f t="shared" si="283"/>
        <v>0</v>
      </c>
    </row>
    <row r="1581" spans="1:20" ht="22.2" hidden="1" customHeight="1">
      <c r="A1581" s="379"/>
      <c r="B1581" s="491" t="s">
        <v>535</v>
      </c>
      <c r="C1581" s="469" t="str">
        <f t="shared" si="279"/>
        <v xml:space="preserve"> </v>
      </c>
      <c r="D1581" s="494">
        <f>SUM(D1575:D1580)*2</f>
        <v>0</v>
      </c>
      <c r="E1581" s="422">
        <f>VLOOKUP($B1581,[1]DG!A:D,[1]DG!$B$2,)</f>
        <v>0</v>
      </c>
      <c r="F1581" s="441" t="str">
        <f>VLOOKUP($B1581,[1]DG!A:D,[1]DG!$C$2,)</f>
        <v>Boulon 12x30+ 2 long đền vuông D14-50x50x3/Zn</v>
      </c>
      <c r="G1581" s="422" t="str">
        <f>VLOOKUP($B1581,[1]DG!A:D,[1]DG!$D$2,)</f>
        <v>bộ</v>
      </c>
      <c r="H1581" s="435">
        <f t="shared" si="280"/>
        <v>0</v>
      </c>
      <c r="I1581" s="435"/>
      <c r="J1581" s="435">
        <f t="shared" si="281"/>
        <v>0</v>
      </c>
      <c r="K1581" s="435"/>
      <c r="L1581" s="435"/>
      <c r="M1581" s="435"/>
      <c r="N1581" s="435"/>
      <c r="O1581" s="435"/>
      <c r="P1581" s="435">
        <f t="shared" si="282"/>
        <v>0</v>
      </c>
      <c r="Q1581" s="442"/>
      <c r="R1581" s="442"/>
      <c r="S1581" s="442"/>
      <c r="T1581" s="432">
        <f t="shared" si="283"/>
        <v>0</v>
      </c>
    </row>
    <row r="1582" spans="1:20" ht="22.2" hidden="1" customHeight="1">
      <c r="A1582" s="379"/>
      <c r="B1582" s="491" t="s">
        <v>99</v>
      </c>
      <c r="C1582" s="469" t="str">
        <f t="shared" si="279"/>
        <v xml:space="preserve"> </v>
      </c>
      <c r="D1582" s="494"/>
      <c r="E1582" s="422" t="str">
        <f>VLOOKUP($B1582,[1]DG!A:D,[1]DG!$B$2,)</f>
        <v>04.3007</v>
      </c>
      <c r="F1582" s="441" t="str">
        <f>VLOOKUP($B1582,[1]DG!A:D,[1]DG!$C$2,)</f>
        <v>Kẹp quai 2/0</v>
      </c>
      <c r="G1582" s="422" t="str">
        <f>VLOOKUP($B1582,[1]DG!A:D,[1]DG!$D$2,)</f>
        <v>cái</v>
      </c>
      <c r="H1582" s="435">
        <f t="shared" si="280"/>
        <v>0</v>
      </c>
      <c r="I1582" s="435"/>
      <c r="J1582" s="435">
        <f t="shared" si="281"/>
        <v>0</v>
      </c>
      <c r="K1582" s="435"/>
      <c r="L1582" s="435"/>
      <c r="M1582" s="435"/>
      <c r="N1582" s="435"/>
      <c r="O1582" s="435"/>
      <c r="P1582" s="435">
        <f t="shared" si="282"/>
        <v>0</v>
      </c>
      <c r="Q1582" s="442"/>
      <c r="R1582" s="442"/>
      <c r="S1582" s="442"/>
      <c r="T1582" s="432">
        <f t="shared" si="283"/>
        <v>0</v>
      </c>
    </row>
    <row r="1583" spans="1:20" ht="22.2" hidden="1" customHeight="1">
      <c r="A1583" s="379"/>
      <c r="B1583" s="491" t="s">
        <v>1169</v>
      </c>
      <c r="C1583" s="469" t="str">
        <f t="shared" si="279"/>
        <v xml:space="preserve"> </v>
      </c>
      <c r="D1583" s="440">
        <f>D1582</f>
        <v>0</v>
      </c>
      <c r="E1583" s="422" t="str">
        <f>VLOOKUP($B1583,[1]DG!A:D,[1]DG!$B$2,)</f>
        <v>04.3007</v>
      </c>
      <c r="F1583" s="441" t="str">
        <f>VLOOKUP($B1583,[1]DG!A:D,[1]DG!$C$2,)</f>
        <v>Kẹp quai 4/0</v>
      </c>
      <c r="G1583" s="422" t="str">
        <f>VLOOKUP($B1583,[1]DG!A:D,[1]DG!$D$2,)</f>
        <v>cái</v>
      </c>
      <c r="H1583" s="435">
        <f t="shared" si="280"/>
        <v>0</v>
      </c>
      <c r="I1583" s="435"/>
      <c r="J1583" s="435">
        <f t="shared" si="281"/>
        <v>0</v>
      </c>
      <c r="K1583" s="435"/>
      <c r="L1583" s="435"/>
      <c r="M1583" s="435"/>
      <c r="N1583" s="435"/>
      <c r="O1583" s="435"/>
      <c r="P1583" s="435">
        <f t="shared" si="282"/>
        <v>0</v>
      </c>
      <c r="Q1583" s="442"/>
      <c r="R1583" s="442"/>
      <c r="S1583" s="442"/>
      <c r="T1583" s="432">
        <f t="shared" si="283"/>
        <v>0</v>
      </c>
    </row>
    <row r="1584" spans="1:20" ht="22.2" hidden="1" customHeight="1">
      <c r="A1584" s="379"/>
      <c r="B1584" s="497" t="s">
        <v>100</v>
      </c>
      <c r="C1584" s="469" t="str">
        <f t="shared" si="279"/>
        <v xml:space="preserve"> </v>
      </c>
      <c r="D1584" s="440">
        <f>D1582*3/2</f>
        <v>0</v>
      </c>
      <c r="E1584" s="422"/>
      <c r="F1584" s="441" t="str">
        <f>VLOOKUP($B1584,[1]DG!A:D,[1]DG!$C$2,)</f>
        <v>Kẹp hotline 2/0</v>
      </c>
      <c r="G1584" s="422" t="str">
        <f>VLOOKUP($B1584,[1]DG!A:D,[1]DG!$D$2,)</f>
        <v>cái</v>
      </c>
      <c r="H1584" s="435">
        <f t="shared" si="280"/>
        <v>0</v>
      </c>
      <c r="I1584" s="435"/>
      <c r="J1584" s="435">
        <f t="shared" si="281"/>
        <v>0</v>
      </c>
      <c r="K1584" s="435"/>
      <c r="L1584" s="435"/>
      <c r="M1584" s="435"/>
      <c r="N1584" s="435"/>
      <c r="O1584" s="435"/>
      <c r="P1584" s="435">
        <f t="shared" si="282"/>
        <v>0</v>
      </c>
      <c r="Q1584" s="442"/>
      <c r="R1584" s="442"/>
      <c r="S1584" s="442"/>
      <c r="T1584" s="432">
        <f t="shared" si="283"/>
        <v>0</v>
      </c>
    </row>
    <row r="1585" spans="1:20" ht="22.2" hidden="1" customHeight="1">
      <c r="A1585" s="379"/>
      <c r="B1585" s="497" t="s">
        <v>1032</v>
      </c>
      <c r="C1585" s="469" t="str">
        <f t="shared" si="279"/>
        <v xml:space="preserve"> </v>
      </c>
      <c r="D1585" s="494">
        <f>[1]pp_NC!BP184</f>
        <v>0</v>
      </c>
      <c r="E1585" s="422"/>
      <c r="F1585" s="441" t="str">
        <f>VLOOKUP($B1585,[1]DG!A:D,[1]DG!$C$2,)</f>
        <v>Kẹp hotline 4/0</v>
      </c>
      <c r="G1585" s="422" t="str">
        <f>VLOOKUP($B1585,[1]DG!A:D,[1]DG!$D$2,)</f>
        <v>cái</v>
      </c>
      <c r="H1585" s="435">
        <f t="shared" si="280"/>
        <v>0</v>
      </c>
      <c r="I1585" s="435"/>
      <c r="J1585" s="435">
        <f t="shared" si="281"/>
        <v>0</v>
      </c>
      <c r="K1585" s="435"/>
      <c r="L1585" s="435"/>
      <c r="M1585" s="435"/>
      <c r="N1585" s="435"/>
      <c r="O1585" s="435"/>
      <c r="P1585" s="435">
        <f t="shared" si="282"/>
        <v>0</v>
      </c>
      <c r="Q1585" s="442"/>
      <c r="R1585" s="442"/>
      <c r="S1585" s="442"/>
      <c r="T1585" s="432">
        <f t="shared" si="283"/>
        <v>0</v>
      </c>
    </row>
    <row r="1586" spans="1:20" ht="22.2" hidden="1" customHeight="1">
      <c r="A1586" s="379"/>
      <c r="B1586" s="491" t="s">
        <v>1170</v>
      </c>
      <c r="C1586" s="469" t="str">
        <f t="shared" si="279"/>
        <v xml:space="preserve"> </v>
      </c>
      <c r="D1586" s="440">
        <f>ROUND((E1498)*1.03/1500,0)</f>
        <v>0</v>
      </c>
      <c r="E1586" s="422"/>
      <c r="F1586" s="441" t="str">
        <f>VLOOKUP($B1586,[1]DG!A:D,[1]DG!$C$2,)</f>
        <v>Ống nối dây cỡ 50mm2</v>
      </c>
      <c r="G1586" s="422" t="str">
        <f>VLOOKUP($B1586,[1]DG!A:D,[1]DG!$D$2,)</f>
        <v>cái</v>
      </c>
      <c r="H1586" s="435">
        <f t="shared" si="280"/>
        <v>0</v>
      </c>
      <c r="I1586" s="435"/>
      <c r="J1586" s="435">
        <f t="shared" si="281"/>
        <v>0</v>
      </c>
      <c r="K1586" s="435"/>
      <c r="L1586" s="435"/>
      <c r="M1586" s="435"/>
      <c r="N1586" s="435"/>
      <c r="O1586" s="435"/>
      <c r="P1586" s="435">
        <f t="shared" si="282"/>
        <v>0</v>
      </c>
      <c r="Q1586" s="442"/>
      <c r="R1586" s="442"/>
      <c r="S1586" s="442"/>
      <c r="T1586" s="432">
        <f t="shared" si="283"/>
        <v>0</v>
      </c>
    </row>
    <row r="1587" spans="1:20" ht="22.2" hidden="1" customHeight="1">
      <c r="A1587" s="379"/>
      <c r="B1587" s="491" t="s">
        <v>1171</v>
      </c>
      <c r="C1587" s="469" t="str">
        <f t="shared" si="279"/>
        <v xml:space="preserve"> </v>
      </c>
      <c r="D1587" s="440">
        <f>ROUND((E1497+E1505)*1.03/1400,0)</f>
        <v>0</v>
      </c>
      <c r="E1587" s="422"/>
      <c r="F1587" s="441" t="str">
        <f>VLOOKUP($B1587,[1]DG!A:D,[1]DG!$C$2,)</f>
        <v>Ống nối dây cỡ 70mm2</v>
      </c>
      <c r="G1587" s="422" t="str">
        <f>VLOOKUP($B1587,[1]DG!A:D,[1]DG!$D$2,)</f>
        <v>cái</v>
      </c>
      <c r="H1587" s="435">
        <f t="shared" si="280"/>
        <v>0</v>
      </c>
      <c r="I1587" s="435"/>
      <c r="J1587" s="435">
        <f t="shared" si="281"/>
        <v>0</v>
      </c>
      <c r="K1587" s="435"/>
      <c r="L1587" s="435"/>
      <c r="M1587" s="435"/>
      <c r="N1587" s="435"/>
      <c r="O1587" s="435"/>
      <c r="P1587" s="435">
        <f t="shared" si="282"/>
        <v>0</v>
      </c>
      <c r="Q1587" s="442"/>
      <c r="R1587" s="442"/>
      <c r="S1587" s="442"/>
      <c r="T1587" s="432">
        <f t="shared" si="283"/>
        <v>0</v>
      </c>
    </row>
    <row r="1588" spans="1:20" ht="22.2" hidden="1" customHeight="1">
      <c r="A1588" s="379"/>
      <c r="B1588" s="491" t="s">
        <v>1172</v>
      </c>
      <c r="C1588" s="469" t="str">
        <f t="shared" si="279"/>
        <v xml:space="preserve"> </v>
      </c>
      <c r="D1588" s="440">
        <f>ROUND((E1496+E1504)*1.03/1200,0)</f>
        <v>0</v>
      </c>
      <c r="E1588" s="422"/>
      <c r="F1588" s="441" t="str">
        <f>VLOOKUP($B1588,[1]DG!A:D,[1]DG!$C$2,)</f>
        <v>Ống nối dây cỡ 95mm2</v>
      </c>
      <c r="G1588" s="422" t="str">
        <f>VLOOKUP($B1588,[1]DG!A:D,[1]DG!$D$2,)</f>
        <v>cái</v>
      </c>
      <c r="H1588" s="435">
        <f t="shared" si="280"/>
        <v>0</v>
      </c>
      <c r="I1588" s="435"/>
      <c r="J1588" s="435">
        <f t="shared" si="281"/>
        <v>0</v>
      </c>
      <c r="K1588" s="435"/>
      <c r="L1588" s="435"/>
      <c r="M1588" s="435"/>
      <c r="N1588" s="435"/>
      <c r="O1588" s="435"/>
      <c r="P1588" s="435">
        <f t="shared" si="282"/>
        <v>0</v>
      </c>
      <c r="Q1588" s="442"/>
      <c r="R1588" s="442"/>
      <c r="S1588" s="442"/>
      <c r="T1588" s="432">
        <f t="shared" si="283"/>
        <v>0</v>
      </c>
    </row>
    <row r="1589" spans="1:20" ht="22.2" hidden="1" customHeight="1">
      <c r="A1589" s="379"/>
      <c r="B1589" s="491" t="s">
        <v>1173</v>
      </c>
      <c r="C1589" s="469" t="str">
        <f t="shared" si="279"/>
        <v xml:space="preserve"> </v>
      </c>
      <c r="D1589" s="440">
        <f>ROUND((E1495+E1503)*1.03/1200,0)</f>
        <v>0</v>
      </c>
      <c r="E1589" s="422"/>
      <c r="F1589" s="441" t="str">
        <f>VLOOKUP($B1589,[1]DG!A:D,[1]DG!$C$2,)</f>
        <v>Ống nối dây cỡ 120mm2</v>
      </c>
      <c r="G1589" s="422" t="str">
        <f>VLOOKUP($B1589,[1]DG!A:D,[1]DG!$D$2,)</f>
        <v>cái</v>
      </c>
      <c r="H1589" s="435">
        <f t="shared" si="280"/>
        <v>0</v>
      </c>
      <c r="I1589" s="435"/>
      <c r="J1589" s="435">
        <f t="shared" si="281"/>
        <v>0</v>
      </c>
      <c r="K1589" s="435"/>
      <c r="L1589" s="435"/>
      <c r="M1589" s="435"/>
      <c r="N1589" s="435"/>
      <c r="O1589" s="435"/>
      <c r="P1589" s="435">
        <f t="shared" si="282"/>
        <v>0</v>
      </c>
      <c r="Q1589" s="442"/>
      <c r="R1589" s="442"/>
      <c r="S1589" s="442"/>
      <c r="T1589" s="432">
        <f t="shared" si="283"/>
        <v>0</v>
      </c>
    </row>
    <row r="1590" spans="1:20" ht="22.2" hidden="1" customHeight="1">
      <c r="A1590" s="379"/>
      <c r="B1590" s="491" t="s">
        <v>1174</v>
      </c>
      <c r="C1590" s="469" t="str">
        <f t="shared" si="279"/>
        <v xml:space="preserve"> </v>
      </c>
      <c r="D1590" s="440">
        <f>ROUND((E1494+E1502)*1.03/1200,0)</f>
        <v>0</v>
      </c>
      <c r="E1590" s="422"/>
      <c r="F1590" s="441" t="str">
        <f>VLOOKUP($B1590,[1]DG!A:D,[1]DG!$C$2,)</f>
        <v>Ống nối dây cỡ 150mm2</v>
      </c>
      <c r="G1590" s="422" t="str">
        <f>VLOOKUP($B1590,[1]DG!A:D,[1]DG!$D$2,)</f>
        <v>cái</v>
      </c>
      <c r="H1590" s="435">
        <f t="shared" si="280"/>
        <v>0</v>
      </c>
      <c r="I1590" s="435"/>
      <c r="J1590" s="435">
        <f t="shared" si="281"/>
        <v>0</v>
      </c>
      <c r="K1590" s="435"/>
      <c r="L1590" s="435"/>
      <c r="M1590" s="435"/>
      <c r="N1590" s="435"/>
      <c r="O1590" s="435"/>
      <c r="P1590" s="435">
        <f t="shared" si="282"/>
        <v>0</v>
      </c>
      <c r="Q1590" s="442"/>
      <c r="R1590" s="442"/>
      <c r="S1590" s="442"/>
      <c r="T1590" s="432">
        <f t="shared" si="283"/>
        <v>0</v>
      </c>
    </row>
    <row r="1591" spans="1:20" ht="22.2" hidden="1" customHeight="1">
      <c r="A1591" s="379"/>
      <c r="B1591" s="491" t="s">
        <v>1175</v>
      </c>
      <c r="C1591" s="469" t="str">
        <f t="shared" si="279"/>
        <v xml:space="preserve"> </v>
      </c>
      <c r="D1591" s="440">
        <f>ROUND((E1493+E1501)*1.03/1200,0)</f>
        <v>0</v>
      </c>
      <c r="E1591" s="422"/>
      <c r="F1591" s="441" t="str">
        <f>VLOOKUP($B1591,[1]DG!A:D,[1]DG!$C$2,)</f>
        <v>Ống nối dây cỡ 185mm2</v>
      </c>
      <c r="G1591" s="422" t="str">
        <f>VLOOKUP($B1591,[1]DG!A:D,[1]DG!$D$2,)</f>
        <v>cái</v>
      </c>
      <c r="H1591" s="435">
        <f t="shared" si="280"/>
        <v>0</v>
      </c>
      <c r="I1591" s="435"/>
      <c r="J1591" s="435">
        <f t="shared" si="281"/>
        <v>0</v>
      </c>
      <c r="K1591" s="435"/>
      <c r="L1591" s="435"/>
      <c r="M1591" s="435"/>
      <c r="N1591" s="435"/>
      <c r="O1591" s="435"/>
      <c r="P1591" s="435">
        <f t="shared" si="282"/>
        <v>0</v>
      </c>
      <c r="Q1591" s="442"/>
      <c r="R1591" s="442"/>
      <c r="S1591" s="442"/>
      <c r="T1591" s="432">
        <f t="shared" si="283"/>
        <v>0</v>
      </c>
    </row>
    <row r="1592" spans="1:20" ht="22.2" hidden="1" customHeight="1">
      <c r="A1592" s="379"/>
      <c r="B1592" s="491" t="s">
        <v>1176</v>
      </c>
      <c r="C1592" s="469" t="str">
        <f t="shared" si="279"/>
        <v xml:space="preserve"> </v>
      </c>
      <c r="D1592" s="440">
        <f>ROUND((E1492+E1500)*1.03/1200,0)</f>
        <v>0</v>
      </c>
      <c r="E1592" s="422"/>
      <c r="F1592" s="441" t="str">
        <f>VLOOKUP($B1592,[1]DG!A:D,[1]DG!$C$2,)</f>
        <v>Ống nối dây cỡ 240mm2</v>
      </c>
      <c r="G1592" s="422" t="str">
        <f>VLOOKUP($B1592,[1]DG!A:D,[1]DG!$D$2,)</f>
        <v>cái</v>
      </c>
      <c r="H1592" s="435">
        <f t="shared" si="280"/>
        <v>0</v>
      </c>
      <c r="I1592" s="435"/>
      <c r="J1592" s="435">
        <f t="shared" si="281"/>
        <v>0</v>
      </c>
      <c r="K1592" s="435"/>
      <c r="L1592" s="435"/>
      <c r="M1592" s="435"/>
      <c r="N1592" s="435"/>
      <c r="O1592" s="435"/>
      <c r="P1592" s="435">
        <f t="shared" si="282"/>
        <v>0</v>
      </c>
      <c r="Q1592" s="442"/>
      <c r="R1592" s="442"/>
      <c r="S1592" s="442"/>
      <c r="T1592" s="432">
        <f t="shared" si="283"/>
        <v>0</v>
      </c>
    </row>
    <row r="1593" spans="1:20" ht="22.2" hidden="1" customHeight="1">
      <c r="A1593" s="379"/>
      <c r="B1593" s="496" t="s">
        <v>1177</v>
      </c>
      <c r="C1593" s="469" t="str">
        <f t="shared" si="279"/>
        <v xml:space="preserve"> </v>
      </c>
      <c r="D1593" s="440"/>
      <c r="E1593" s="422"/>
      <c r="F1593" s="441" t="str">
        <f>VLOOKUP($B1593,[1]DG!A:D,[1]DG!$C$2,)</f>
        <v xml:space="preserve">Dây nhôm buộc </v>
      </c>
      <c r="G1593" s="422" t="str">
        <f>VLOOKUP($B1593,[1]DG!A:D,[1]DG!$D$2,)</f>
        <v>kg</v>
      </c>
      <c r="H1593" s="435">
        <f t="shared" si="280"/>
        <v>0</v>
      </c>
      <c r="I1593" s="435"/>
      <c r="J1593" s="435">
        <f t="shared" si="281"/>
        <v>0</v>
      </c>
      <c r="K1593" s="435"/>
      <c r="L1593" s="435"/>
      <c r="M1593" s="435"/>
      <c r="N1593" s="435"/>
      <c r="O1593" s="435"/>
      <c r="P1593" s="435">
        <f>H1593+Q1593-R1593</f>
        <v>0</v>
      </c>
      <c r="Q1593" s="442"/>
      <c r="R1593" s="442"/>
      <c r="S1593" s="442"/>
      <c r="T1593" s="432">
        <f t="shared" si="283"/>
        <v>0</v>
      </c>
    </row>
    <row r="1594" spans="1:20" ht="22.2" hidden="1" customHeight="1">
      <c r="A1594" s="379"/>
      <c r="B1594" s="491" t="s">
        <v>1178</v>
      </c>
      <c r="C1594" s="469" t="str">
        <f t="shared" ref="C1594:C1657" si="284">IF(OR(P1594&lt;&gt;0,H1594&lt;&gt;0),"x"," ")</f>
        <v xml:space="preserve"> </v>
      </c>
      <c r="D1594" s="440"/>
      <c r="E1594" s="422"/>
      <c r="F1594" s="441" t="str">
        <f>VLOOKUP($B1594,[1]DG!A:D,[1]DG!$C$2,)</f>
        <v>Biển số - Bảng nguy hiểm</v>
      </c>
      <c r="G1594" s="422" t="str">
        <f>VLOOKUP($B1594,[1]DG!A:D,[1]DG!$D$2,)</f>
        <v>cái</v>
      </c>
      <c r="H1594" s="435">
        <f t="shared" si="280"/>
        <v>0</v>
      </c>
      <c r="I1594" s="435"/>
      <c r="J1594" s="435">
        <f t="shared" si="281"/>
        <v>0</v>
      </c>
      <c r="K1594" s="435"/>
      <c r="L1594" s="435"/>
      <c r="M1594" s="435"/>
      <c r="N1594" s="435"/>
      <c r="O1594" s="435"/>
      <c r="P1594" s="435">
        <f t="shared" si="282"/>
        <v>0</v>
      </c>
      <c r="Q1594" s="442"/>
      <c r="R1594" s="442"/>
      <c r="S1594" s="442"/>
      <c r="T1594" s="432">
        <f t="shared" si="283"/>
        <v>0</v>
      </c>
    </row>
    <row r="1595" spans="1:20" ht="22.2" hidden="1" customHeight="1">
      <c r="A1595" s="379"/>
      <c r="B1595" s="491" t="s">
        <v>1179</v>
      </c>
      <c r="C1595" s="469" t="str">
        <f t="shared" si="284"/>
        <v xml:space="preserve"> </v>
      </c>
      <c r="D1595" s="433"/>
      <c r="E1595" s="422" t="str">
        <f>VLOOKUP($B1595,[1]DG!A:D,[1]DG!$B$2,)</f>
        <v>06.6114</v>
      </c>
      <c r="F1595" s="441" t="s">
        <v>1180</v>
      </c>
      <c r="G1595" s="422" t="str">
        <f>VLOOKUP($B1595,[1]DG!A:D,[1]DG!$D$2,)</f>
        <v>km</v>
      </c>
      <c r="H1595" s="435"/>
      <c r="I1595" s="435"/>
      <c r="J1595" s="435"/>
      <c r="K1595" s="435"/>
      <c r="L1595" s="435"/>
      <c r="M1595" s="435"/>
      <c r="N1595" s="435"/>
      <c r="O1595" s="435"/>
      <c r="P1595" s="435">
        <f t="shared" si="282"/>
        <v>0</v>
      </c>
      <c r="Q1595" s="442"/>
      <c r="R1595" s="442"/>
      <c r="S1595" s="442"/>
      <c r="T1595" s="432">
        <f t="shared" si="283"/>
        <v>0</v>
      </c>
    </row>
    <row r="1596" spans="1:20" ht="22.2" hidden="1" customHeight="1">
      <c r="A1596" s="379"/>
      <c r="B1596" s="491" t="s">
        <v>1181</v>
      </c>
      <c r="C1596" s="469" t="str">
        <f t="shared" si="284"/>
        <v xml:space="preserve"> </v>
      </c>
      <c r="D1596" s="433">
        <f>(E1497)/1000</f>
        <v>0</v>
      </c>
      <c r="E1596" s="422" t="str">
        <f>VLOOKUP($B1596,[1]DG!A:D,[1]DG!$B$2,)</f>
        <v>06.6105</v>
      </c>
      <c r="F1596" s="434" t="str">
        <f>VLOOKUP($B1596,[1]DG!A:D,[1]DG!$C$2,)</f>
        <v>Kéo dây nhôm lõi thép cỡ dây 70mm2</v>
      </c>
      <c r="G1596" s="422" t="str">
        <f>VLOOKUP($B1596,[1]DG!A:D,[1]DG!$D$2,)</f>
        <v>km</v>
      </c>
      <c r="H1596" s="435"/>
      <c r="I1596" s="435"/>
      <c r="J1596" s="435"/>
      <c r="K1596" s="435"/>
      <c r="L1596" s="435"/>
      <c r="M1596" s="435"/>
      <c r="N1596" s="435"/>
      <c r="O1596" s="435"/>
      <c r="P1596" s="435">
        <f t="shared" si="282"/>
        <v>0</v>
      </c>
      <c r="Q1596" s="442"/>
      <c r="R1596" s="442"/>
      <c r="S1596" s="442"/>
      <c r="T1596" s="432">
        <f t="shared" si="283"/>
        <v>0</v>
      </c>
    </row>
    <row r="1597" spans="1:20" ht="22.2" hidden="1" customHeight="1">
      <c r="A1597" s="379"/>
      <c r="B1597" s="491" t="s">
        <v>1182</v>
      </c>
      <c r="C1597" s="469" t="str">
        <f t="shared" si="284"/>
        <v xml:space="preserve"> </v>
      </c>
      <c r="D1597" s="433">
        <f>(E1496)/1000</f>
        <v>0</v>
      </c>
      <c r="E1597" s="422" t="str">
        <f>VLOOKUP($B1597,[1]DG!A:D,[1]DG!$B$2,)</f>
        <v>06.6106</v>
      </c>
      <c r="F1597" s="434" t="str">
        <f>VLOOKUP($B1597,[1]DG!A:D,[1]DG!$C$2,)</f>
        <v>Kéo dây nhôm lõi thép cỡ dây 95mm2</v>
      </c>
      <c r="G1597" s="422" t="str">
        <f>VLOOKUP($B1597,[1]DG!A:D,[1]DG!$D$2,)</f>
        <v>km</v>
      </c>
      <c r="H1597" s="435"/>
      <c r="I1597" s="435"/>
      <c r="J1597" s="435"/>
      <c r="K1597" s="435"/>
      <c r="L1597" s="435"/>
      <c r="M1597" s="435"/>
      <c r="N1597" s="435"/>
      <c r="O1597" s="435"/>
      <c r="P1597" s="435">
        <f t="shared" si="282"/>
        <v>0</v>
      </c>
      <c r="Q1597" s="442"/>
      <c r="R1597" s="442"/>
      <c r="S1597" s="442"/>
      <c r="T1597" s="432">
        <f t="shared" si="283"/>
        <v>0</v>
      </c>
    </row>
    <row r="1598" spans="1:20" ht="22.2" hidden="1" customHeight="1">
      <c r="A1598" s="379"/>
      <c r="B1598" s="491" t="s">
        <v>1183</v>
      </c>
      <c r="C1598" s="469" t="str">
        <f t="shared" si="284"/>
        <v xml:space="preserve"> </v>
      </c>
      <c r="D1598" s="433">
        <f>(E1495)/1000</f>
        <v>0</v>
      </c>
      <c r="E1598" s="422" t="str">
        <f>VLOOKUP($B1598,[1]DG!A:D,[1]DG!$B$2,)</f>
        <v>06.6107</v>
      </c>
      <c r="F1598" s="434" t="str">
        <f>VLOOKUP($B1598,[1]DG!A:D,[1]DG!$C$2,)</f>
        <v>Kéo dây nhôm lõi thép cỡ dây 120mm2</v>
      </c>
      <c r="G1598" s="422" t="str">
        <f>VLOOKUP($B1598,[1]DG!A:D,[1]DG!$D$2,)</f>
        <v>km</v>
      </c>
      <c r="H1598" s="435"/>
      <c r="I1598" s="435"/>
      <c r="J1598" s="435"/>
      <c r="K1598" s="435"/>
      <c r="L1598" s="435"/>
      <c r="M1598" s="435"/>
      <c r="N1598" s="435"/>
      <c r="O1598" s="435"/>
      <c r="P1598" s="435">
        <f t="shared" si="282"/>
        <v>0</v>
      </c>
      <c r="Q1598" s="442"/>
      <c r="R1598" s="442"/>
      <c r="S1598" s="442"/>
      <c r="T1598" s="432">
        <f t="shared" si="283"/>
        <v>0</v>
      </c>
    </row>
    <row r="1599" spans="1:20" ht="22.2" hidden="1" customHeight="1">
      <c r="A1599" s="379"/>
      <c r="B1599" s="491" t="s">
        <v>1184</v>
      </c>
      <c r="C1599" s="469" t="str">
        <f t="shared" si="284"/>
        <v xml:space="preserve"> </v>
      </c>
      <c r="D1599" s="433">
        <f>(E1494)/1000</f>
        <v>0</v>
      </c>
      <c r="E1599" s="422" t="str">
        <f>VLOOKUP($B1599,[1]DG!A:D,[1]DG!$B$2,)</f>
        <v>06.6108</v>
      </c>
      <c r="F1599" s="434" t="str">
        <f>VLOOKUP($B1599,[1]DG!A:D,[1]DG!$C$2,)</f>
        <v>Kéo dây nhôm lõi thép cỡ dây 150mm2</v>
      </c>
      <c r="G1599" s="422" t="str">
        <f>VLOOKUP($B1599,[1]DG!A:D,[1]DG!$D$2,)</f>
        <v>km</v>
      </c>
      <c r="H1599" s="435"/>
      <c r="I1599" s="435"/>
      <c r="J1599" s="435"/>
      <c r="K1599" s="435"/>
      <c r="L1599" s="435"/>
      <c r="M1599" s="435"/>
      <c r="N1599" s="435"/>
      <c r="O1599" s="435"/>
      <c r="P1599" s="435">
        <f t="shared" si="282"/>
        <v>0</v>
      </c>
      <c r="Q1599" s="442"/>
      <c r="R1599" s="442"/>
      <c r="S1599" s="442"/>
      <c r="T1599" s="432">
        <f t="shared" si="283"/>
        <v>0</v>
      </c>
    </row>
    <row r="1600" spans="1:20" ht="22.2" hidden="1" customHeight="1">
      <c r="A1600" s="379"/>
      <c r="B1600" s="496" t="s">
        <v>1185</v>
      </c>
      <c r="C1600" s="469" t="str">
        <f t="shared" si="284"/>
        <v xml:space="preserve"> </v>
      </c>
      <c r="D1600" s="433"/>
      <c r="E1600" s="422" t="str">
        <f>VLOOKUP($B1600,[1]DG!A:D,[1]DG!$B$2,)</f>
        <v>06.6114</v>
      </c>
      <c r="F1600" s="434" t="str">
        <f>VLOOKUP($B1600,[1]DG!A:D,[1]DG!$C$2,)</f>
        <v>Kéo dây nhôm bọc cỡ dây 50mm2</v>
      </c>
      <c r="G1600" s="422" t="str">
        <f>VLOOKUP($B1600,[1]DG!A:D,[1]DG!$D$2,)</f>
        <v>km</v>
      </c>
      <c r="H1600" s="435">
        <f>$D1600</f>
        <v>0</v>
      </c>
      <c r="I1600" s="435"/>
      <c r="J1600" s="435"/>
      <c r="K1600" s="435"/>
      <c r="L1600" s="435"/>
      <c r="M1600" s="435"/>
      <c r="N1600" s="435"/>
      <c r="O1600" s="435"/>
      <c r="P1600" s="435">
        <f t="shared" si="282"/>
        <v>0</v>
      </c>
      <c r="Q1600" s="442"/>
      <c r="R1600" s="442"/>
      <c r="S1600" s="442"/>
      <c r="T1600" s="432">
        <f t="shared" si="283"/>
        <v>0</v>
      </c>
    </row>
    <row r="1601" spans="1:20" ht="22.2" hidden="1" customHeight="1">
      <c r="A1601" s="379"/>
      <c r="B1601" s="491" t="s">
        <v>1186</v>
      </c>
      <c r="C1601" s="469" t="str">
        <f t="shared" si="284"/>
        <v xml:space="preserve"> </v>
      </c>
      <c r="D1601" s="433">
        <f>(E1493)/1000</f>
        <v>0</v>
      </c>
      <c r="E1601" s="422" t="str">
        <f>VLOOKUP($B1601,[1]DG!A:D,[1]DG!$B$2,)</f>
        <v>06.6109</v>
      </c>
      <c r="F1601" s="434" t="str">
        <f>VLOOKUP($B1601,[1]DG!A:D,[1]DG!$C$2,)</f>
        <v>Kéo dây nhôm lõi thép cỡ dây 185mm2</v>
      </c>
      <c r="G1601" s="422" t="str">
        <f>VLOOKUP($B1601,[1]DG!A:D,[1]DG!$D$2,)</f>
        <v>km</v>
      </c>
      <c r="H1601" s="435"/>
      <c r="I1601" s="435"/>
      <c r="J1601" s="435"/>
      <c r="K1601" s="435"/>
      <c r="L1601" s="435"/>
      <c r="M1601" s="435"/>
      <c r="N1601" s="435"/>
      <c r="O1601" s="435"/>
      <c r="P1601" s="435">
        <f t="shared" si="282"/>
        <v>0</v>
      </c>
      <c r="Q1601" s="442"/>
      <c r="R1601" s="442"/>
      <c r="S1601" s="442"/>
      <c r="T1601" s="432">
        <f t="shared" si="283"/>
        <v>0</v>
      </c>
    </row>
    <row r="1602" spans="1:20" ht="22.2" hidden="1" customHeight="1">
      <c r="A1602" s="379"/>
      <c r="B1602" s="491" t="s">
        <v>1187</v>
      </c>
      <c r="C1602" s="469" t="str">
        <f t="shared" si="284"/>
        <v xml:space="preserve"> </v>
      </c>
      <c r="D1602" s="433">
        <f>(E1492)/1000</f>
        <v>0</v>
      </c>
      <c r="E1602" s="422" t="str">
        <f>VLOOKUP($B1602,[1]DG!A:D,[1]DG!$B$2,)</f>
        <v>06.6110</v>
      </c>
      <c r="F1602" s="434" t="str">
        <f>VLOOKUP($B1602,[1]DG!A:D,[1]DG!$C$2,)</f>
        <v>Kéo dây nhôm lõi thép cỡ dây 240mm2</v>
      </c>
      <c r="G1602" s="422" t="str">
        <f>VLOOKUP($B1602,[1]DG!A:D,[1]DG!$D$2,)</f>
        <v>km</v>
      </c>
      <c r="H1602" s="435"/>
      <c r="I1602" s="435"/>
      <c r="J1602" s="435"/>
      <c r="K1602" s="435"/>
      <c r="L1602" s="435"/>
      <c r="M1602" s="435"/>
      <c r="N1602" s="435"/>
      <c r="O1602" s="435"/>
      <c r="P1602" s="435">
        <f t="shared" si="282"/>
        <v>0</v>
      </c>
      <c r="Q1602" s="442"/>
      <c r="R1602" s="442"/>
      <c r="S1602" s="442"/>
      <c r="T1602" s="432">
        <f t="shared" si="283"/>
        <v>0</v>
      </c>
    </row>
    <row r="1603" spans="1:20" ht="22.2" hidden="1" customHeight="1">
      <c r="A1603" s="379"/>
      <c r="B1603" s="491" t="s">
        <v>1188</v>
      </c>
      <c r="C1603" s="469" t="str">
        <f t="shared" si="284"/>
        <v xml:space="preserve"> </v>
      </c>
      <c r="D1603" s="433">
        <f>E1505/1000</f>
        <v>0</v>
      </c>
      <c r="E1603" s="422" t="str">
        <f>VLOOKUP($B1603,[1]DG!A:D,[1]DG!$B$2,)</f>
        <v>06.6105</v>
      </c>
      <c r="F1603" s="434" t="str">
        <f>VLOOKUP($B1603,[1]DG!A:D,[1]DG!$C$2,)</f>
        <v>Kéo dây nhôm bọc 70mm2</v>
      </c>
      <c r="G1603" s="422" t="str">
        <f>VLOOKUP($B1603,[1]DG!A:D,[1]DG!$D$2,)</f>
        <v>km</v>
      </c>
      <c r="H1603" s="435"/>
      <c r="I1603" s="435"/>
      <c r="J1603" s="435"/>
      <c r="K1603" s="435"/>
      <c r="L1603" s="435"/>
      <c r="M1603" s="435"/>
      <c r="N1603" s="435"/>
      <c r="O1603" s="435"/>
      <c r="P1603" s="435">
        <f t="shared" si="282"/>
        <v>0</v>
      </c>
      <c r="Q1603" s="442"/>
      <c r="R1603" s="442"/>
      <c r="S1603" s="442"/>
      <c r="T1603" s="432">
        <f t="shared" si="283"/>
        <v>0</v>
      </c>
    </row>
    <row r="1604" spans="1:20" ht="22.2" hidden="1" customHeight="1">
      <c r="A1604" s="379"/>
      <c r="B1604" s="491" t="s">
        <v>1189</v>
      </c>
      <c r="C1604" s="469" t="str">
        <f t="shared" si="284"/>
        <v xml:space="preserve"> </v>
      </c>
      <c r="D1604" s="433">
        <f>E1504/1000</f>
        <v>0</v>
      </c>
      <c r="E1604" s="422" t="str">
        <f>VLOOKUP($B1604,[1]DG!A:D,[1]DG!$B$2,)</f>
        <v>06.6106</v>
      </c>
      <c r="F1604" s="434" t="str">
        <f>VLOOKUP($B1604,[1]DG!A:D,[1]DG!$C$2,)</f>
        <v>Kéo dây nhôm bọc 95mm2</v>
      </c>
      <c r="G1604" s="422" t="str">
        <f>VLOOKUP($B1604,[1]DG!A:D,[1]DG!$D$2,)</f>
        <v>km</v>
      </c>
      <c r="H1604" s="435"/>
      <c r="I1604" s="435"/>
      <c r="J1604" s="435"/>
      <c r="K1604" s="435"/>
      <c r="L1604" s="435"/>
      <c r="M1604" s="435"/>
      <c r="N1604" s="435"/>
      <c r="O1604" s="435"/>
      <c r="P1604" s="435">
        <f t="shared" si="282"/>
        <v>0</v>
      </c>
      <c r="Q1604" s="442"/>
      <c r="R1604" s="442"/>
      <c r="S1604" s="442"/>
      <c r="T1604" s="432">
        <f t="shared" si="283"/>
        <v>0</v>
      </c>
    </row>
    <row r="1605" spans="1:20" ht="22.2" hidden="1" customHeight="1">
      <c r="A1605" s="379"/>
      <c r="B1605" s="491" t="s">
        <v>1190</v>
      </c>
      <c r="C1605" s="469" t="str">
        <f t="shared" si="284"/>
        <v xml:space="preserve"> </v>
      </c>
      <c r="D1605" s="433">
        <f>E1503/1000</f>
        <v>0</v>
      </c>
      <c r="E1605" s="422" t="str">
        <f>VLOOKUP($B1605,[1]DG!A:D,[1]DG!$B$2,)</f>
        <v>06.6107</v>
      </c>
      <c r="F1605" s="434" t="str">
        <f>VLOOKUP($B1605,[1]DG!A:D,[1]DG!$C$2,)</f>
        <v>Kéo dây nhôm bọc 120mm2</v>
      </c>
      <c r="G1605" s="422" t="str">
        <f>VLOOKUP($B1605,[1]DG!A:D,[1]DG!$D$2,)</f>
        <v>km</v>
      </c>
      <c r="H1605" s="435"/>
      <c r="I1605" s="435"/>
      <c r="J1605" s="435"/>
      <c r="K1605" s="435"/>
      <c r="L1605" s="435"/>
      <c r="M1605" s="435"/>
      <c r="N1605" s="435"/>
      <c r="O1605" s="435"/>
      <c r="P1605" s="435">
        <f t="shared" si="282"/>
        <v>0</v>
      </c>
      <c r="Q1605" s="442"/>
      <c r="R1605" s="442"/>
      <c r="S1605" s="442"/>
      <c r="T1605" s="432">
        <f t="shared" si="283"/>
        <v>0</v>
      </c>
    </row>
    <row r="1606" spans="1:20" ht="22.2" hidden="1" customHeight="1">
      <c r="A1606" s="379"/>
      <c r="B1606" s="491" t="s">
        <v>1191</v>
      </c>
      <c r="C1606" s="469" t="str">
        <f t="shared" si="284"/>
        <v xml:space="preserve"> </v>
      </c>
      <c r="D1606" s="433">
        <f>E1502/1000</f>
        <v>0</v>
      </c>
      <c r="E1606" s="422" t="str">
        <f>VLOOKUP($B1606,[1]DG!A:D,[1]DG!$B$2,)</f>
        <v>06.6108</v>
      </c>
      <c r="F1606" s="434" t="str">
        <f>VLOOKUP($B1606,[1]DG!A:D,[1]DG!$C$2,)</f>
        <v>Kéo dây nhôm bọc 150mm2</v>
      </c>
      <c r="G1606" s="422" t="str">
        <f>VLOOKUP($B1606,[1]DG!A:D,[1]DG!$D$2,)</f>
        <v>km</v>
      </c>
      <c r="H1606" s="435"/>
      <c r="I1606" s="435"/>
      <c r="J1606" s="435"/>
      <c r="K1606" s="435"/>
      <c r="L1606" s="435"/>
      <c r="M1606" s="435"/>
      <c r="N1606" s="435"/>
      <c r="O1606" s="435"/>
      <c r="P1606" s="435">
        <f t="shared" si="282"/>
        <v>0</v>
      </c>
      <c r="Q1606" s="442"/>
      <c r="R1606" s="442"/>
      <c r="S1606" s="442"/>
      <c r="T1606" s="432">
        <f t="shared" si="283"/>
        <v>0</v>
      </c>
    </row>
    <row r="1607" spans="1:20" ht="22.2" hidden="1" customHeight="1">
      <c r="A1607" s="379"/>
      <c r="B1607" s="491" t="s">
        <v>1192</v>
      </c>
      <c r="C1607" s="469" t="str">
        <f t="shared" si="284"/>
        <v xml:space="preserve"> </v>
      </c>
      <c r="D1607" s="433">
        <f>E1501/1000</f>
        <v>0</v>
      </c>
      <c r="E1607" s="422" t="str">
        <f>VLOOKUP($B1607,[1]DG!A:D,[1]DG!$B$2,)</f>
        <v>06.6109</v>
      </c>
      <c r="F1607" s="434" t="str">
        <f>VLOOKUP($B1607,[1]DG!A:D,[1]DG!$C$2,)</f>
        <v>Kéo dây nhôm bọc 185mm2</v>
      </c>
      <c r="G1607" s="422" t="str">
        <f>VLOOKUP($B1607,[1]DG!A:D,[1]DG!$D$2,)</f>
        <v>km</v>
      </c>
      <c r="H1607" s="435"/>
      <c r="I1607" s="435"/>
      <c r="J1607" s="435"/>
      <c r="K1607" s="435"/>
      <c r="L1607" s="435"/>
      <c r="M1607" s="435"/>
      <c r="N1607" s="435"/>
      <c r="O1607" s="435"/>
      <c r="P1607" s="435">
        <f t="shared" si="282"/>
        <v>0</v>
      </c>
      <c r="Q1607" s="442"/>
      <c r="R1607" s="442"/>
      <c r="S1607" s="442"/>
      <c r="T1607" s="432">
        <f t="shared" si="283"/>
        <v>0</v>
      </c>
    </row>
    <row r="1608" spans="1:20" ht="22.2" hidden="1" customHeight="1">
      <c r="A1608" s="379"/>
      <c r="B1608" s="491" t="s">
        <v>1193</v>
      </c>
      <c r="C1608" s="469" t="str">
        <f t="shared" si="284"/>
        <v xml:space="preserve"> </v>
      </c>
      <c r="D1608" s="433">
        <f>E1500/1000</f>
        <v>0</v>
      </c>
      <c r="E1608" s="422" t="str">
        <f>VLOOKUP($B1608,[1]DG!A:D,[1]DG!$B$2,)</f>
        <v>06.6110</v>
      </c>
      <c r="F1608" s="434" t="str">
        <f>VLOOKUP($B1608,[1]DG!A:D,[1]DG!$C$2,)</f>
        <v>Kéo dây nhôm bọc 240mm2</v>
      </c>
      <c r="G1608" s="422" t="str">
        <f>VLOOKUP($B1608,[1]DG!A:D,[1]DG!$D$2,)</f>
        <v>km</v>
      </c>
      <c r="H1608" s="435"/>
      <c r="I1608" s="435"/>
      <c r="J1608" s="435"/>
      <c r="K1608" s="435"/>
      <c r="L1608" s="435"/>
      <c r="M1608" s="435"/>
      <c r="N1608" s="435"/>
      <c r="O1608" s="435"/>
      <c r="P1608" s="435">
        <f t="shared" si="282"/>
        <v>0</v>
      </c>
      <c r="Q1608" s="442"/>
      <c r="R1608" s="442"/>
      <c r="S1608" s="442"/>
      <c r="T1608" s="432">
        <f t="shared" si="283"/>
        <v>0</v>
      </c>
    </row>
    <row r="1609" spans="1:20" ht="22.2" hidden="1" customHeight="1">
      <c r="A1609" s="379"/>
      <c r="B1609" s="491" t="s">
        <v>1194</v>
      </c>
      <c r="C1609" s="469" t="str">
        <f t="shared" si="284"/>
        <v xml:space="preserve"> </v>
      </c>
      <c r="D1609" s="440">
        <f>SUM(D1551:D1552)</f>
        <v>0</v>
      </c>
      <c r="E1609" s="422" t="str">
        <f>VLOOKUP($B1609,[1]DG!A:D,[1]DG!$B$2,)</f>
        <v>06.1410</v>
      </c>
      <c r="F1609" s="434" t="str">
        <f>VLOOKUP($B1609,[1]DG!A:D,[1]DG!$C$2,)</f>
        <v>Lắp chuỗi sứ đỡ 2 bát/chuỗi</v>
      </c>
      <c r="G1609" s="422" t="str">
        <f>VLOOKUP($B1609,[1]DG!A:D,[1]DG!$D$2,)</f>
        <v>chuỗi</v>
      </c>
      <c r="H1609" s="435"/>
      <c r="I1609" s="435"/>
      <c r="J1609" s="435"/>
      <c r="K1609" s="435"/>
      <c r="L1609" s="435"/>
      <c r="M1609" s="435"/>
      <c r="N1609" s="435"/>
      <c r="O1609" s="435"/>
      <c r="P1609" s="435">
        <f t="shared" si="282"/>
        <v>0</v>
      </c>
      <c r="Q1609" s="437"/>
      <c r="R1609" s="437"/>
      <c r="S1609" s="437"/>
      <c r="T1609" s="432">
        <f t="shared" si="283"/>
        <v>0</v>
      </c>
    </row>
    <row r="1610" spans="1:20" ht="22.2" hidden="1" customHeight="1">
      <c r="A1610" s="379"/>
      <c r="B1610" s="491" t="s">
        <v>1195</v>
      </c>
      <c r="C1610" s="469" t="str">
        <f t="shared" si="284"/>
        <v xml:space="preserve"> </v>
      </c>
      <c r="D1610" s="440">
        <f>+D1533+D1539-D1609</f>
        <v>0</v>
      </c>
      <c r="E1610" s="422" t="str">
        <f>VLOOKUP($B1610,[1]DG!A:D,[1]DG!$B$2,)</f>
        <v>06.1511</v>
      </c>
      <c r="F1610" s="434" t="str">
        <f>VLOOKUP($B1610,[1]DG!A:D,[1]DG!$C$2,)</f>
        <v>Lắp chuỗi sứ néo 2 bát/chuỗi</v>
      </c>
      <c r="G1610" s="422" t="str">
        <f>VLOOKUP($B1610,[1]DG!A:D,[1]DG!$D$2,)</f>
        <v>chuỗi</v>
      </c>
      <c r="H1610" s="435"/>
      <c r="I1610" s="435"/>
      <c r="J1610" s="435"/>
      <c r="K1610" s="435"/>
      <c r="L1610" s="435"/>
      <c r="M1610" s="435"/>
      <c r="N1610" s="435"/>
      <c r="O1610" s="435"/>
      <c r="P1610" s="435">
        <f t="shared" si="282"/>
        <v>0</v>
      </c>
      <c r="Q1610" s="437"/>
      <c r="R1610" s="437"/>
      <c r="S1610" s="437"/>
      <c r="T1610" s="432">
        <f t="shared" si="283"/>
        <v>0</v>
      </c>
    </row>
    <row r="1611" spans="1:20" ht="22.2" hidden="1" customHeight="1">
      <c r="A1611" s="379"/>
      <c r="B1611" s="491" t="s">
        <v>425</v>
      </c>
      <c r="C1611" s="469" t="str">
        <f t="shared" si="284"/>
        <v xml:space="preserve"> </v>
      </c>
      <c r="D1611" s="440"/>
      <c r="E1611" s="422" t="str">
        <f>VLOOKUP($B1611,[1]DG!A:D,[1]DG!$B$2,)</f>
        <v>06.2201</v>
      </c>
      <c r="F1611" s="434" t="s">
        <v>1196</v>
      </c>
      <c r="G1611" s="422" t="str">
        <f>VLOOKUP($B1611,[1]DG!A:D,[1]DG!$D$2,)</f>
        <v>chuỗi</v>
      </c>
      <c r="H1611" s="435"/>
      <c r="I1611" s="435"/>
      <c r="J1611" s="435"/>
      <c r="K1611" s="435"/>
      <c r="L1611" s="435"/>
      <c r="M1611" s="435"/>
      <c r="N1611" s="435"/>
      <c r="O1611" s="435"/>
      <c r="P1611" s="435">
        <f t="shared" si="282"/>
        <v>0</v>
      </c>
      <c r="Q1611" s="437"/>
      <c r="R1611" s="437"/>
      <c r="S1611" s="437"/>
      <c r="T1611" s="432">
        <f t="shared" si="283"/>
        <v>0</v>
      </c>
    </row>
    <row r="1612" spans="1:20" ht="22.2" hidden="1" customHeight="1">
      <c r="A1612" s="379"/>
      <c r="B1612" s="496" t="s">
        <v>425</v>
      </c>
      <c r="C1612" s="469" t="str">
        <f t="shared" si="284"/>
        <v xml:space="preserve"> </v>
      </c>
      <c r="D1612" s="440">
        <f>SUM(I1612:O1612)</f>
        <v>0</v>
      </c>
      <c r="E1612" s="422" t="str">
        <f>VLOOKUP($B1612,[1]DG!A:D,[1]DG!$B$2,)</f>
        <v>06.2201</v>
      </c>
      <c r="F1612" s="434" t="str">
        <f>VLOOKUP($B1612,[1]DG!A:D,[1]DG!$C$2,)</f>
        <v>Lắp chuỗi sứ néo Polymer</v>
      </c>
      <c r="G1612" s="422" t="str">
        <f>VLOOKUP($B1612,[1]DG!A:D,[1]DG!$D$2,)</f>
        <v>chuỗi</v>
      </c>
      <c r="H1612" s="435">
        <f>$D1612</f>
        <v>0</v>
      </c>
      <c r="I1612" s="435"/>
      <c r="J1612" s="435"/>
      <c r="K1612" s="435">
        <f>[1]pp_NC!DJ184</f>
        <v>0</v>
      </c>
      <c r="L1612" s="435"/>
      <c r="M1612" s="435"/>
      <c r="N1612" s="435"/>
      <c r="O1612" s="435"/>
      <c r="P1612" s="435">
        <f t="shared" si="282"/>
        <v>0</v>
      </c>
      <c r="Q1612" s="437"/>
      <c r="R1612" s="437"/>
      <c r="S1612" s="437"/>
      <c r="T1612" s="432">
        <f t="shared" si="283"/>
        <v>0</v>
      </c>
    </row>
    <row r="1613" spans="1:20" ht="22.2" hidden="1" customHeight="1">
      <c r="A1613" s="379"/>
      <c r="B1613" s="496" t="s">
        <v>423</v>
      </c>
      <c r="C1613" s="469" t="str">
        <f t="shared" si="284"/>
        <v xml:space="preserve"> </v>
      </c>
      <c r="D1613" s="440">
        <f>D1522</f>
        <v>0</v>
      </c>
      <c r="E1613" s="422" t="str">
        <f>VLOOKUP($B1613,[1]DG!A:D,[1]DG!$B$2,)</f>
        <v>06.1115</v>
      </c>
      <c r="F1613" s="434" t="s">
        <v>1197</v>
      </c>
      <c r="G1613" s="422" t="str">
        <f>VLOOKUP($B1613,[1]DG!A:D,[1]DG!$D$2,)</f>
        <v>bộ</v>
      </c>
      <c r="H1613" s="435">
        <f>$D1613</f>
        <v>0</v>
      </c>
      <c r="I1613" s="435"/>
      <c r="J1613" s="435"/>
      <c r="K1613" s="435"/>
      <c r="L1613" s="435"/>
      <c r="M1613" s="435"/>
      <c r="N1613" s="435"/>
      <c r="O1613" s="435"/>
      <c r="P1613" s="435">
        <f t="shared" si="282"/>
        <v>0</v>
      </c>
      <c r="Q1613" s="437"/>
      <c r="R1613" s="437"/>
      <c r="S1613" s="437"/>
      <c r="T1613" s="432">
        <f t="shared" si="283"/>
        <v>0</v>
      </c>
    </row>
    <row r="1614" spans="1:20" ht="22.2" hidden="1" customHeight="1">
      <c r="A1614" s="379"/>
      <c r="B1614" s="491" t="s">
        <v>1198</v>
      </c>
      <c r="C1614" s="469" t="str">
        <f t="shared" si="284"/>
        <v xml:space="preserve"> </v>
      </c>
      <c r="D1614" s="440"/>
      <c r="E1614" s="422" t="str">
        <f>VLOOKUP($B1614,[1]DG!A:D,[1]DG!$B$2,)</f>
        <v>06.1211</v>
      </c>
      <c r="F1614" s="434" t="s">
        <v>1199</v>
      </c>
      <c r="G1614" s="422" t="str">
        <f>VLOOKUP($B1614,[1]DG!A:D,[1]DG!$D$2,)</f>
        <v>bộ</v>
      </c>
      <c r="H1614" s="435"/>
      <c r="I1614" s="435"/>
      <c r="J1614" s="435"/>
      <c r="K1614" s="435"/>
      <c r="L1614" s="435"/>
      <c r="M1614" s="435"/>
      <c r="N1614" s="435"/>
      <c r="O1614" s="435"/>
      <c r="P1614" s="435">
        <f t="shared" si="282"/>
        <v>0</v>
      </c>
      <c r="Q1614" s="442"/>
      <c r="R1614" s="442"/>
      <c r="S1614" s="442"/>
      <c r="T1614" s="432">
        <f t="shared" si="283"/>
        <v>0</v>
      </c>
    </row>
    <row r="1615" spans="1:20" ht="22.2" hidden="1" customHeight="1">
      <c r="A1615" s="379"/>
      <c r="B1615" s="491" t="s">
        <v>1200</v>
      </c>
      <c r="C1615" s="469" t="str">
        <f t="shared" si="284"/>
        <v xml:space="preserve"> </v>
      </c>
      <c r="D1615" s="440"/>
      <c r="E1615" s="422" t="str">
        <f>VLOOKUP($B1615,[1]DG!A:D,[1]DG!$B$2,)</f>
        <v>06.1214</v>
      </c>
      <c r="F1615" s="434" t="s">
        <v>1201</v>
      </c>
      <c r="G1615" s="422" t="str">
        <f>VLOOKUP($B1615,[1]DG!A:D,[1]DG!$D$2,)</f>
        <v>bộ</v>
      </c>
      <c r="H1615" s="435"/>
      <c r="I1615" s="435"/>
      <c r="J1615" s="435"/>
      <c r="K1615" s="435"/>
      <c r="L1615" s="435"/>
      <c r="M1615" s="435"/>
      <c r="N1615" s="435"/>
      <c r="O1615" s="435"/>
      <c r="P1615" s="435">
        <f t="shared" si="282"/>
        <v>0</v>
      </c>
      <c r="Q1615" s="442"/>
      <c r="R1615" s="442"/>
      <c r="S1615" s="442"/>
      <c r="T1615" s="432">
        <f t="shared" si="283"/>
        <v>0</v>
      </c>
    </row>
    <row r="1616" spans="1:20" ht="22.2" hidden="1" customHeight="1">
      <c r="A1616" s="379"/>
      <c r="B1616" s="491" t="s">
        <v>1202</v>
      </c>
      <c r="C1616" s="469" t="str">
        <f t="shared" si="284"/>
        <v xml:space="preserve"> </v>
      </c>
      <c r="D1616" s="440"/>
      <c r="E1616" s="422" t="str">
        <f>VLOOKUP($B1616,[1]DG!A:D,[1]DG!$B$2,)</f>
        <v>02.3505</v>
      </c>
      <c r="F1616" s="434" t="s">
        <v>1203</v>
      </c>
      <c r="G1616" s="422" t="str">
        <f>VLOOKUP($B1616,[1]DG!A:D,[1]DG!$D$2,)</f>
        <v>cái</v>
      </c>
      <c r="H1616" s="435"/>
      <c r="I1616" s="435"/>
      <c r="J1616" s="435"/>
      <c r="K1616" s="435"/>
      <c r="L1616" s="435"/>
      <c r="M1616" s="435"/>
      <c r="N1616" s="435"/>
      <c r="O1616" s="435"/>
      <c r="P1616" s="435">
        <f t="shared" si="282"/>
        <v>0</v>
      </c>
      <c r="Q1616" s="442"/>
      <c r="R1616" s="442"/>
      <c r="S1616" s="442"/>
      <c r="T1616" s="432">
        <f t="shared" si="283"/>
        <v>0</v>
      </c>
    </row>
    <row r="1617" spans="1:20" ht="22.2" hidden="1" customHeight="1">
      <c r="A1617" s="379"/>
      <c r="B1617" s="491" t="s">
        <v>1202</v>
      </c>
      <c r="C1617" s="469" t="str">
        <f t="shared" si="284"/>
        <v xml:space="preserve"> </v>
      </c>
      <c r="D1617" s="440"/>
      <c r="E1617" s="422" t="str">
        <f>VLOOKUP($B1617,[1]DG!A:D,[1]DG!$B$2,)</f>
        <v>02.3505</v>
      </c>
      <c r="F1617" s="434" t="str">
        <f>VLOOKUP($B1617,[1]DG!A:D,[1]DG!$C$2,)</f>
        <v>Lắp FCO 24KV</v>
      </c>
      <c r="G1617" s="422" t="str">
        <f>VLOOKUP($B1617,[1]DG!A:D,[1]DG!$D$2,)</f>
        <v>cái</v>
      </c>
      <c r="H1617" s="435"/>
      <c r="I1617" s="435"/>
      <c r="J1617" s="435"/>
      <c r="K1617" s="435"/>
      <c r="L1617" s="435"/>
      <c r="M1617" s="435"/>
      <c r="N1617" s="435"/>
      <c r="O1617" s="435"/>
      <c r="P1617" s="435">
        <f t="shared" si="282"/>
        <v>0</v>
      </c>
      <c r="Q1617" s="442"/>
      <c r="R1617" s="442"/>
      <c r="S1617" s="442"/>
      <c r="T1617" s="432">
        <f t="shared" si="283"/>
        <v>0</v>
      </c>
    </row>
    <row r="1618" spans="1:20" ht="22.2" hidden="1" customHeight="1">
      <c r="A1618" s="379"/>
      <c r="B1618" s="491" t="s">
        <v>58</v>
      </c>
      <c r="C1618" s="469" t="str">
        <f t="shared" si="284"/>
        <v xml:space="preserve"> </v>
      </c>
      <c r="D1618" s="440"/>
      <c r="E1618" s="422" t="str">
        <f>VLOOKUP($B1618,[1]DG!A:D,[1]DG!$B$2,)</f>
        <v>02.5114</v>
      </c>
      <c r="F1618" s="434" t="s">
        <v>1204</v>
      </c>
      <c r="G1618" s="422" t="str">
        <f>VLOOKUP($B1618,[1]DG!A:D,[1]DG!$D$2,)</f>
        <v>cái</v>
      </c>
      <c r="H1618" s="435"/>
      <c r="I1618" s="435"/>
      <c r="J1618" s="435"/>
      <c r="K1618" s="435"/>
      <c r="L1618" s="435"/>
      <c r="M1618" s="435"/>
      <c r="N1618" s="435"/>
      <c r="O1618" s="435"/>
      <c r="P1618" s="435">
        <f t="shared" si="282"/>
        <v>0</v>
      </c>
      <c r="Q1618" s="442"/>
      <c r="R1618" s="442"/>
      <c r="S1618" s="442"/>
      <c r="T1618" s="432">
        <f t="shared" si="283"/>
        <v>0</v>
      </c>
    </row>
    <row r="1619" spans="1:20" ht="22.2" hidden="1" customHeight="1">
      <c r="A1619" s="379"/>
      <c r="B1619" s="491" t="s">
        <v>58</v>
      </c>
      <c r="C1619" s="469" t="str">
        <f t="shared" si="284"/>
        <v xml:space="preserve"> </v>
      </c>
      <c r="D1619" s="440"/>
      <c r="E1619" s="422" t="str">
        <f>VLOOKUP($B1619,[1]DG!A:D,[1]DG!$B$2,)</f>
        <v>02.5114</v>
      </c>
      <c r="F1619" s="434" t="s">
        <v>1205</v>
      </c>
      <c r="G1619" s="422" t="str">
        <f>VLOOKUP($B1619,[1]DG!A:D,[1]DG!$D$2,)</f>
        <v>cái</v>
      </c>
      <c r="H1619" s="435"/>
      <c r="I1619" s="435"/>
      <c r="J1619" s="435"/>
      <c r="K1619" s="435"/>
      <c r="L1619" s="435"/>
      <c r="M1619" s="435"/>
      <c r="N1619" s="435"/>
      <c r="O1619" s="435"/>
      <c r="P1619" s="435">
        <f t="shared" si="282"/>
        <v>0</v>
      </c>
      <c r="Q1619" s="442"/>
      <c r="R1619" s="442"/>
      <c r="S1619" s="442"/>
      <c r="T1619" s="432">
        <f t="shared" si="283"/>
        <v>0</v>
      </c>
    </row>
    <row r="1620" spans="1:20" ht="22.2" hidden="1" customHeight="1">
      <c r="A1620" s="379"/>
      <c r="B1620" s="491" t="s">
        <v>1206</v>
      </c>
      <c r="C1620" s="469" t="str">
        <f t="shared" si="284"/>
        <v xml:space="preserve"> </v>
      </c>
      <c r="D1620" s="440"/>
      <c r="E1620" s="422" t="str">
        <f>VLOOKUP($B1620,[1]DG!A:D,[1]DG!$B$2,)</f>
        <v>06.2110</v>
      </c>
      <c r="F1620" s="434" t="s">
        <v>1207</v>
      </c>
      <c r="G1620" s="422" t="str">
        <f>VLOOKUP($B1620,[1]DG!A:D,[1]DG!$D$2,)</f>
        <v>bộ</v>
      </c>
      <c r="H1620" s="435"/>
      <c r="I1620" s="435"/>
      <c r="J1620" s="435"/>
      <c r="K1620" s="435"/>
      <c r="L1620" s="435"/>
      <c r="M1620" s="435"/>
      <c r="N1620" s="435"/>
      <c r="O1620" s="435"/>
      <c r="P1620" s="435">
        <f t="shared" si="282"/>
        <v>0</v>
      </c>
      <c r="Q1620" s="442"/>
      <c r="R1620" s="442"/>
      <c r="S1620" s="442"/>
      <c r="T1620" s="432">
        <f t="shared" si="283"/>
        <v>0</v>
      </c>
    </row>
    <row r="1621" spans="1:20" ht="22.2" hidden="1" customHeight="1">
      <c r="A1621" s="379"/>
      <c r="B1621" s="491" t="s">
        <v>1206</v>
      </c>
      <c r="C1621" s="469" t="str">
        <f t="shared" si="284"/>
        <v xml:space="preserve"> </v>
      </c>
      <c r="D1621" s="440"/>
      <c r="E1621" s="422" t="str">
        <f>VLOOKUP($B1621,[1]DG!A:D,[1]DG!$B$2,)</f>
        <v>06.2110</v>
      </c>
      <c r="F1621" s="434" t="s">
        <v>1208</v>
      </c>
      <c r="G1621" s="422" t="str">
        <f>VLOOKUP($B1621,[1]DG!A:D,[1]DG!$D$2,)</f>
        <v>bộ</v>
      </c>
      <c r="H1621" s="435"/>
      <c r="I1621" s="435"/>
      <c r="J1621" s="435"/>
      <c r="K1621" s="435"/>
      <c r="L1621" s="435"/>
      <c r="M1621" s="435"/>
      <c r="N1621" s="435"/>
      <c r="O1621" s="435"/>
      <c r="P1621" s="435">
        <f t="shared" ref="P1621:P1684" si="285">H1621+Q1621-R1621</f>
        <v>0</v>
      </c>
      <c r="Q1621" s="442"/>
      <c r="R1621" s="442"/>
      <c r="S1621" s="442"/>
      <c r="T1621" s="432">
        <f t="shared" si="283"/>
        <v>0</v>
      </c>
    </row>
    <row r="1622" spans="1:20" ht="22.2" hidden="1" customHeight="1">
      <c r="A1622" s="379"/>
      <c r="B1622" s="491" t="s">
        <v>1209</v>
      </c>
      <c r="C1622" s="469" t="str">
        <f t="shared" si="284"/>
        <v xml:space="preserve"> </v>
      </c>
      <c r="D1622" s="440">
        <f>P1622</f>
        <v>0</v>
      </c>
      <c r="E1622" s="422" t="str">
        <f>VLOOKUP($B1622,[1]DG!A:D,[1]DG!$B$2,)</f>
        <v>06.5072</v>
      </c>
      <c r="F1622" s="434" t="str">
        <f>VLOOKUP($B1622,[1]DG!A:D,[1]DG!$C$2,)</f>
        <v xml:space="preserve">Kéo dây qua vị trí bẻ góc dây </v>
      </c>
      <c r="G1622" s="422" t="str">
        <f>VLOOKUP($B1622,[1]DG!A:D,[1]DG!$D$2,)</f>
        <v>vị trí</v>
      </c>
      <c r="H1622" s="435"/>
      <c r="I1622" s="435"/>
      <c r="J1622" s="435"/>
      <c r="K1622" s="435"/>
      <c r="L1622" s="435"/>
      <c r="M1622" s="435"/>
      <c r="N1622" s="435"/>
      <c r="O1622" s="435"/>
      <c r="P1622" s="435">
        <f t="shared" si="285"/>
        <v>0</v>
      </c>
      <c r="Q1622" s="437"/>
      <c r="R1622" s="437"/>
      <c r="S1622" s="437"/>
      <c r="T1622" s="432">
        <f t="shared" si="283"/>
        <v>0</v>
      </c>
    </row>
    <row r="1623" spans="1:20" ht="22.2" hidden="1" customHeight="1">
      <c r="A1623" s="379"/>
      <c r="B1623" s="491" t="s">
        <v>1210</v>
      </c>
      <c r="C1623" s="469" t="str">
        <f t="shared" si="284"/>
        <v xml:space="preserve"> </v>
      </c>
      <c r="D1623" s="426">
        <f>[1]pp_NC!GT184</f>
        <v>0</v>
      </c>
      <c r="E1623" s="422" t="str">
        <f>VLOOKUP($B1623,[1]DG!A:D,[1]DG!$B$2,)</f>
        <v>06.5082</v>
      </c>
      <c r="F1623" s="434" t="str">
        <f>VLOOKUP($B1623,[1]DG!A:D,[1]DG!$C$2,)</f>
        <v>Kéo dây qua sông ( S&lt;=300)</v>
      </c>
      <c r="G1623" s="422" t="str">
        <f>VLOOKUP($B1623,[1]DG!A:D,[1]DG!$D$2,)</f>
        <v>vị trí</v>
      </c>
      <c r="H1623" s="435"/>
      <c r="I1623" s="435"/>
      <c r="J1623" s="435"/>
      <c r="K1623" s="435"/>
      <c r="L1623" s="435"/>
      <c r="M1623" s="435"/>
      <c r="N1623" s="435"/>
      <c r="O1623" s="435"/>
      <c r="P1623" s="435">
        <f t="shared" si="285"/>
        <v>0</v>
      </c>
      <c r="Q1623" s="437"/>
      <c r="R1623" s="437"/>
      <c r="S1623" s="437"/>
      <c r="T1623" s="432">
        <f t="shared" si="283"/>
        <v>0</v>
      </c>
    </row>
    <row r="1624" spans="1:20" ht="22.2" hidden="1" customHeight="1">
      <c r="A1624" s="379"/>
      <c r="B1624" s="496" t="s">
        <v>1211</v>
      </c>
      <c r="C1624" s="469" t="str">
        <f t="shared" si="284"/>
        <v xml:space="preserve"> </v>
      </c>
      <c r="D1624" s="439"/>
      <c r="E1624" s="422" t="str">
        <f>VLOOKUP($B1624,[1]DG!A:D,[1]DG!$B$2,)</f>
        <v>02.1122</v>
      </c>
      <c r="F1624" s="434" t="str">
        <f>VLOOKUP($B1624,[1]DG!A:D,[1]DG!$C$2,)</f>
        <v>Bốc dỡ dây</v>
      </c>
      <c r="G1624" s="422" t="str">
        <f>VLOOKUP($B1624,[1]DG!A:D,[1]DG!$D$2,)</f>
        <v>tấn</v>
      </c>
      <c r="H1624" s="435">
        <f>D1624</f>
        <v>0</v>
      </c>
      <c r="I1624" s="435"/>
      <c r="J1624" s="435"/>
      <c r="K1624" s="435"/>
      <c r="L1624" s="435"/>
      <c r="M1624" s="435"/>
      <c r="N1624" s="435"/>
      <c r="O1624" s="435"/>
      <c r="P1624" s="435">
        <f t="shared" si="285"/>
        <v>0</v>
      </c>
      <c r="Q1624" s="437"/>
      <c r="R1624" s="437"/>
      <c r="S1624" s="437"/>
      <c r="T1624" s="432">
        <f t="shared" si="283"/>
        <v>0</v>
      </c>
    </row>
    <row r="1625" spans="1:20" ht="22.2" hidden="1" customHeight="1">
      <c r="A1625" s="379"/>
      <c r="B1625" s="496" t="s">
        <v>796</v>
      </c>
      <c r="C1625" s="469" t="str">
        <f t="shared" si="284"/>
        <v xml:space="preserve"> </v>
      </c>
      <c r="D1625" s="439"/>
      <c r="E1625" s="422" t="str">
        <f>VLOOKUP($B1625,[1]DG!A:D,[1]DG!$B$2,)</f>
        <v>02.1120</v>
      </c>
      <c r="F1625" s="434" t="str">
        <f>VLOOKUP($B1625,[1]DG!A:D,[1]DG!$C$2,)</f>
        <v>Bốc dỡ phụ kiện</v>
      </c>
      <c r="G1625" s="422" t="str">
        <f>VLOOKUP($B1625,[1]DG!A:D,[1]DG!$D$2,)</f>
        <v>tấn</v>
      </c>
      <c r="H1625" s="435">
        <f>D1625</f>
        <v>0</v>
      </c>
      <c r="I1625" s="435"/>
      <c r="J1625" s="435"/>
      <c r="K1625" s="435"/>
      <c r="L1625" s="435"/>
      <c r="M1625" s="435"/>
      <c r="N1625" s="435"/>
      <c r="O1625" s="435"/>
      <c r="P1625" s="435">
        <f t="shared" si="285"/>
        <v>0</v>
      </c>
      <c r="Q1625" s="437"/>
      <c r="R1625" s="437"/>
      <c r="S1625" s="437"/>
      <c r="T1625" s="432">
        <f t="shared" si="283"/>
        <v>0</v>
      </c>
    </row>
    <row r="1626" spans="1:20" ht="22.2" hidden="1" customHeight="1">
      <c r="A1626" s="379"/>
      <c r="B1626" s="496" t="s">
        <v>993</v>
      </c>
      <c r="C1626" s="469" t="str">
        <f t="shared" si="284"/>
        <v xml:space="preserve"> </v>
      </c>
      <c r="D1626" s="439"/>
      <c r="E1626" s="422" t="str">
        <f>VLOOKUP($B1626,[1]DG!A:D,[1]DG!$B$2,)</f>
        <v>02.1421</v>
      </c>
      <c r="F1626" s="434" t="str">
        <f>VLOOKUP($B1626,[1]DG!A:D,[1]DG!$C$2,)</f>
        <v>V/c phụ kiện vào vị trí (cự ly &lt;=100m)</v>
      </c>
      <c r="G1626" s="422" t="str">
        <f>VLOOKUP($B1626,[1]DG!A:D,[1]DG!$D$2,)</f>
        <v>tấn</v>
      </c>
      <c r="H1626" s="435">
        <f>D1626</f>
        <v>0</v>
      </c>
      <c r="I1626" s="435"/>
      <c r="J1626" s="435"/>
      <c r="K1626" s="435"/>
      <c r="L1626" s="435"/>
      <c r="M1626" s="435"/>
      <c r="N1626" s="435"/>
      <c r="O1626" s="435"/>
      <c r="P1626" s="435">
        <f t="shared" si="285"/>
        <v>0</v>
      </c>
      <c r="Q1626" s="437"/>
      <c r="R1626" s="437"/>
      <c r="S1626" s="437"/>
      <c r="T1626" s="432">
        <f t="shared" si="283"/>
        <v>0</v>
      </c>
    </row>
    <row r="1627" spans="1:20" ht="22.2" hidden="1" customHeight="1">
      <c r="A1627" s="379"/>
      <c r="B1627" s="496" t="s">
        <v>1212</v>
      </c>
      <c r="C1627" s="469" t="str">
        <f t="shared" si="284"/>
        <v xml:space="preserve"> </v>
      </c>
      <c r="D1627" s="439"/>
      <c r="E1627" s="422" t="str">
        <f>VLOOKUP($B1627,[1]DG!A:D,[1]DG!$B$2,)</f>
        <v>02.1441</v>
      </c>
      <c r="F1627" s="434" t="str">
        <f>VLOOKUP($B1627,[1]DG!A:D,[1]DG!$C$2,)</f>
        <v>V/c dây vào vị trí (cự ly &lt;=100m)</v>
      </c>
      <c r="G1627" s="422" t="str">
        <f>VLOOKUP($B1627,[1]DG!A:D,[1]DG!$D$2,)</f>
        <v>tấn</v>
      </c>
      <c r="H1627" s="435">
        <f>D1627</f>
        <v>0</v>
      </c>
      <c r="I1627" s="435"/>
      <c r="J1627" s="435"/>
      <c r="K1627" s="435"/>
      <c r="L1627" s="435"/>
      <c r="M1627" s="435"/>
      <c r="N1627" s="435"/>
      <c r="O1627" s="435"/>
      <c r="P1627" s="435">
        <f t="shared" si="285"/>
        <v>0</v>
      </c>
      <c r="Q1627" s="437"/>
      <c r="R1627" s="437"/>
      <c r="S1627" s="437"/>
      <c r="T1627" s="432">
        <f t="shared" si="283"/>
        <v>0</v>
      </c>
    </row>
    <row r="1628" spans="1:20" ht="22.2" hidden="1" customHeight="1">
      <c r="A1628" s="379"/>
      <c r="B1628" s="449" t="s">
        <v>1065</v>
      </c>
      <c r="C1628" s="469" t="str">
        <f t="shared" si="284"/>
        <v xml:space="preserve"> </v>
      </c>
      <c r="D1628" s="439"/>
      <c r="E1628" s="422" t="str">
        <f>VLOOKUP($B1628,[1]DG!A:D,[1]DG!$B$2,)</f>
        <v>02.1482</v>
      </c>
      <c r="F1628" s="434" t="str">
        <f>VLOOKUP($B1628,[1]DG!A:D,[1]DG!$C$2,)</f>
        <v>V/c dụng cụ thi công vào vị trí (cự ly &lt;=100m)</v>
      </c>
      <c r="G1628" s="422" t="str">
        <f>VLOOKUP($B1628,[1]DG!A:D,[1]DG!$D$2,)</f>
        <v>tấn</v>
      </c>
      <c r="H1628" s="435">
        <f>D1628</f>
        <v>0</v>
      </c>
      <c r="I1628" s="435"/>
      <c r="J1628" s="435"/>
      <c r="K1628" s="435"/>
      <c r="L1628" s="435"/>
      <c r="M1628" s="435"/>
      <c r="N1628" s="435"/>
      <c r="O1628" s="435"/>
      <c r="P1628" s="435">
        <f t="shared" si="285"/>
        <v>0</v>
      </c>
      <c r="Q1628" s="437"/>
      <c r="R1628" s="437"/>
      <c r="S1628" s="437"/>
      <c r="T1628" s="432">
        <f t="shared" si="283"/>
        <v>0</v>
      </c>
    </row>
    <row r="1629" spans="1:20" ht="22.2" hidden="1" customHeight="1">
      <c r="A1629" s="423" t="s">
        <v>1213</v>
      </c>
      <c r="B1629" s="424" t="s">
        <v>1213</v>
      </c>
      <c r="C1629" s="469" t="str">
        <f>IF(D1629&lt;&gt;0,"x"," ")</f>
        <v xml:space="preserve"> </v>
      </c>
      <c r="D1629" s="426"/>
      <c r="E1629" s="349" t="s">
        <v>1214</v>
      </c>
      <c r="F1629" s="428" t="s">
        <v>1215</v>
      </c>
      <c r="G1629" s="349" t="s">
        <v>1098</v>
      </c>
      <c r="H1629" s="429">
        <f>SUM(I1629:O1629)</f>
        <v>0</v>
      </c>
      <c r="I1629" s="430"/>
      <c r="J1629" s="430"/>
      <c r="K1629" s="430"/>
      <c r="L1629" s="430">
        <f>IFERROR(HLOOKUP(chitiet!B1629,[1]pp1p!$1:$3,3,0),0)</f>
        <v>0</v>
      </c>
      <c r="M1629" s="430"/>
      <c r="N1629" s="430"/>
      <c r="O1629" s="430"/>
      <c r="P1629" s="430"/>
      <c r="Q1629" s="431"/>
      <c r="R1629" s="431"/>
      <c r="S1629" s="431"/>
      <c r="T1629" s="432">
        <f t="shared" si="283"/>
        <v>0</v>
      </c>
    </row>
    <row r="1630" spans="1:20" ht="22.2" hidden="1" customHeight="1">
      <c r="A1630" s="379"/>
      <c r="B1630" s="410" t="s">
        <v>1105</v>
      </c>
      <c r="C1630" s="469" t="str">
        <f t="shared" si="284"/>
        <v xml:space="preserve"> </v>
      </c>
      <c r="D1630" s="446">
        <f>ROUND(E1630*1.02*0.195,2)</f>
        <v>0</v>
      </c>
      <c r="E1630" s="484">
        <f>'[1]pp3p2m '!C90</f>
        <v>0</v>
      </c>
      <c r="F1630" s="441" t="str">
        <f>VLOOKUP($B1630,[1]DG!A:D,[1]DG!$C$2,)</f>
        <v>Cáp nhôm lõi thép AC-50/8</v>
      </c>
      <c r="G1630" s="422" t="str">
        <f>VLOOKUP($B1630,[1]DG!A:D,[1]DG!$D$2,)</f>
        <v>kg</v>
      </c>
      <c r="H1630" s="435">
        <f t="shared" ref="H1630:H1693" si="286">$D1630</f>
        <v>0</v>
      </c>
      <c r="I1630" s="435">
        <f t="shared" ref="I1630:I1693" si="287">D1630</f>
        <v>0</v>
      </c>
      <c r="J1630" s="435"/>
      <c r="K1630" s="435"/>
      <c r="L1630" s="435"/>
      <c r="M1630" s="435"/>
      <c r="N1630" s="435"/>
      <c r="O1630" s="435"/>
      <c r="P1630" s="435">
        <f t="shared" si="285"/>
        <v>0</v>
      </c>
      <c r="Q1630" s="442"/>
      <c r="R1630" s="442"/>
      <c r="S1630" s="442"/>
      <c r="T1630" s="432">
        <f t="shared" si="283"/>
        <v>0</v>
      </c>
    </row>
    <row r="1631" spans="1:20" ht="22.2" hidden="1" customHeight="1">
      <c r="A1631" s="379"/>
      <c r="B1631" s="410" t="s">
        <v>1104</v>
      </c>
      <c r="C1631" s="469" t="str">
        <f t="shared" si="284"/>
        <v xml:space="preserve"> </v>
      </c>
      <c r="D1631" s="446">
        <f>ROUND(E1631*1.02*0.276,2)</f>
        <v>0</v>
      </c>
      <c r="E1631" s="484">
        <f>'[1]pp3p2m '!C89</f>
        <v>0</v>
      </c>
      <c r="F1631" s="441" t="str">
        <f>VLOOKUP($B1631,[1]DG!A:D,[1]DG!$C$2,)</f>
        <v>Cáp nhôm lõi thép AC-70/11</v>
      </c>
      <c r="G1631" s="422" t="str">
        <f>VLOOKUP($B1631,[1]DG!A:D,[1]DG!$D$2,)</f>
        <v>kg</v>
      </c>
      <c r="H1631" s="435">
        <f t="shared" si="286"/>
        <v>0</v>
      </c>
      <c r="I1631" s="435">
        <f t="shared" si="287"/>
        <v>0</v>
      </c>
      <c r="J1631" s="435"/>
      <c r="K1631" s="435"/>
      <c r="L1631" s="435"/>
      <c r="M1631" s="435"/>
      <c r="N1631" s="435"/>
      <c r="O1631" s="435"/>
      <c r="P1631" s="435">
        <f t="shared" si="285"/>
        <v>0</v>
      </c>
      <c r="Q1631" s="442"/>
      <c r="R1631" s="442"/>
      <c r="S1631" s="442"/>
      <c r="T1631" s="432">
        <f t="shared" si="283"/>
        <v>0</v>
      </c>
    </row>
    <row r="1632" spans="1:20" ht="22.2" hidden="1" customHeight="1">
      <c r="A1632" s="379"/>
      <c r="B1632" s="410" t="s">
        <v>1103</v>
      </c>
      <c r="C1632" s="469" t="str">
        <f t="shared" si="284"/>
        <v xml:space="preserve"> </v>
      </c>
      <c r="D1632" s="446">
        <f>ROUND(E1632*1.02*0.385,2)</f>
        <v>0</v>
      </c>
      <c r="E1632" s="484">
        <f>'[1]pp3p2m '!C88</f>
        <v>0</v>
      </c>
      <c r="F1632" s="441" t="str">
        <f>VLOOKUP($B1632,[1]DG!A:D,[1]DG!$C$2,)</f>
        <v>Cáp nhôm lõi thép AC-95/16</v>
      </c>
      <c r="G1632" s="422" t="str">
        <f>VLOOKUP($B1632,[1]DG!A:D,[1]DG!$D$2,)</f>
        <v>kg</v>
      </c>
      <c r="H1632" s="435">
        <f t="shared" si="286"/>
        <v>0</v>
      </c>
      <c r="I1632" s="435">
        <f t="shared" si="287"/>
        <v>0</v>
      </c>
      <c r="J1632" s="435"/>
      <c r="K1632" s="435"/>
      <c r="L1632" s="435"/>
      <c r="M1632" s="435"/>
      <c r="N1632" s="435"/>
      <c r="O1632" s="435"/>
      <c r="P1632" s="435">
        <f t="shared" si="285"/>
        <v>0</v>
      </c>
      <c r="Q1632" s="442"/>
      <c r="R1632" s="442"/>
      <c r="S1632" s="442"/>
      <c r="T1632" s="432">
        <f t="shared" si="283"/>
        <v>0</v>
      </c>
    </row>
    <row r="1633" spans="1:20" ht="22.2" hidden="1" customHeight="1">
      <c r="A1633" s="379"/>
      <c r="B1633" s="410" t="s">
        <v>1102</v>
      </c>
      <c r="C1633" s="469" t="str">
        <f t="shared" si="284"/>
        <v xml:space="preserve"> </v>
      </c>
      <c r="D1633" s="446">
        <f>ROUND(E1633*1.02*0.471,2)</f>
        <v>0</v>
      </c>
      <c r="E1633" s="484">
        <f>'[1]pp3p2m '!C87</f>
        <v>0</v>
      </c>
      <c r="F1633" s="441" t="str">
        <f>VLOOKUP($B1633,[1]DG!A:D,[1]DG!$C$2,)</f>
        <v>Cáp nhôm lõi thép AC-120/19</v>
      </c>
      <c r="G1633" s="422" t="str">
        <f>VLOOKUP($B1633,[1]DG!A:D,[1]DG!$D$2,)</f>
        <v>kg</v>
      </c>
      <c r="H1633" s="435">
        <f t="shared" si="286"/>
        <v>0</v>
      </c>
      <c r="I1633" s="435">
        <f t="shared" si="287"/>
        <v>0</v>
      </c>
      <c r="J1633" s="435"/>
      <c r="K1633" s="435"/>
      <c r="L1633" s="435"/>
      <c r="M1633" s="435"/>
      <c r="N1633" s="435"/>
      <c r="O1633" s="435"/>
      <c r="P1633" s="435">
        <f t="shared" si="285"/>
        <v>0</v>
      </c>
      <c r="Q1633" s="442"/>
      <c r="R1633" s="442"/>
      <c r="S1633" s="442"/>
      <c r="T1633" s="432">
        <f t="shared" si="283"/>
        <v>0</v>
      </c>
    </row>
    <row r="1634" spans="1:20" ht="22.2" hidden="1" customHeight="1">
      <c r="A1634" s="379"/>
      <c r="B1634" s="410" t="s">
        <v>1101</v>
      </c>
      <c r="C1634" s="469" t="str">
        <f t="shared" si="284"/>
        <v xml:space="preserve"> </v>
      </c>
      <c r="D1634" s="446">
        <f>ROUND(E1634*1.02*0.599,2)</f>
        <v>0</v>
      </c>
      <c r="E1634" s="484">
        <f>'[1]pp3p2m '!C86</f>
        <v>0</v>
      </c>
      <c r="F1634" s="441" t="str">
        <f>VLOOKUP($B1634,[1]DG!A:D,[1]DG!$C$2,)</f>
        <v>Cáp nhôm lõi thép AC-150/24</v>
      </c>
      <c r="G1634" s="422" t="str">
        <f>VLOOKUP($B1634,[1]DG!A:D,[1]DG!$D$2,)</f>
        <v>kg</v>
      </c>
      <c r="H1634" s="435">
        <f t="shared" si="286"/>
        <v>0</v>
      </c>
      <c r="I1634" s="435">
        <f t="shared" si="287"/>
        <v>0</v>
      </c>
      <c r="J1634" s="435"/>
      <c r="K1634" s="435"/>
      <c r="L1634" s="435"/>
      <c r="M1634" s="435"/>
      <c r="N1634" s="435"/>
      <c r="O1634" s="435"/>
      <c r="P1634" s="435">
        <f t="shared" si="285"/>
        <v>0</v>
      </c>
      <c r="Q1634" s="442"/>
      <c r="R1634" s="442"/>
      <c r="S1634" s="442"/>
      <c r="T1634" s="432">
        <f t="shared" si="283"/>
        <v>0</v>
      </c>
    </row>
    <row r="1635" spans="1:20" ht="22.2" hidden="1" customHeight="1">
      <c r="A1635" s="379"/>
      <c r="B1635" s="410" t="s">
        <v>1100</v>
      </c>
      <c r="C1635" s="469" t="str">
        <f t="shared" si="284"/>
        <v xml:space="preserve"> </v>
      </c>
      <c r="D1635" s="446">
        <f>ROUND(E1635*1.02*0.728,2)</f>
        <v>0</v>
      </c>
      <c r="E1635" s="484">
        <f>'[1]pp3p2m '!C85</f>
        <v>0</v>
      </c>
      <c r="F1635" s="441" t="str">
        <f>VLOOKUP($B1635,[1]DG!A:D,[1]DG!$C$2,)</f>
        <v>Cáp nhôm lõi thép AC-185/29</v>
      </c>
      <c r="G1635" s="422" t="str">
        <f>VLOOKUP($B1635,[1]DG!A:D,[1]DG!$D$2,)</f>
        <v>kg</v>
      </c>
      <c r="H1635" s="435">
        <f t="shared" si="286"/>
        <v>0</v>
      </c>
      <c r="I1635" s="435">
        <f t="shared" si="287"/>
        <v>0</v>
      </c>
      <c r="J1635" s="435"/>
      <c r="K1635" s="435"/>
      <c r="L1635" s="435"/>
      <c r="M1635" s="435"/>
      <c r="N1635" s="435"/>
      <c r="O1635" s="435"/>
      <c r="P1635" s="435">
        <f t="shared" si="285"/>
        <v>0</v>
      </c>
      <c r="Q1635" s="442"/>
      <c r="R1635" s="442"/>
      <c r="S1635" s="442"/>
      <c r="T1635" s="432">
        <f t="shared" si="283"/>
        <v>0</v>
      </c>
    </row>
    <row r="1636" spans="1:20" ht="22.2" hidden="1" customHeight="1">
      <c r="A1636" s="379"/>
      <c r="B1636" s="410" t="s">
        <v>1099</v>
      </c>
      <c r="C1636" s="469" t="str">
        <f t="shared" si="284"/>
        <v xml:space="preserve"> </v>
      </c>
      <c r="D1636" s="446">
        <f>ROUND(E1636*1.02*0.921,2)</f>
        <v>0</v>
      </c>
      <c r="E1636" s="484">
        <f>'[1]pp3p2m '!C84</f>
        <v>0</v>
      </c>
      <c r="F1636" s="441" t="str">
        <f>VLOOKUP($B1636,[1]DG!A:D,[1]DG!$C$2,)</f>
        <v>Cáp nhôm lõi thép AC-240/39</v>
      </c>
      <c r="G1636" s="422" t="str">
        <f>VLOOKUP($B1636,[1]DG!A:D,[1]DG!$D$2,)</f>
        <v>kg</v>
      </c>
      <c r="H1636" s="435">
        <f t="shared" si="286"/>
        <v>0</v>
      </c>
      <c r="I1636" s="435">
        <f t="shared" si="287"/>
        <v>0</v>
      </c>
      <c r="J1636" s="435"/>
      <c r="K1636" s="435"/>
      <c r="L1636" s="435"/>
      <c r="M1636" s="435"/>
      <c r="N1636" s="435"/>
      <c r="O1636" s="435"/>
      <c r="P1636" s="435">
        <f t="shared" si="285"/>
        <v>0</v>
      </c>
      <c r="Q1636" s="442"/>
      <c r="R1636" s="442"/>
      <c r="S1636" s="442"/>
      <c r="T1636" s="432">
        <f t="shared" si="283"/>
        <v>0</v>
      </c>
    </row>
    <row r="1637" spans="1:20" ht="22.2" hidden="1" customHeight="1">
      <c r="A1637" s="379"/>
      <c r="B1637" s="410" t="s">
        <v>1107</v>
      </c>
      <c r="C1637" s="469" t="str">
        <f t="shared" si="284"/>
        <v xml:space="preserve"> </v>
      </c>
      <c r="D1637" s="440">
        <f>ROUND(E1637*1.03,2)</f>
        <v>0</v>
      </c>
      <c r="E1637" s="484">
        <f>'[1]pp3p2m '!C98</f>
        <v>0</v>
      </c>
      <c r="F1637" s="441" t="str">
        <f>VLOOKUP($B1637,[1]DG!A:D,[1]DG!$C$2,)</f>
        <v>Cáp 24KV A/XLPE/PVC 240mm2</v>
      </c>
      <c r="G1637" s="422" t="str">
        <f>VLOOKUP($B1637,[1]DG!A:D,[1]DG!$D$2,)</f>
        <v>mét</v>
      </c>
      <c r="H1637" s="435">
        <f t="shared" si="286"/>
        <v>0</v>
      </c>
      <c r="I1637" s="435">
        <f t="shared" si="287"/>
        <v>0</v>
      </c>
      <c r="J1637" s="435"/>
      <c r="K1637" s="435"/>
      <c r="L1637" s="435"/>
      <c r="M1637" s="435"/>
      <c r="N1637" s="435"/>
      <c r="O1637" s="435"/>
      <c r="P1637" s="435">
        <f t="shared" si="285"/>
        <v>0</v>
      </c>
      <c r="Q1637" s="442"/>
      <c r="R1637" s="442"/>
      <c r="S1637" s="442"/>
      <c r="T1637" s="432">
        <f t="shared" si="283"/>
        <v>0</v>
      </c>
    </row>
    <row r="1638" spans="1:20" ht="22.2" hidden="1" customHeight="1">
      <c r="A1638" s="379"/>
      <c r="B1638" s="410" t="s">
        <v>1108</v>
      </c>
      <c r="C1638" s="469" t="str">
        <f t="shared" si="284"/>
        <v xml:space="preserve"> </v>
      </c>
      <c r="D1638" s="440">
        <f>ROUND(E1638*1.02,2)</f>
        <v>0</v>
      </c>
      <c r="E1638" s="484"/>
      <c r="F1638" s="441" t="str">
        <f>VLOOKUP($B1638,[1]DG!A:D,[1]DG!$C$2,)</f>
        <v>Cáp 24KV A/XLPE/PVC 185mm2</v>
      </c>
      <c r="G1638" s="422" t="str">
        <f>VLOOKUP($B1638,[1]DG!A:D,[1]DG!$D$2,)</f>
        <v>mét</v>
      </c>
      <c r="H1638" s="435">
        <f t="shared" si="286"/>
        <v>0</v>
      </c>
      <c r="I1638" s="435">
        <f t="shared" si="287"/>
        <v>0</v>
      </c>
      <c r="J1638" s="435"/>
      <c r="K1638" s="435"/>
      <c r="L1638" s="435"/>
      <c r="M1638" s="435"/>
      <c r="N1638" s="435"/>
      <c r="O1638" s="435"/>
      <c r="P1638" s="435">
        <f t="shared" si="285"/>
        <v>0</v>
      </c>
      <c r="Q1638" s="442"/>
      <c r="R1638" s="442"/>
      <c r="S1638" s="442"/>
      <c r="T1638" s="432">
        <f t="shared" si="283"/>
        <v>0</v>
      </c>
    </row>
    <row r="1639" spans="1:20" ht="22.2" hidden="1" customHeight="1">
      <c r="A1639" s="379"/>
      <c r="B1639" s="410" t="s">
        <v>1109</v>
      </c>
      <c r="C1639" s="469" t="str">
        <f t="shared" si="284"/>
        <v xml:space="preserve"> </v>
      </c>
      <c r="D1639" s="440">
        <f>ROUND(E1639*1.03,2)</f>
        <v>0</v>
      </c>
      <c r="E1639" s="484">
        <f>'[1]pp3p2m '!C100</f>
        <v>0</v>
      </c>
      <c r="F1639" s="441" t="str">
        <f>VLOOKUP($B1639,[1]DG!A:D,[1]DG!$C$2,)</f>
        <v>Cáp 24KV A/XLPE/PVC 150mm2</v>
      </c>
      <c r="G1639" s="422" t="str">
        <f>VLOOKUP($B1639,[1]DG!A:D,[1]DG!$D$2,)</f>
        <v>mét</v>
      </c>
      <c r="H1639" s="435">
        <f t="shared" si="286"/>
        <v>0</v>
      </c>
      <c r="I1639" s="435">
        <f t="shared" si="287"/>
        <v>0</v>
      </c>
      <c r="J1639" s="435"/>
      <c r="K1639" s="435"/>
      <c r="L1639" s="435"/>
      <c r="M1639" s="435"/>
      <c r="N1639" s="435"/>
      <c r="O1639" s="435"/>
      <c r="P1639" s="435">
        <f t="shared" si="285"/>
        <v>0</v>
      </c>
      <c r="Q1639" s="442"/>
      <c r="R1639" s="442"/>
      <c r="S1639" s="442"/>
      <c r="T1639" s="432">
        <f t="shared" si="283"/>
        <v>0</v>
      </c>
    </row>
    <row r="1640" spans="1:20" ht="22.2" hidden="1" customHeight="1">
      <c r="A1640" s="379"/>
      <c r="B1640" s="410" t="s">
        <v>1110</v>
      </c>
      <c r="C1640" s="469" t="str">
        <f t="shared" si="284"/>
        <v xml:space="preserve"> </v>
      </c>
      <c r="D1640" s="440">
        <f>ROUND(E1640*1.03,2)</f>
        <v>0</v>
      </c>
      <c r="E1640" s="484">
        <f>'[1]pp3p2m '!C101</f>
        <v>0</v>
      </c>
      <c r="F1640" s="441" t="str">
        <f>VLOOKUP($B1640,[1]DG!A:D,[1]DG!$C$2,)</f>
        <v>Cáp 24KV A/XLPE/PVC 120mm2</v>
      </c>
      <c r="G1640" s="422" t="str">
        <f>VLOOKUP($B1640,[1]DG!A:D,[1]DG!$D$2,)</f>
        <v>mét</v>
      </c>
      <c r="H1640" s="435">
        <f t="shared" si="286"/>
        <v>0</v>
      </c>
      <c r="I1640" s="435">
        <f t="shared" si="287"/>
        <v>0</v>
      </c>
      <c r="J1640" s="435"/>
      <c r="K1640" s="435"/>
      <c r="L1640" s="435"/>
      <c r="M1640" s="435"/>
      <c r="N1640" s="435"/>
      <c r="O1640" s="435"/>
      <c r="P1640" s="435">
        <f t="shared" si="285"/>
        <v>0</v>
      </c>
      <c r="Q1640" s="442"/>
      <c r="R1640" s="442"/>
      <c r="S1640" s="442"/>
      <c r="T1640" s="432">
        <f t="shared" si="283"/>
        <v>0</v>
      </c>
    </row>
    <row r="1641" spans="1:20" ht="22.2" hidden="1" customHeight="1">
      <c r="A1641" s="379"/>
      <c r="B1641" s="410" t="s">
        <v>1111</v>
      </c>
      <c r="C1641" s="469" t="str">
        <f t="shared" si="284"/>
        <v xml:space="preserve"> </v>
      </c>
      <c r="D1641" s="440">
        <f>ROUND(E1641*1.03,2)</f>
        <v>0</v>
      </c>
      <c r="E1641" s="484">
        <f>'[1]pp3p2m '!C102</f>
        <v>0</v>
      </c>
      <c r="F1641" s="441" t="str">
        <f>VLOOKUP($B1641,[1]DG!A:D,[1]DG!$C$2,)</f>
        <v>Cáp 24KV A/XLPE/PVC 95mm2</v>
      </c>
      <c r="G1641" s="422" t="str">
        <f>VLOOKUP($B1641,[1]DG!A:D,[1]DG!$D$2,)</f>
        <v>mét</v>
      </c>
      <c r="H1641" s="435">
        <f t="shared" si="286"/>
        <v>0</v>
      </c>
      <c r="I1641" s="435">
        <f t="shared" si="287"/>
        <v>0</v>
      </c>
      <c r="J1641" s="435"/>
      <c r="K1641" s="435"/>
      <c r="L1641" s="435"/>
      <c r="M1641" s="435"/>
      <c r="N1641" s="435"/>
      <c r="O1641" s="435"/>
      <c r="P1641" s="435">
        <f t="shared" si="285"/>
        <v>0</v>
      </c>
      <c r="Q1641" s="442"/>
      <c r="R1641" s="442"/>
      <c r="S1641" s="442"/>
      <c r="T1641" s="432">
        <f t="shared" si="283"/>
        <v>0</v>
      </c>
    </row>
    <row r="1642" spans="1:20" ht="22.2" hidden="1" customHeight="1">
      <c r="A1642" s="379"/>
      <c r="B1642" s="410" t="s">
        <v>1112</v>
      </c>
      <c r="C1642" s="469" t="str">
        <f t="shared" si="284"/>
        <v xml:space="preserve"> </v>
      </c>
      <c r="D1642" s="440">
        <f>ROUND(E1642*1.03,2)</f>
        <v>0</v>
      </c>
      <c r="E1642" s="484">
        <f>'[1]pp3p2m '!C103</f>
        <v>0</v>
      </c>
      <c r="F1642" s="441" t="str">
        <f>VLOOKUP($B1642,[1]DG!A:D,[1]DG!$C$2,)</f>
        <v>Cáp 24KV A/XLPE/PVC 70mm2</v>
      </c>
      <c r="G1642" s="422" t="str">
        <f>VLOOKUP($B1642,[1]DG!A:D,[1]DG!$D$2,)</f>
        <v>mét</v>
      </c>
      <c r="H1642" s="435">
        <f t="shared" si="286"/>
        <v>0</v>
      </c>
      <c r="I1642" s="435">
        <f t="shared" si="287"/>
        <v>0</v>
      </c>
      <c r="J1642" s="435"/>
      <c r="K1642" s="435"/>
      <c r="L1642" s="435"/>
      <c r="M1642" s="435"/>
      <c r="N1642" s="435"/>
      <c r="O1642" s="435"/>
      <c r="P1642" s="435">
        <f t="shared" si="285"/>
        <v>0</v>
      </c>
      <c r="Q1642" s="442"/>
      <c r="R1642" s="442"/>
      <c r="S1642" s="442"/>
      <c r="T1642" s="432">
        <f t="shared" si="283"/>
        <v>0</v>
      </c>
    </row>
    <row r="1643" spans="1:20" ht="22.2" hidden="1" customHeight="1">
      <c r="A1643" s="379"/>
      <c r="B1643" s="485" t="s">
        <v>1113</v>
      </c>
      <c r="C1643" s="469" t="str">
        <f t="shared" si="284"/>
        <v xml:space="preserve"> </v>
      </c>
      <c r="D1643" s="494">
        <f>'[1]pp3p2m '!CU82</f>
        <v>0</v>
      </c>
      <c r="E1643" s="422"/>
      <c r="F1643" s="486" t="s">
        <v>1114</v>
      </c>
      <c r="G1643" s="487" t="s">
        <v>375</v>
      </c>
      <c r="H1643" s="435">
        <f t="shared" si="286"/>
        <v>0</v>
      </c>
      <c r="I1643" s="435">
        <f t="shared" si="287"/>
        <v>0</v>
      </c>
      <c r="J1643" s="435"/>
      <c r="K1643" s="435"/>
      <c r="L1643" s="435"/>
      <c r="M1643" s="435"/>
      <c r="N1643" s="435"/>
      <c r="O1643" s="435"/>
      <c r="P1643" s="435">
        <f t="shared" si="285"/>
        <v>0</v>
      </c>
      <c r="Q1643" s="442"/>
      <c r="R1643" s="442"/>
      <c r="S1643" s="442"/>
      <c r="T1643" s="432">
        <f t="shared" ref="T1643:T1706" si="288">IFERROR(HLOOKUP(B1643,BangKeTru,3,0),0)</f>
        <v>0</v>
      </c>
    </row>
    <row r="1644" spans="1:20" ht="22.2" hidden="1" customHeight="1">
      <c r="A1644" s="379"/>
      <c r="B1644" s="410" t="s">
        <v>476</v>
      </c>
      <c r="C1644" s="469" t="str">
        <f t="shared" si="284"/>
        <v xml:space="preserve"> </v>
      </c>
      <c r="D1644" s="440">
        <f>D1643</f>
        <v>0</v>
      </c>
      <c r="E1644" s="422"/>
      <c r="F1644" s="441" t="str">
        <f>VLOOKUP($B1644,[1]DG!A:D,[1]DG!$C$2,)</f>
        <v>Uclevis + sứ ống chỉ</v>
      </c>
      <c r="G1644" s="422" t="str">
        <f>VLOOKUP($B1644,[1]DG!A:D,[1]DG!$D$2,)</f>
        <v>bộ</v>
      </c>
      <c r="H1644" s="435">
        <f t="shared" si="286"/>
        <v>0</v>
      </c>
      <c r="I1644" s="435">
        <f t="shared" si="287"/>
        <v>0</v>
      </c>
      <c r="J1644" s="435"/>
      <c r="K1644" s="435"/>
      <c r="L1644" s="435"/>
      <c r="M1644" s="435"/>
      <c r="N1644" s="435"/>
      <c r="O1644" s="435"/>
      <c r="P1644" s="435">
        <f t="shared" si="285"/>
        <v>0</v>
      </c>
      <c r="Q1644" s="442"/>
      <c r="R1644" s="442"/>
      <c r="S1644" s="442"/>
      <c r="T1644" s="432">
        <f t="shared" si="288"/>
        <v>0</v>
      </c>
    </row>
    <row r="1645" spans="1:20" ht="22.2" hidden="1" customHeight="1">
      <c r="A1645" s="379"/>
      <c r="B1645" s="410" t="s">
        <v>65</v>
      </c>
      <c r="C1645" s="469" t="str">
        <f t="shared" si="284"/>
        <v xml:space="preserve"> </v>
      </c>
      <c r="D1645" s="440">
        <f>D1643</f>
        <v>0</v>
      </c>
      <c r="E1645" s="422"/>
      <c r="F1645" s="441" t="str">
        <f>VLOOKUP($B1645,[1]DG!A:D,[1]DG!$C$2,)</f>
        <v>Boulon 16x300+ 2 long đền vuông D18-50x50x3/Zn</v>
      </c>
      <c r="G1645" s="422" t="str">
        <f>VLOOKUP($B1645,[1]DG!A:D,[1]DG!$D$2,)</f>
        <v>bộ</v>
      </c>
      <c r="H1645" s="435">
        <f t="shared" si="286"/>
        <v>0</v>
      </c>
      <c r="I1645" s="435">
        <f t="shared" si="287"/>
        <v>0</v>
      </c>
      <c r="J1645" s="435"/>
      <c r="K1645" s="435"/>
      <c r="L1645" s="435"/>
      <c r="M1645" s="435"/>
      <c r="N1645" s="435"/>
      <c r="O1645" s="435"/>
      <c r="P1645" s="435">
        <f t="shared" si="285"/>
        <v>0</v>
      </c>
      <c r="Q1645" s="442"/>
      <c r="R1645" s="442"/>
      <c r="S1645" s="442"/>
      <c r="T1645" s="432">
        <f t="shared" si="288"/>
        <v>0</v>
      </c>
    </row>
    <row r="1646" spans="1:20" ht="22.2" hidden="1" customHeight="1">
      <c r="A1646" s="379"/>
      <c r="B1646" s="485" t="s">
        <v>1115</v>
      </c>
      <c r="C1646" s="469" t="str">
        <f t="shared" si="284"/>
        <v xml:space="preserve"> </v>
      </c>
      <c r="D1646" s="494">
        <f>'[1]pp3p2m '!CW82</f>
        <v>0</v>
      </c>
      <c r="E1646" s="422"/>
      <c r="F1646" s="486" t="s">
        <v>1116</v>
      </c>
      <c r="G1646" s="487" t="s">
        <v>375</v>
      </c>
      <c r="H1646" s="435">
        <f t="shared" si="286"/>
        <v>0</v>
      </c>
      <c r="I1646" s="435">
        <f t="shared" si="287"/>
        <v>0</v>
      </c>
      <c r="J1646" s="435"/>
      <c r="K1646" s="435"/>
      <c r="L1646" s="435"/>
      <c r="M1646" s="435"/>
      <c r="N1646" s="435"/>
      <c r="O1646" s="435"/>
      <c r="P1646" s="435">
        <f t="shared" si="285"/>
        <v>0</v>
      </c>
      <c r="Q1646" s="442"/>
      <c r="R1646" s="442"/>
      <c r="S1646" s="442"/>
      <c r="T1646" s="432">
        <f t="shared" si="288"/>
        <v>0</v>
      </c>
    </row>
    <row r="1647" spans="1:20" ht="22.2" hidden="1" customHeight="1">
      <c r="A1647" s="379"/>
      <c r="B1647" s="410" t="s">
        <v>476</v>
      </c>
      <c r="C1647" s="469" t="str">
        <f t="shared" si="284"/>
        <v xml:space="preserve"> </v>
      </c>
      <c r="D1647" s="440">
        <f>D1646</f>
        <v>0</v>
      </c>
      <c r="E1647" s="422"/>
      <c r="F1647" s="441" t="str">
        <f>VLOOKUP($B1647,[1]DG!A:D,[1]DG!$C$2,)</f>
        <v>Uclevis + sứ ống chỉ</v>
      </c>
      <c r="G1647" s="422" t="str">
        <f>VLOOKUP($B1647,[1]DG!A:D,[1]DG!$D$2,)</f>
        <v>bộ</v>
      </c>
      <c r="H1647" s="435">
        <f t="shared" si="286"/>
        <v>0</v>
      </c>
      <c r="I1647" s="435">
        <f t="shared" si="287"/>
        <v>0</v>
      </c>
      <c r="J1647" s="435"/>
      <c r="K1647" s="435"/>
      <c r="L1647" s="435"/>
      <c r="M1647" s="435"/>
      <c r="N1647" s="435"/>
      <c r="O1647" s="435"/>
      <c r="P1647" s="435">
        <f t="shared" si="285"/>
        <v>0</v>
      </c>
      <c r="Q1647" s="442"/>
      <c r="R1647" s="442"/>
      <c r="S1647" s="442"/>
      <c r="T1647" s="432">
        <f t="shared" si="288"/>
        <v>0</v>
      </c>
    </row>
    <row r="1648" spans="1:20" ht="22.2" hidden="1" customHeight="1">
      <c r="A1648" s="379"/>
      <c r="B1648" s="410" t="s">
        <v>65</v>
      </c>
      <c r="C1648" s="469" t="str">
        <f t="shared" si="284"/>
        <v xml:space="preserve"> </v>
      </c>
      <c r="D1648" s="440">
        <f>D1646</f>
        <v>0</v>
      </c>
      <c r="E1648" s="422"/>
      <c r="F1648" s="441" t="str">
        <f>VLOOKUP($B1648,[1]DG!A:D,[1]DG!$C$2,)</f>
        <v>Boulon 16x300+ 2 long đền vuông D18-50x50x3/Zn</v>
      </c>
      <c r="G1648" s="422" t="str">
        <f>VLOOKUP($B1648,[1]DG!A:D,[1]DG!$D$2,)</f>
        <v>bộ</v>
      </c>
      <c r="H1648" s="435">
        <f t="shared" si="286"/>
        <v>0</v>
      </c>
      <c r="I1648" s="435">
        <f t="shared" si="287"/>
        <v>0</v>
      </c>
      <c r="J1648" s="435"/>
      <c r="K1648" s="435"/>
      <c r="L1648" s="435"/>
      <c r="M1648" s="435"/>
      <c r="N1648" s="435"/>
      <c r="O1648" s="435"/>
      <c r="P1648" s="435">
        <f t="shared" si="285"/>
        <v>0</v>
      </c>
      <c r="Q1648" s="442"/>
      <c r="R1648" s="442"/>
      <c r="S1648" s="442"/>
      <c r="T1648" s="432">
        <f t="shared" si="288"/>
        <v>0</v>
      </c>
    </row>
    <row r="1649" spans="1:20" ht="22.2" hidden="1" customHeight="1">
      <c r="A1649" s="379"/>
      <c r="B1649" s="410" t="s">
        <v>1117</v>
      </c>
      <c r="C1649" s="469" t="str">
        <f t="shared" si="284"/>
        <v xml:space="preserve"> </v>
      </c>
      <c r="D1649" s="440">
        <f>D1646*6</f>
        <v>0</v>
      </c>
      <c r="E1649" s="422"/>
      <c r="F1649" s="441" t="str">
        <f>VLOOKUP($B1649,[1]DG!A:D,[1]DG!$C$2,)</f>
        <v>Kẹp 2 rãnh (APC) cỡ dây 50mm2</v>
      </c>
      <c r="G1649" s="422" t="str">
        <f>VLOOKUP($B1649,[1]DG!A:D,[1]DG!$D$2,)</f>
        <v>cái</v>
      </c>
      <c r="H1649" s="435">
        <f t="shared" si="286"/>
        <v>0</v>
      </c>
      <c r="I1649" s="435">
        <f t="shared" si="287"/>
        <v>0</v>
      </c>
      <c r="J1649" s="435"/>
      <c r="K1649" s="435"/>
      <c r="L1649" s="435"/>
      <c r="M1649" s="435"/>
      <c r="N1649" s="435"/>
      <c r="O1649" s="435"/>
      <c r="P1649" s="435">
        <f t="shared" si="285"/>
        <v>0</v>
      </c>
      <c r="Q1649" s="442"/>
      <c r="R1649" s="442"/>
      <c r="S1649" s="442"/>
      <c r="T1649" s="432">
        <f t="shared" si="288"/>
        <v>0</v>
      </c>
    </row>
    <row r="1650" spans="1:20" ht="22.2" hidden="1" customHeight="1">
      <c r="A1650" s="379"/>
      <c r="B1650" s="485" t="s">
        <v>1118</v>
      </c>
      <c r="C1650" s="469" t="str">
        <f t="shared" si="284"/>
        <v xml:space="preserve"> </v>
      </c>
      <c r="D1650" s="494">
        <f>'[1]pp3p2m '!CX82</f>
        <v>0</v>
      </c>
      <c r="E1650" s="422"/>
      <c r="F1650" s="486" t="s">
        <v>1119</v>
      </c>
      <c r="G1650" s="487" t="s">
        <v>375</v>
      </c>
      <c r="H1650" s="435">
        <f t="shared" si="286"/>
        <v>0</v>
      </c>
      <c r="I1650" s="435">
        <f t="shared" si="287"/>
        <v>0</v>
      </c>
      <c r="J1650" s="435"/>
      <c r="K1650" s="435"/>
      <c r="L1650" s="435"/>
      <c r="M1650" s="435"/>
      <c r="N1650" s="435"/>
      <c r="O1650" s="435"/>
      <c r="P1650" s="435">
        <f t="shared" si="285"/>
        <v>0</v>
      </c>
      <c r="Q1650" s="442"/>
      <c r="R1650" s="442"/>
      <c r="S1650" s="442"/>
      <c r="T1650" s="432">
        <f t="shared" si="288"/>
        <v>0</v>
      </c>
    </row>
    <row r="1651" spans="1:20" ht="22.2" hidden="1" customHeight="1">
      <c r="A1651" s="379"/>
      <c r="B1651" s="488" t="s">
        <v>1216</v>
      </c>
      <c r="C1651" s="469" t="str">
        <f t="shared" si="284"/>
        <v xml:space="preserve"> </v>
      </c>
      <c r="D1651" s="440">
        <f>D1650</f>
        <v>0</v>
      </c>
      <c r="E1651" s="422"/>
      <c r="F1651" s="441" t="str">
        <f>VLOOKUP($B1651,[1]DG!A:D,[1]DG!$C$2,)</f>
        <v>Khóa néo dây cỡ dây 120</v>
      </c>
      <c r="G1651" s="422" t="str">
        <f>VLOOKUP($B1651,[1]DG!A:D,[1]DG!$D$2,)</f>
        <v>cái</v>
      </c>
      <c r="H1651" s="435">
        <f t="shared" si="286"/>
        <v>0</v>
      </c>
      <c r="I1651" s="435">
        <f t="shared" si="287"/>
        <v>0</v>
      </c>
      <c r="J1651" s="435"/>
      <c r="K1651" s="435"/>
      <c r="L1651" s="435"/>
      <c r="M1651" s="435"/>
      <c r="N1651" s="435"/>
      <c r="O1651" s="435"/>
      <c r="P1651" s="435">
        <f t="shared" si="285"/>
        <v>0</v>
      </c>
      <c r="Q1651" s="442"/>
      <c r="R1651" s="442"/>
      <c r="S1651" s="442"/>
      <c r="T1651" s="432">
        <f t="shared" si="288"/>
        <v>0</v>
      </c>
    </row>
    <row r="1652" spans="1:20" ht="22.2" hidden="1" customHeight="1">
      <c r="A1652" s="379"/>
      <c r="B1652" s="410" t="s">
        <v>478</v>
      </c>
      <c r="C1652" s="469" t="str">
        <f t="shared" si="284"/>
        <v xml:space="preserve"> </v>
      </c>
      <c r="D1652" s="440">
        <f>D1650*2</f>
        <v>0</v>
      </c>
      <c r="E1652" s="422"/>
      <c r="F1652" s="441" t="str">
        <f>VLOOKUP($B1652,[1]DG!A:D,[1]DG!$C$2,)</f>
        <v xml:space="preserve">Móc treo chữ U </v>
      </c>
      <c r="G1652" s="422" t="str">
        <f>VLOOKUP($B1652,[1]DG!A:D,[1]DG!$D$2,)</f>
        <v>cái</v>
      </c>
      <c r="H1652" s="435">
        <f t="shared" si="286"/>
        <v>0</v>
      </c>
      <c r="I1652" s="435">
        <f t="shared" si="287"/>
        <v>0</v>
      </c>
      <c r="J1652" s="435"/>
      <c r="K1652" s="435"/>
      <c r="L1652" s="435"/>
      <c r="M1652" s="435"/>
      <c r="N1652" s="435"/>
      <c r="O1652" s="435"/>
      <c r="P1652" s="435">
        <f t="shared" si="285"/>
        <v>0</v>
      </c>
      <c r="Q1652" s="442"/>
      <c r="R1652" s="442"/>
      <c r="S1652" s="442"/>
      <c r="T1652" s="432">
        <f t="shared" si="288"/>
        <v>0</v>
      </c>
    </row>
    <row r="1653" spans="1:20" ht="22.2" hidden="1" customHeight="1">
      <c r="A1653" s="379"/>
      <c r="B1653" s="410" t="s">
        <v>483</v>
      </c>
      <c r="C1653" s="469" t="str">
        <f t="shared" si="284"/>
        <v xml:space="preserve"> </v>
      </c>
      <c r="D1653" s="440">
        <f>D1651</f>
        <v>0</v>
      </c>
      <c r="E1653" s="422"/>
      <c r="F1653" s="441" t="str">
        <f>VLOOKUP($B1653,[1]DG!A:D,[1]DG!$C$2,)</f>
        <v>Boulon mắt 16x300+ 2 long đền vuông D18-50x50x3/Zn</v>
      </c>
      <c r="G1653" s="422" t="str">
        <f>VLOOKUP($B1653,[1]DG!A:D,[1]DG!$D$2,)</f>
        <v>bộ</v>
      </c>
      <c r="H1653" s="435">
        <f t="shared" si="286"/>
        <v>0</v>
      </c>
      <c r="I1653" s="435">
        <f t="shared" si="287"/>
        <v>0</v>
      </c>
      <c r="J1653" s="435"/>
      <c r="K1653" s="435"/>
      <c r="L1653" s="435"/>
      <c r="M1653" s="435"/>
      <c r="N1653" s="435"/>
      <c r="O1653" s="435"/>
      <c r="P1653" s="435">
        <f t="shared" si="285"/>
        <v>0</v>
      </c>
      <c r="Q1653" s="442"/>
      <c r="R1653" s="442"/>
      <c r="S1653" s="442"/>
      <c r="T1653" s="432">
        <f t="shared" si="288"/>
        <v>0</v>
      </c>
    </row>
    <row r="1654" spans="1:20" ht="22.2" hidden="1" customHeight="1">
      <c r="A1654" s="379"/>
      <c r="B1654" s="410" t="s">
        <v>1217</v>
      </c>
      <c r="C1654" s="469" t="str">
        <f t="shared" si="284"/>
        <v xml:space="preserve"> </v>
      </c>
      <c r="D1654" s="440">
        <f>D1650</f>
        <v>0</v>
      </c>
      <c r="E1654" s="422"/>
      <c r="F1654" s="441" t="str">
        <f>VLOOKUP($B1654,[1]DG!A:D,[1]DG!$C$2,)</f>
        <v>Kẹp ép WR cỡ dây 120mm2</v>
      </c>
      <c r="G1654" s="422" t="str">
        <f>VLOOKUP($B1654,[1]DG!A:D,[1]DG!$D$2,)</f>
        <v>cái</v>
      </c>
      <c r="H1654" s="435">
        <f t="shared" si="286"/>
        <v>0</v>
      </c>
      <c r="I1654" s="435">
        <f t="shared" si="287"/>
        <v>0</v>
      </c>
      <c r="J1654" s="435"/>
      <c r="K1654" s="435"/>
      <c r="L1654" s="435"/>
      <c r="M1654" s="435"/>
      <c r="N1654" s="435"/>
      <c r="O1654" s="435"/>
      <c r="P1654" s="435">
        <f t="shared" si="285"/>
        <v>0</v>
      </c>
      <c r="Q1654" s="442"/>
      <c r="R1654" s="442"/>
      <c r="S1654" s="442"/>
      <c r="T1654" s="432">
        <f t="shared" si="288"/>
        <v>0</v>
      </c>
    </row>
    <row r="1655" spans="1:20" ht="22.2" hidden="1" customHeight="1">
      <c r="A1655" s="379"/>
      <c r="B1655" s="485" t="s">
        <v>1123</v>
      </c>
      <c r="C1655" s="469" t="str">
        <f t="shared" si="284"/>
        <v xml:space="preserve"> </v>
      </c>
      <c r="D1655" s="494">
        <f>'[1]pp3p2m '!CP82</f>
        <v>0</v>
      </c>
      <c r="E1655" s="422"/>
      <c r="F1655" s="486" t="s">
        <v>1124</v>
      </c>
      <c r="G1655" s="487" t="s">
        <v>375</v>
      </c>
      <c r="H1655" s="435">
        <f t="shared" si="286"/>
        <v>0</v>
      </c>
      <c r="I1655" s="435">
        <f t="shared" si="287"/>
        <v>0</v>
      </c>
      <c r="J1655" s="435"/>
      <c r="K1655" s="435"/>
      <c r="L1655" s="435"/>
      <c r="M1655" s="435"/>
      <c r="N1655" s="435"/>
      <c r="O1655" s="435"/>
      <c r="P1655" s="435">
        <f t="shared" si="285"/>
        <v>0</v>
      </c>
      <c r="Q1655" s="442"/>
      <c r="R1655" s="442"/>
      <c r="S1655" s="442"/>
      <c r="T1655" s="432">
        <f t="shared" si="288"/>
        <v>0</v>
      </c>
    </row>
    <row r="1656" spans="1:20" ht="22.2" hidden="1" customHeight="1">
      <c r="A1656" s="379"/>
      <c r="B1656" s="410" t="s">
        <v>138</v>
      </c>
      <c r="C1656" s="469" t="str">
        <f t="shared" si="284"/>
        <v xml:space="preserve"> </v>
      </c>
      <c r="D1656" s="440">
        <f>D1655</f>
        <v>0</v>
      </c>
      <c r="E1656" s="422"/>
      <c r="F1656" s="441" t="str">
        <f>VLOOKUP($B1656,[1]DG!A:D,[1]DG!$C$2,)</f>
        <v xml:space="preserve">Sứ đứng 24KV </v>
      </c>
      <c r="G1656" s="422" t="str">
        <f>VLOOKUP($B1656,[1]DG!A:D,[1]DG!$D$2,)</f>
        <v>cái</v>
      </c>
      <c r="H1656" s="435">
        <f t="shared" si="286"/>
        <v>0</v>
      </c>
      <c r="I1656" s="435">
        <f t="shared" si="287"/>
        <v>0</v>
      </c>
      <c r="J1656" s="435"/>
      <c r="K1656" s="435"/>
      <c r="L1656" s="435"/>
      <c r="M1656" s="435"/>
      <c r="N1656" s="435"/>
      <c r="O1656" s="435"/>
      <c r="P1656" s="435">
        <f t="shared" si="285"/>
        <v>0</v>
      </c>
      <c r="Q1656" s="442"/>
      <c r="R1656" s="442"/>
      <c r="S1656" s="442"/>
      <c r="T1656" s="432">
        <f t="shared" si="288"/>
        <v>0</v>
      </c>
    </row>
    <row r="1657" spans="1:20" ht="22.2" hidden="1" customHeight="1">
      <c r="A1657" s="379"/>
      <c r="B1657" s="410" t="s">
        <v>139</v>
      </c>
      <c r="C1657" s="469" t="str">
        <f t="shared" si="284"/>
        <v xml:space="preserve"> </v>
      </c>
      <c r="D1657" s="440">
        <f>D1655</f>
        <v>0</v>
      </c>
      <c r="E1657" s="422"/>
      <c r="F1657" s="441" t="str">
        <f>VLOOKUP($B1657,[1]DG!A:D,[1]DG!$C$2,)</f>
        <v>Chân sứ đứng D20</v>
      </c>
      <c r="G1657" s="422" t="str">
        <f>VLOOKUP($B1657,[1]DG!A:D,[1]DG!$D$2,)</f>
        <v>cái</v>
      </c>
      <c r="H1657" s="435">
        <f t="shared" si="286"/>
        <v>0</v>
      </c>
      <c r="I1657" s="435">
        <f t="shared" si="287"/>
        <v>0</v>
      </c>
      <c r="J1657" s="435"/>
      <c r="K1657" s="435"/>
      <c r="L1657" s="435"/>
      <c r="M1657" s="435"/>
      <c r="N1657" s="435"/>
      <c r="O1657" s="435"/>
      <c r="P1657" s="435">
        <f t="shared" si="285"/>
        <v>0</v>
      </c>
      <c r="Q1657" s="442"/>
      <c r="R1657" s="442"/>
      <c r="S1657" s="442"/>
      <c r="T1657" s="432">
        <f t="shared" si="288"/>
        <v>0</v>
      </c>
    </row>
    <row r="1658" spans="1:20" ht="22.2" hidden="1" customHeight="1">
      <c r="A1658" s="379"/>
      <c r="B1658" s="485" t="s">
        <v>1125</v>
      </c>
      <c r="C1658" s="469" t="str">
        <f t="shared" ref="C1658:C1721" si="289">IF(OR(P1658&lt;&gt;0,H1658&lt;&gt;0),"x"," ")</f>
        <v xml:space="preserve"> </v>
      </c>
      <c r="D1658" s="494">
        <f>'[1]pp3p2m '!CN82</f>
        <v>0</v>
      </c>
      <c r="E1658" s="422"/>
      <c r="F1658" s="486" t="s">
        <v>1126</v>
      </c>
      <c r="G1658" s="487" t="s">
        <v>375</v>
      </c>
      <c r="H1658" s="435">
        <f t="shared" si="286"/>
        <v>0</v>
      </c>
      <c r="I1658" s="435">
        <f t="shared" si="287"/>
        <v>0</v>
      </c>
      <c r="J1658" s="435"/>
      <c r="K1658" s="435"/>
      <c r="L1658" s="435"/>
      <c r="M1658" s="435"/>
      <c r="N1658" s="435"/>
      <c r="O1658" s="435"/>
      <c r="P1658" s="435">
        <f t="shared" si="285"/>
        <v>0</v>
      </c>
      <c r="Q1658" s="442"/>
      <c r="R1658" s="442"/>
      <c r="S1658" s="442"/>
      <c r="T1658" s="432">
        <f t="shared" si="288"/>
        <v>0</v>
      </c>
    </row>
    <row r="1659" spans="1:20" ht="22.2" hidden="1" customHeight="1">
      <c r="A1659" s="379"/>
      <c r="B1659" s="410" t="s">
        <v>138</v>
      </c>
      <c r="C1659" s="469" t="str">
        <f t="shared" si="289"/>
        <v xml:space="preserve"> </v>
      </c>
      <c r="D1659" s="440">
        <f>D1658</f>
        <v>0</v>
      </c>
      <c r="E1659" s="422"/>
      <c r="F1659" s="441" t="str">
        <f>VLOOKUP($B1659,[1]DG!A:D,[1]DG!$C$2,)</f>
        <v xml:space="preserve">Sứ đứng 24KV </v>
      </c>
      <c r="G1659" s="422" t="str">
        <f>VLOOKUP($B1659,[1]DG!A:D,[1]DG!$D$2,)</f>
        <v>cái</v>
      </c>
      <c r="H1659" s="435">
        <f t="shared" si="286"/>
        <v>0</v>
      </c>
      <c r="I1659" s="435">
        <f t="shared" si="287"/>
        <v>0</v>
      </c>
      <c r="J1659" s="435"/>
      <c r="K1659" s="435"/>
      <c r="L1659" s="435"/>
      <c r="M1659" s="435"/>
      <c r="N1659" s="435"/>
      <c r="O1659" s="435"/>
      <c r="P1659" s="435">
        <f t="shared" si="285"/>
        <v>0</v>
      </c>
      <c r="Q1659" s="442"/>
      <c r="R1659" s="442"/>
      <c r="S1659" s="442"/>
      <c r="T1659" s="432">
        <f t="shared" si="288"/>
        <v>0</v>
      </c>
    </row>
    <row r="1660" spans="1:20" ht="22.2" hidden="1" customHeight="1">
      <c r="A1660" s="379"/>
      <c r="B1660" s="410" t="s">
        <v>880</v>
      </c>
      <c r="C1660" s="469" t="str">
        <f t="shared" si="289"/>
        <v xml:space="preserve"> </v>
      </c>
      <c r="D1660" s="440">
        <f>D1658</f>
        <v>0</v>
      </c>
      <c r="E1660" s="422"/>
      <c r="F1660" s="441" t="str">
        <f>VLOOKUP($B1660,[1]DG!A:D,[1]DG!$C$2,)</f>
        <v>Chân sứ đỉnh thẳng dài 870mm</v>
      </c>
      <c r="G1660" s="422" t="str">
        <f>VLOOKUP($B1660,[1]DG!A:D,[1]DG!$D$2,)</f>
        <v>cái</v>
      </c>
      <c r="H1660" s="435">
        <f t="shared" si="286"/>
        <v>0</v>
      </c>
      <c r="I1660" s="435">
        <f t="shared" si="287"/>
        <v>0</v>
      </c>
      <c r="J1660" s="435"/>
      <c r="K1660" s="435"/>
      <c r="L1660" s="435"/>
      <c r="M1660" s="435"/>
      <c r="N1660" s="435"/>
      <c r="O1660" s="435"/>
      <c r="P1660" s="435">
        <f t="shared" si="285"/>
        <v>0</v>
      </c>
      <c r="Q1660" s="442"/>
      <c r="R1660" s="442"/>
      <c r="S1660" s="442"/>
      <c r="T1660" s="432">
        <f t="shared" si="288"/>
        <v>0</v>
      </c>
    </row>
    <row r="1661" spans="1:20" ht="22.2" hidden="1" customHeight="1">
      <c r="A1661" s="379"/>
      <c r="B1661" s="410" t="s">
        <v>65</v>
      </c>
      <c r="C1661" s="469" t="str">
        <f t="shared" si="289"/>
        <v xml:space="preserve"> </v>
      </c>
      <c r="D1661" s="440">
        <f>D1658*2</f>
        <v>0</v>
      </c>
      <c r="E1661" s="422"/>
      <c r="F1661" s="441" t="str">
        <f>VLOOKUP($B1661,[1]DG!A:D,[1]DG!$C$2,)</f>
        <v>Boulon 16x300+ 2 long đền vuông D18-50x50x3/Zn</v>
      </c>
      <c r="G1661" s="422" t="str">
        <f>VLOOKUP($B1661,[1]DG!A:D,[1]DG!$D$2,)</f>
        <v>bộ</v>
      </c>
      <c r="H1661" s="435">
        <f t="shared" si="286"/>
        <v>0</v>
      </c>
      <c r="I1661" s="435">
        <f t="shared" si="287"/>
        <v>0</v>
      </c>
      <c r="J1661" s="435"/>
      <c r="K1661" s="435"/>
      <c r="L1661" s="435"/>
      <c r="M1661" s="435"/>
      <c r="N1661" s="435"/>
      <c r="O1661" s="435"/>
      <c r="P1661" s="435">
        <f t="shared" si="285"/>
        <v>0</v>
      </c>
      <c r="Q1661" s="442"/>
      <c r="R1661" s="442"/>
      <c r="S1661" s="442"/>
      <c r="T1661" s="432">
        <f t="shared" si="288"/>
        <v>0</v>
      </c>
    </row>
    <row r="1662" spans="1:20" ht="22.2" hidden="1" customHeight="1">
      <c r="A1662" s="379"/>
      <c r="B1662" s="485" t="s">
        <v>1127</v>
      </c>
      <c r="C1662" s="469" t="str">
        <f t="shared" si="289"/>
        <v xml:space="preserve"> </v>
      </c>
      <c r="D1662" s="498">
        <f>'[1]pp3p2m '!CO82</f>
        <v>0</v>
      </c>
      <c r="E1662" s="422"/>
      <c r="F1662" s="486" t="s">
        <v>1128</v>
      </c>
      <c r="G1662" s="487" t="s">
        <v>375</v>
      </c>
      <c r="H1662" s="435">
        <f t="shared" si="286"/>
        <v>0</v>
      </c>
      <c r="I1662" s="436">
        <f t="shared" si="287"/>
        <v>0</v>
      </c>
      <c r="J1662" s="436"/>
      <c r="K1662" s="436"/>
      <c r="L1662" s="436"/>
      <c r="M1662" s="436"/>
      <c r="N1662" s="436"/>
      <c r="O1662" s="436"/>
      <c r="P1662" s="435">
        <f t="shared" si="285"/>
        <v>0</v>
      </c>
      <c r="Q1662" s="442"/>
      <c r="R1662" s="442"/>
      <c r="S1662" s="442"/>
      <c r="T1662" s="432">
        <f t="shared" si="288"/>
        <v>0</v>
      </c>
    </row>
    <row r="1663" spans="1:20" ht="22.2" hidden="1" customHeight="1">
      <c r="A1663" s="379"/>
      <c r="B1663" s="410" t="s">
        <v>138</v>
      </c>
      <c r="C1663" s="469" t="str">
        <f t="shared" si="289"/>
        <v xml:space="preserve"> </v>
      </c>
      <c r="D1663" s="446">
        <f>D1662*2</f>
        <v>0</v>
      </c>
      <c r="E1663" s="422"/>
      <c r="F1663" s="441" t="str">
        <f>VLOOKUP($B1663,[1]DG!A:D,[1]DG!$C$2,)</f>
        <v xml:space="preserve">Sứ đứng 24KV </v>
      </c>
      <c r="G1663" s="422" t="str">
        <f>VLOOKUP($B1663,[1]DG!A:D,[1]DG!$D$2,)</f>
        <v>cái</v>
      </c>
      <c r="H1663" s="435">
        <f t="shared" si="286"/>
        <v>0</v>
      </c>
      <c r="I1663" s="436">
        <f t="shared" si="287"/>
        <v>0</v>
      </c>
      <c r="J1663" s="436"/>
      <c r="K1663" s="436"/>
      <c r="L1663" s="436"/>
      <c r="M1663" s="436"/>
      <c r="N1663" s="436"/>
      <c r="O1663" s="436"/>
      <c r="P1663" s="435">
        <f t="shared" si="285"/>
        <v>0</v>
      </c>
      <c r="Q1663" s="442"/>
      <c r="R1663" s="442"/>
      <c r="S1663" s="442"/>
      <c r="T1663" s="432">
        <f t="shared" si="288"/>
        <v>0</v>
      </c>
    </row>
    <row r="1664" spans="1:20" ht="22.2" hidden="1" customHeight="1">
      <c r="A1664" s="379"/>
      <c r="B1664" s="410" t="s">
        <v>1129</v>
      </c>
      <c r="C1664" s="469" t="str">
        <f t="shared" si="289"/>
        <v xml:space="preserve"> </v>
      </c>
      <c r="D1664" s="446">
        <f>D1662*2</f>
        <v>0</v>
      </c>
      <c r="E1664" s="422"/>
      <c r="F1664" s="441" t="str">
        <f>VLOOKUP($B1664,[1]DG!A:D,[1]DG!$C$2,)</f>
        <v>Chân sứ đỉnh đỡ góc dài 870mm</v>
      </c>
      <c r="G1664" s="422" t="str">
        <f>VLOOKUP($B1664,[1]DG!A:D,[1]DG!$D$2,)</f>
        <v>cái</v>
      </c>
      <c r="H1664" s="435">
        <f t="shared" si="286"/>
        <v>0</v>
      </c>
      <c r="I1664" s="436">
        <f t="shared" si="287"/>
        <v>0</v>
      </c>
      <c r="J1664" s="436"/>
      <c r="K1664" s="436"/>
      <c r="L1664" s="436"/>
      <c r="M1664" s="436"/>
      <c r="N1664" s="436"/>
      <c r="O1664" s="436"/>
      <c r="P1664" s="435">
        <f t="shared" si="285"/>
        <v>0</v>
      </c>
      <c r="Q1664" s="442"/>
      <c r="R1664" s="442"/>
      <c r="S1664" s="442"/>
      <c r="T1664" s="432">
        <f t="shared" si="288"/>
        <v>0</v>
      </c>
    </row>
    <row r="1665" spans="1:20" ht="22.2" hidden="1" customHeight="1">
      <c r="A1665" s="379"/>
      <c r="B1665" s="410" t="s">
        <v>65</v>
      </c>
      <c r="C1665" s="469" t="str">
        <f t="shared" si="289"/>
        <v xml:space="preserve"> </v>
      </c>
      <c r="D1665" s="446">
        <f>D1662*2</f>
        <v>0</v>
      </c>
      <c r="E1665" s="422"/>
      <c r="F1665" s="441" t="str">
        <f>VLOOKUP($B1665,[1]DG!A:D,[1]DG!$C$2,)</f>
        <v>Boulon 16x300+ 2 long đền vuông D18-50x50x3/Zn</v>
      </c>
      <c r="G1665" s="422" t="str">
        <f>VLOOKUP($B1665,[1]DG!A:D,[1]DG!$D$2,)</f>
        <v>bộ</v>
      </c>
      <c r="H1665" s="435">
        <f t="shared" si="286"/>
        <v>0</v>
      </c>
      <c r="I1665" s="436">
        <f t="shared" si="287"/>
        <v>0</v>
      </c>
      <c r="J1665" s="436"/>
      <c r="K1665" s="436"/>
      <c r="L1665" s="436"/>
      <c r="M1665" s="436"/>
      <c r="N1665" s="436"/>
      <c r="O1665" s="436"/>
      <c r="P1665" s="435">
        <f t="shared" si="285"/>
        <v>0</v>
      </c>
      <c r="Q1665" s="442"/>
      <c r="R1665" s="442"/>
      <c r="S1665" s="442"/>
      <c r="T1665" s="432">
        <f t="shared" si="288"/>
        <v>0</v>
      </c>
    </row>
    <row r="1666" spans="1:20" ht="22.2" hidden="1" customHeight="1">
      <c r="A1666" s="379"/>
      <c r="B1666" s="485" t="s">
        <v>1130</v>
      </c>
      <c r="C1666" s="469" t="str">
        <f t="shared" si="289"/>
        <v xml:space="preserve"> </v>
      </c>
      <c r="D1666" s="494"/>
      <c r="E1666" s="422"/>
      <c r="F1666" s="486" t="s">
        <v>1218</v>
      </c>
      <c r="G1666" s="487" t="s">
        <v>1132</v>
      </c>
      <c r="H1666" s="435">
        <f t="shared" si="286"/>
        <v>0</v>
      </c>
      <c r="I1666" s="435">
        <f t="shared" si="287"/>
        <v>0</v>
      </c>
      <c r="J1666" s="435"/>
      <c r="K1666" s="435"/>
      <c r="L1666" s="435"/>
      <c r="M1666" s="435"/>
      <c r="N1666" s="435"/>
      <c r="O1666" s="435"/>
      <c r="P1666" s="435">
        <f t="shared" si="285"/>
        <v>0</v>
      </c>
      <c r="Q1666" s="442"/>
      <c r="R1666" s="442"/>
      <c r="S1666" s="442"/>
      <c r="T1666" s="432">
        <f t="shared" si="288"/>
        <v>0</v>
      </c>
    </row>
    <row r="1667" spans="1:20" ht="22.2" hidden="1" customHeight="1">
      <c r="A1667" s="379"/>
      <c r="B1667" s="410" t="s">
        <v>1133</v>
      </c>
      <c r="C1667" s="469" t="str">
        <f t="shared" si="289"/>
        <v xml:space="preserve"> </v>
      </c>
      <c r="D1667" s="440">
        <f>D1666*2</f>
        <v>0</v>
      </c>
      <c r="E1667" s="422"/>
      <c r="F1667" s="441" t="str">
        <f>VLOOKUP($B1667,[1]DG!A:D,[1]DG!$C$2,)</f>
        <v>Sứ treo loại 70kN</v>
      </c>
      <c r="G1667" s="422" t="str">
        <f>VLOOKUP($B1667,[1]DG!A:D,[1]DG!$D$2,)</f>
        <v>bát</v>
      </c>
      <c r="H1667" s="435">
        <f t="shared" si="286"/>
        <v>0</v>
      </c>
      <c r="I1667" s="435">
        <f t="shared" si="287"/>
        <v>0</v>
      </c>
      <c r="J1667" s="435"/>
      <c r="K1667" s="435"/>
      <c r="L1667" s="435"/>
      <c r="M1667" s="435"/>
      <c r="N1667" s="435"/>
      <c r="O1667" s="435"/>
      <c r="P1667" s="435">
        <f t="shared" si="285"/>
        <v>0</v>
      </c>
      <c r="Q1667" s="442"/>
      <c r="R1667" s="442"/>
      <c r="S1667" s="442"/>
      <c r="T1667" s="432">
        <f t="shared" si="288"/>
        <v>0</v>
      </c>
    </row>
    <row r="1668" spans="1:20" ht="22.2" hidden="1" customHeight="1">
      <c r="A1668" s="379"/>
      <c r="B1668" s="410" t="s">
        <v>478</v>
      </c>
      <c r="C1668" s="469" t="str">
        <f t="shared" si="289"/>
        <v xml:space="preserve"> </v>
      </c>
      <c r="D1668" s="440">
        <f>D1666*2</f>
        <v>0</v>
      </c>
      <c r="E1668" s="422"/>
      <c r="F1668" s="441" t="str">
        <f>VLOOKUP($B1668,[1]DG!A:D,[1]DG!$C$2,)</f>
        <v xml:space="preserve">Móc treo chữ U </v>
      </c>
      <c r="G1668" s="422" t="str">
        <f>VLOOKUP($B1668,[1]DG!A:D,[1]DG!$D$2,)</f>
        <v>cái</v>
      </c>
      <c r="H1668" s="435">
        <f t="shared" si="286"/>
        <v>0</v>
      </c>
      <c r="I1668" s="435">
        <f t="shared" si="287"/>
        <v>0</v>
      </c>
      <c r="J1668" s="435"/>
      <c r="K1668" s="435"/>
      <c r="L1668" s="435"/>
      <c r="M1668" s="435"/>
      <c r="N1668" s="435"/>
      <c r="O1668" s="435"/>
      <c r="P1668" s="435">
        <f t="shared" si="285"/>
        <v>0</v>
      </c>
      <c r="Q1668" s="442"/>
      <c r="R1668" s="442"/>
      <c r="S1668" s="442"/>
      <c r="T1668" s="432">
        <f t="shared" si="288"/>
        <v>0</v>
      </c>
    </row>
    <row r="1669" spans="1:20" ht="22.2" hidden="1" customHeight="1">
      <c r="A1669" s="379"/>
      <c r="B1669" s="410" t="s">
        <v>1134</v>
      </c>
      <c r="C1669" s="469" t="str">
        <f t="shared" si="289"/>
        <v xml:space="preserve"> </v>
      </c>
      <c r="D1669" s="440">
        <f>D1666</f>
        <v>0</v>
      </c>
      <c r="E1669" s="422"/>
      <c r="F1669" s="441" t="str">
        <f>VLOOKUP($B1669,[1]DG!A:D,[1]DG!$C$2,)</f>
        <v>Vòng treo đầu tròn</v>
      </c>
      <c r="G1669" s="422" t="str">
        <f>VLOOKUP($B1669,[1]DG!A:D,[1]DG!$D$2,)</f>
        <v>cái</v>
      </c>
      <c r="H1669" s="435">
        <f t="shared" si="286"/>
        <v>0</v>
      </c>
      <c r="I1669" s="435">
        <f t="shared" si="287"/>
        <v>0</v>
      </c>
      <c r="J1669" s="435"/>
      <c r="K1669" s="435"/>
      <c r="L1669" s="435"/>
      <c r="M1669" s="435"/>
      <c r="N1669" s="435"/>
      <c r="O1669" s="435"/>
      <c r="P1669" s="435">
        <f t="shared" si="285"/>
        <v>0</v>
      </c>
      <c r="Q1669" s="442"/>
      <c r="R1669" s="442"/>
      <c r="S1669" s="442"/>
      <c r="T1669" s="432">
        <f t="shared" si="288"/>
        <v>0</v>
      </c>
    </row>
    <row r="1670" spans="1:20" ht="22.2" hidden="1" customHeight="1">
      <c r="A1670" s="379"/>
      <c r="B1670" s="410" t="s">
        <v>1135</v>
      </c>
      <c r="C1670" s="469" t="str">
        <f t="shared" si="289"/>
        <v xml:space="preserve"> </v>
      </c>
      <c r="D1670" s="440">
        <f>D1666</f>
        <v>0</v>
      </c>
      <c r="E1670" s="422"/>
      <c r="F1670" s="441" t="str">
        <f>VLOOKUP($B1670,[1]DG!A:D,[1]DG!$C$2,)</f>
        <v>Mắt nối đơn</v>
      </c>
      <c r="G1670" s="422" t="str">
        <f>VLOOKUP($B1670,[1]DG!A:D,[1]DG!$D$2,)</f>
        <v>cái</v>
      </c>
      <c r="H1670" s="435">
        <f t="shared" si="286"/>
        <v>0</v>
      </c>
      <c r="I1670" s="435">
        <f t="shared" si="287"/>
        <v>0</v>
      </c>
      <c r="J1670" s="435"/>
      <c r="K1670" s="435"/>
      <c r="L1670" s="435"/>
      <c r="M1670" s="435"/>
      <c r="N1670" s="435"/>
      <c r="O1670" s="435"/>
      <c r="P1670" s="435">
        <f t="shared" si="285"/>
        <v>0</v>
      </c>
      <c r="Q1670" s="442"/>
      <c r="R1670" s="442"/>
      <c r="S1670" s="442"/>
      <c r="T1670" s="432">
        <f t="shared" si="288"/>
        <v>0</v>
      </c>
    </row>
    <row r="1671" spans="1:20" ht="22.2" hidden="1" customHeight="1">
      <c r="A1671" s="379"/>
      <c r="B1671" s="410" t="s">
        <v>1136</v>
      </c>
      <c r="C1671" s="469" t="str">
        <f t="shared" si="289"/>
        <v xml:space="preserve"> </v>
      </c>
      <c r="D1671" s="440">
        <f>D1666</f>
        <v>0</v>
      </c>
      <c r="E1671" s="422"/>
      <c r="F1671" s="441" t="str">
        <f>VLOOKUP($B1671,[1]DG!A:D,[1]DG!$C$2,)</f>
        <v>Boulon mắt 16x300+ 2 long đền vuông D18-50x50x3/Zn</v>
      </c>
      <c r="G1671" s="422" t="str">
        <f>VLOOKUP($B1671,[1]DG!A:D,[1]DG!$D$2,)</f>
        <v>bộ</v>
      </c>
      <c r="H1671" s="435">
        <f t="shared" si="286"/>
        <v>0</v>
      </c>
      <c r="I1671" s="435">
        <f t="shared" si="287"/>
        <v>0</v>
      </c>
      <c r="J1671" s="435"/>
      <c r="K1671" s="435"/>
      <c r="L1671" s="435"/>
      <c r="M1671" s="435"/>
      <c r="N1671" s="435"/>
      <c r="O1671" s="435"/>
      <c r="P1671" s="435">
        <f t="shared" si="285"/>
        <v>0</v>
      </c>
      <c r="Q1671" s="442"/>
      <c r="R1671" s="442"/>
      <c r="S1671" s="442"/>
      <c r="T1671" s="432">
        <f t="shared" si="288"/>
        <v>0</v>
      </c>
    </row>
    <row r="1672" spans="1:20" ht="22.2" hidden="1" customHeight="1">
      <c r="A1672" s="379"/>
      <c r="B1672" s="485" t="s">
        <v>1219</v>
      </c>
      <c r="C1672" s="469" t="str">
        <f t="shared" si="289"/>
        <v xml:space="preserve"> </v>
      </c>
      <c r="D1672" s="494"/>
      <c r="E1672" s="499"/>
      <c r="F1672" s="486" t="s">
        <v>1220</v>
      </c>
      <c r="G1672" s="487" t="s">
        <v>1132</v>
      </c>
      <c r="H1672" s="435">
        <f t="shared" si="286"/>
        <v>0</v>
      </c>
      <c r="I1672" s="435">
        <f t="shared" si="287"/>
        <v>0</v>
      </c>
      <c r="J1672" s="435"/>
      <c r="K1672" s="435"/>
      <c r="L1672" s="435"/>
      <c r="M1672" s="435"/>
      <c r="N1672" s="435"/>
      <c r="O1672" s="435"/>
      <c r="P1672" s="435">
        <f t="shared" si="285"/>
        <v>0</v>
      </c>
      <c r="Q1672" s="442"/>
      <c r="R1672" s="442"/>
      <c r="S1672" s="442"/>
      <c r="T1672" s="432">
        <f t="shared" si="288"/>
        <v>0</v>
      </c>
    </row>
    <row r="1673" spans="1:20" ht="22.2" hidden="1" customHeight="1">
      <c r="A1673" s="379"/>
      <c r="B1673" s="410" t="s">
        <v>1139</v>
      </c>
      <c r="C1673" s="469" t="str">
        <f t="shared" si="289"/>
        <v xml:space="preserve"> </v>
      </c>
      <c r="D1673" s="440">
        <f>D1672*2</f>
        <v>0</v>
      </c>
      <c r="E1673" s="422"/>
      <c r="F1673" s="441" t="str">
        <f>VLOOKUP($B1673,[1]DG!A:D,[1]DG!$C$2,)</f>
        <v>Sứ treo loại 70kN</v>
      </c>
      <c r="G1673" s="422" t="str">
        <f>VLOOKUP($B1673,[1]DG!A:D,[1]DG!$D$2,)</f>
        <v>bát</v>
      </c>
      <c r="H1673" s="435">
        <f t="shared" si="286"/>
        <v>0</v>
      </c>
      <c r="I1673" s="435">
        <f t="shared" si="287"/>
        <v>0</v>
      </c>
      <c r="J1673" s="435"/>
      <c r="K1673" s="435"/>
      <c r="L1673" s="435"/>
      <c r="M1673" s="435"/>
      <c r="N1673" s="435"/>
      <c r="O1673" s="435"/>
      <c r="P1673" s="435">
        <f t="shared" si="285"/>
        <v>0</v>
      </c>
      <c r="Q1673" s="442"/>
      <c r="R1673" s="442"/>
      <c r="S1673" s="442"/>
      <c r="T1673" s="432">
        <f t="shared" si="288"/>
        <v>0</v>
      </c>
    </row>
    <row r="1674" spans="1:20" ht="22.2" hidden="1" customHeight="1">
      <c r="A1674" s="379"/>
      <c r="B1674" s="410" t="s">
        <v>478</v>
      </c>
      <c r="C1674" s="469" t="str">
        <f t="shared" si="289"/>
        <v xml:space="preserve"> </v>
      </c>
      <c r="D1674" s="440">
        <f>D1672*2</f>
        <v>0</v>
      </c>
      <c r="E1674" s="422"/>
      <c r="F1674" s="441" t="str">
        <f>VLOOKUP($B1674,[1]DG!A:D,[1]DG!$C$2,)</f>
        <v xml:space="preserve">Móc treo chữ U </v>
      </c>
      <c r="G1674" s="422" t="str">
        <f>VLOOKUP($B1674,[1]DG!A:D,[1]DG!$D$2,)</f>
        <v>cái</v>
      </c>
      <c r="H1674" s="435">
        <f t="shared" si="286"/>
        <v>0</v>
      </c>
      <c r="I1674" s="435">
        <f t="shared" si="287"/>
        <v>0</v>
      </c>
      <c r="J1674" s="435"/>
      <c r="K1674" s="435"/>
      <c r="L1674" s="435"/>
      <c r="M1674" s="435"/>
      <c r="N1674" s="435"/>
      <c r="O1674" s="435"/>
      <c r="P1674" s="435">
        <f t="shared" si="285"/>
        <v>0</v>
      </c>
      <c r="Q1674" s="442"/>
      <c r="R1674" s="442"/>
      <c r="S1674" s="442"/>
      <c r="T1674" s="432">
        <f t="shared" si="288"/>
        <v>0</v>
      </c>
    </row>
    <row r="1675" spans="1:20" ht="22.2" hidden="1" customHeight="1">
      <c r="A1675" s="379"/>
      <c r="B1675" s="485" t="s">
        <v>1137</v>
      </c>
      <c r="C1675" s="469" t="str">
        <f t="shared" si="289"/>
        <v xml:space="preserve"> </v>
      </c>
      <c r="D1675" s="494">
        <f>'[1]pp3p2m '!CQ82</f>
        <v>0</v>
      </c>
      <c r="E1675" s="422"/>
      <c r="F1675" s="486" t="s">
        <v>1221</v>
      </c>
      <c r="G1675" s="487" t="s">
        <v>1132</v>
      </c>
      <c r="H1675" s="435">
        <f t="shared" si="286"/>
        <v>0</v>
      </c>
      <c r="I1675" s="435">
        <f t="shared" si="287"/>
        <v>0</v>
      </c>
      <c r="J1675" s="435"/>
      <c r="K1675" s="435"/>
      <c r="L1675" s="435"/>
      <c r="M1675" s="435"/>
      <c r="N1675" s="435"/>
      <c r="O1675" s="435"/>
      <c r="P1675" s="435">
        <f t="shared" si="285"/>
        <v>0</v>
      </c>
      <c r="Q1675" s="442"/>
      <c r="R1675" s="442"/>
      <c r="S1675" s="442"/>
      <c r="T1675" s="432">
        <f t="shared" si="288"/>
        <v>0</v>
      </c>
    </row>
    <row r="1676" spans="1:20" ht="22.2" hidden="1" customHeight="1">
      <c r="A1676" s="379"/>
      <c r="B1676" s="410" t="s">
        <v>477</v>
      </c>
      <c r="C1676" s="469" t="str">
        <f t="shared" si="289"/>
        <v xml:space="preserve"> </v>
      </c>
      <c r="D1676" s="440">
        <f>D1675</f>
        <v>0</v>
      </c>
      <c r="E1676" s="422"/>
      <c r="F1676" s="441" t="str">
        <f>VLOOKUP($B1676,[1]DG!A:D,[1]DG!$C$2,)</f>
        <v>Sứ treo polymer</v>
      </c>
      <c r="G1676" s="422" t="str">
        <f>VLOOKUP($B1676,[1]DG!A:D,[1]DG!$D$2,)</f>
        <v>chuỗi</v>
      </c>
      <c r="H1676" s="435">
        <f t="shared" si="286"/>
        <v>0</v>
      </c>
      <c r="I1676" s="435">
        <f t="shared" si="287"/>
        <v>0</v>
      </c>
      <c r="J1676" s="435"/>
      <c r="K1676" s="435"/>
      <c r="L1676" s="435"/>
      <c r="M1676" s="435"/>
      <c r="N1676" s="435"/>
      <c r="O1676" s="435"/>
      <c r="P1676" s="435">
        <f t="shared" si="285"/>
        <v>0</v>
      </c>
      <c r="Q1676" s="442"/>
      <c r="R1676" s="442"/>
      <c r="S1676" s="442"/>
      <c r="T1676" s="432">
        <f t="shared" si="288"/>
        <v>0</v>
      </c>
    </row>
    <row r="1677" spans="1:20" ht="22.2" hidden="1" customHeight="1">
      <c r="A1677" s="379"/>
      <c r="B1677" s="410" t="s">
        <v>478</v>
      </c>
      <c r="C1677" s="469" t="str">
        <f t="shared" si="289"/>
        <v xml:space="preserve"> </v>
      </c>
      <c r="D1677" s="440">
        <f>D1675*2</f>
        <v>0</v>
      </c>
      <c r="E1677" s="422"/>
      <c r="F1677" s="441" t="str">
        <f>VLOOKUP($B1677,[1]DG!A:D,[1]DG!$C$2,)</f>
        <v xml:space="preserve">Móc treo chữ U </v>
      </c>
      <c r="G1677" s="422" t="str">
        <f>VLOOKUP($B1677,[1]DG!A:D,[1]DG!$D$2,)</f>
        <v>cái</v>
      </c>
      <c r="H1677" s="435">
        <f t="shared" si="286"/>
        <v>0</v>
      </c>
      <c r="I1677" s="435">
        <f t="shared" si="287"/>
        <v>0</v>
      </c>
      <c r="J1677" s="435"/>
      <c r="K1677" s="435"/>
      <c r="L1677" s="435"/>
      <c r="M1677" s="435"/>
      <c r="N1677" s="435"/>
      <c r="O1677" s="435"/>
      <c r="P1677" s="435">
        <f t="shared" si="285"/>
        <v>0</v>
      </c>
      <c r="Q1677" s="442"/>
      <c r="R1677" s="442"/>
      <c r="S1677" s="442"/>
      <c r="T1677" s="432">
        <f t="shared" si="288"/>
        <v>0</v>
      </c>
    </row>
    <row r="1678" spans="1:20" ht="22.2" hidden="1" customHeight="1">
      <c r="A1678" s="379"/>
      <c r="B1678" s="410" t="s">
        <v>1134</v>
      </c>
      <c r="C1678" s="469" t="str">
        <f t="shared" si="289"/>
        <v xml:space="preserve"> </v>
      </c>
      <c r="D1678" s="440">
        <f>D1675</f>
        <v>0</v>
      </c>
      <c r="E1678" s="422"/>
      <c r="F1678" s="441" t="str">
        <f>VLOOKUP($B1678,[1]DG!A:D,[1]DG!$C$2,)</f>
        <v>Vòng treo đầu tròn</v>
      </c>
      <c r="G1678" s="422" t="str">
        <f>VLOOKUP($B1678,[1]DG!A:D,[1]DG!$D$2,)</f>
        <v>cái</v>
      </c>
      <c r="H1678" s="435">
        <f t="shared" si="286"/>
        <v>0</v>
      </c>
      <c r="I1678" s="435">
        <f t="shared" si="287"/>
        <v>0</v>
      </c>
      <c r="J1678" s="435"/>
      <c r="K1678" s="435"/>
      <c r="L1678" s="435"/>
      <c r="M1678" s="435"/>
      <c r="N1678" s="435"/>
      <c r="O1678" s="435"/>
      <c r="P1678" s="435">
        <f t="shared" si="285"/>
        <v>0</v>
      </c>
      <c r="Q1678" s="442"/>
      <c r="R1678" s="442"/>
      <c r="S1678" s="442"/>
      <c r="T1678" s="432">
        <f t="shared" si="288"/>
        <v>0</v>
      </c>
    </row>
    <row r="1679" spans="1:20" ht="22.2" hidden="1" customHeight="1">
      <c r="A1679" s="379"/>
      <c r="B1679" s="410" t="s">
        <v>1135</v>
      </c>
      <c r="C1679" s="469" t="str">
        <f t="shared" si="289"/>
        <v xml:space="preserve"> </v>
      </c>
      <c r="D1679" s="440">
        <f>D1675</f>
        <v>0</v>
      </c>
      <c r="E1679" s="422"/>
      <c r="F1679" s="441" t="str">
        <f>VLOOKUP($B1679,[1]DG!A:D,[1]DG!$C$2,)</f>
        <v>Mắt nối đơn</v>
      </c>
      <c r="G1679" s="422" t="str">
        <f>VLOOKUP($B1679,[1]DG!A:D,[1]DG!$D$2,)</f>
        <v>cái</v>
      </c>
      <c r="H1679" s="435">
        <f t="shared" si="286"/>
        <v>0</v>
      </c>
      <c r="I1679" s="435">
        <f t="shared" si="287"/>
        <v>0</v>
      </c>
      <c r="J1679" s="435"/>
      <c r="K1679" s="435"/>
      <c r="L1679" s="435"/>
      <c r="M1679" s="435"/>
      <c r="N1679" s="435"/>
      <c r="O1679" s="435"/>
      <c r="P1679" s="435">
        <f t="shared" si="285"/>
        <v>0</v>
      </c>
      <c r="Q1679" s="442"/>
      <c r="R1679" s="442"/>
      <c r="S1679" s="442"/>
      <c r="T1679" s="432">
        <f t="shared" si="288"/>
        <v>0</v>
      </c>
    </row>
    <row r="1680" spans="1:20" ht="22.2" hidden="1" customHeight="1">
      <c r="A1680" s="379"/>
      <c r="B1680" s="500" t="s">
        <v>1222</v>
      </c>
      <c r="C1680" s="469" t="str">
        <f t="shared" si="289"/>
        <v xml:space="preserve"> </v>
      </c>
      <c r="D1680" s="440">
        <f>'[1]pp3p2m '!EB82</f>
        <v>0</v>
      </c>
      <c r="E1680" s="422"/>
      <c r="F1680" s="441" t="str">
        <f>VLOOKUP($B1680,[1]DG!A:D,[1]DG!$C$2,)</f>
        <v>Giáp níu dừng dây bọc ACX50</v>
      </c>
      <c r="G1680" s="422" t="str">
        <f>VLOOKUP($B1680,[1]DG!A:D,[1]DG!$D$2,)</f>
        <v>cái</v>
      </c>
      <c r="H1680" s="435">
        <f t="shared" si="286"/>
        <v>0</v>
      </c>
      <c r="I1680" s="435">
        <f t="shared" si="287"/>
        <v>0</v>
      </c>
      <c r="J1680" s="435"/>
      <c r="K1680" s="435"/>
      <c r="L1680" s="435"/>
      <c r="M1680" s="435"/>
      <c r="N1680" s="435"/>
      <c r="O1680" s="435"/>
      <c r="P1680" s="435">
        <f t="shared" si="285"/>
        <v>0</v>
      </c>
      <c r="Q1680" s="442"/>
      <c r="R1680" s="442"/>
      <c r="S1680" s="442"/>
      <c r="T1680" s="432">
        <f t="shared" si="288"/>
        <v>0</v>
      </c>
    </row>
    <row r="1681" spans="1:20" ht="22.2" hidden="1" customHeight="1">
      <c r="A1681" s="379"/>
      <c r="B1681" s="491" t="s">
        <v>1143</v>
      </c>
      <c r="C1681" s="469" t="str">
        <f t="shared" si="289"/>
        <v xml:space="preserve"> </v>
      </c>
      <c r="D1681" s="494">
        <f>HLOOKUP(B1681,'[1]pp3p2m '!$EE$81:$EK$82,2,)</f>
        <v>0</v>
      </c>
      <c r="E1681" s="422"/>
      <c r="F1681" s="441" t="str">
        <f>VLOOKUP($B1681,[1]DG!A:D,[1]DG!$C$2,)</f>
        <v>Khóa đỡ dây cỡ dây 240</v>
      </c>
      <c r="G1681" s="422" t="str">
        <f>VLOOKUP($B1681,[1]DG!A:D,[1]DG!$D$2,)</f>
        <v>cái</v>
      </c>
      <c r="H1681" s="435">
        <f t="shared" si="286"/>
        <v>0</v>
      </c>
      <c r="I1681" s="435">
        <f t="shared" si="287"/>
        <v>0</v>
      </c>
      <c r="J1681" s="435"/>
      <c r="K1681" s="435"/>
      <c r="L1681" s="435"/>
      <c r="M1681" s="435"/>
      <c r="N1681" s="435"/>
      <c r="O1681" s="435"/>
      <c r="P1681" s="435">
        <f t="shared" si="285"/>
        <v>0</v>
      </c>
      <c r="Q1681" s="442"/>
      <c r="R1681" s="442"/>
      <c r="S1681" s="442"/>
      <c r="T1681" s="432">
        <f t="shared" si="288"/>
        <v>0</v>
      </c>
    </row>
    <row r="1682" spans="1:20" ht="22.2" hidden="1" customHeight="1">
      <c r="A1682" s="379"/>
      <c r="B1682" s="491" t="s">
        <v>1144</v>
      </c>
      <c r="C1682" s="469" t="str">
        <f t="shared" si="289"/>
        <v xml:space="preserve"> </v>
      </c>
      <c r="D1682" s="494">
        <f>HLOOKUP(B1682,'[1]pp3p2m '!$EE$81:$EK$82,2,)</f>
        <v>0</v>
      </c>
      <c r="E1682" s="422"/>
      <c r="F1682" s="441" t="str">
        <f>VLOOKUP($B1682,[1]DG!A:D,[1]DG!$C$2,)</f>
        <v>Khóa đỡ dây cỡ dây 185</v>
      </c>
      <c r="G1682" s="422" t="str">
        <f>VLOOKUP($B1682,[1]DG!A:D,[1]DG!$D$2,)</f>
        <v>cái</v>
      </c>
      <c r="H1682" s="435">
        <f t="shared" si="286"/>
        <v>0</v>
      </c>
      <c r="I1682" s="435">
        <f t="shared" si="287"/>
        <v>0</v>
      </c>
      <c r="J1682" s="435"/>
      <c r="K1682" s="435"/>
      <c r="L1682" s="435"/>
      <c r="M1682" s="435"/>
      <c r="N1682" s="435"/>
      <c r="O1682" s="435"/>
      <c r="P1682" s="435">
        <f t="shared" si="285"/>
        <v>0</v>
      </c>
      <c r="Q1682" s="442"/>
      <c r="R1682" s="442"/>
      <c r="S1682" s="442"/>
      <c r="T1682" s="432">
        <f t="shared" si="288"/>
        <v>0</v>
      </c>
    </row>
    <row r="1683" spans="1:20" ht="22.2" hidden="1" customHeight="1">
      <c r="A1683" s="379"/>
      <c r="B1683" s="491" t="s">
        <v>1145</v>
      </c>
      <c r="C1683" s="469" t="str">
        <f t="shared" si="289"/>
        <v xml:space="preserve"> </v>
      </c>
      <c r="D1683" s="494">
        <f>HLOOKUP(B1683,'[1]pp3p2m '!$EE$81:$EK$82,2,)</f>
        <v>0</v>
      </c>
      <c r="E1683" s="422"/>
      <c r="F1683" s="441" t="str">
        <f>VLOOKUP($B1683,[1]DG!A:D,[1]DG!$C$2,)</f>
        <v>Khóa đỡ dây cỡ dây 150</v>
      </c>
      <c r="G1683" s="422" t="str">
        <f>VLOOKUP($B1683,[1]DG!A:D,[1]DG!$D$2,)</f>
        <v>cái</v>
      </c>
      <c r="H1683" s="435">
        <f t="shared" si="286"/>
        <v>0</v>
      </c>
      <c r="I1683" s="435">
        <f t="shared" si="287"/>
        <v>0</v>
      </c>
      <c r="J1683" s="435"/>
      <c r="K1683" s="435"/>
      <c r="L1683" s="435"/>
      <c r="M1683" s="435"/>
      <c r="N1683" s="435"/>
      <c r="O1683" s="435"/>
      <c r="P1683" s="435">
        <f t="shared" si="285"/>
        <v>0</v>
      </c>
      <c r="Q1683" s="442"/>
      <c r="R1683" s="442"/>
      <c r="S1683" s="442"/>
      <c r="T1683" s="432">
        <f t="shared" si="288"/>
        <v>0</v>
      </c>
    </row>
    <row r="1684" spans="1:20" ht="22.2" hidden="1" customHeight="1">
      <c r="A1684" s="379"/>
      <c r="B1684" s="491" t="s">
        <v>1146</v>
      </c>
      <c r="C1684" s="469" t="str">
        <f t="shared" si="289"/>
        <v xml:space="preserve"> </v>
      </c>
      <c r="D1684" s="494">
        <f>HLOOKUP(B1684,'[1]pp3p2m '!$EE$81:$EK$82,2,)</f>
        <v>0</v>
      </c>
      <c r="E1684" s="422"/>
      <c r="F1684" s="441" t="str">
        <f>VLOOKUP($B1684,[1]DG!A:D,[1]DG!$C$2,)</f>
        <v>Khóa đỡ dây cỡ dây 120</v>
      </c>
      <c r="G1684" s="422" t="str">
        <f>VLOOKUP($B1684,[1]DG!A:D,[1]DG!$D$2,)</f>
        <v>cái</v>
      </c>
      <c r="H1684" s="435">
        <f t="shared" si="286"/>
        <v>0</v>
      </c>
      <c r="I1684" s="435">
        <f t="shared" si="287"/>
        <v>0</v>
      </c>
      <c r="J1684" s="435"/>
      <c r="K1684" s="435"/>
      <c r="L1684" s="435"/>
      <c r="M1684" s="435"/>
      <c r="N1684" s="435"/>
      <c r="O1684" s="435"/>
      <c r="P1684" s="435">
        <f t="shared" si="285"/>
        <v>0</v>
      </c>
      <c r="Q1684" s="442"/>
      <c r="R1684" s="442"/>
      <c r="S1684" s="442"/>
      <c r="T1684" s="432">
        <f t="shared" si="288"/>
        <v>0</v>
      </c>
    </row>
    <row r="1685" spans="1:20" ht="22.2" hidden="1" customHeight="1">
      <c r="A1685" s="379"/>
      <c r="B1685" s="491" t="s">
        <v>1147</v>
      </c>
      <c r="C1685" s="469" t="str">
        <f t="shared" si="289"/>
        <v xml:space="preserve"> </v>
      </c>
      <c r="D1685" s="494">
        <f>HLOOKUP(B1685,'[1]pp3p2m '!$EE$81:$EK$82,2,)</f>
        <v>0</v>
      </c>
      <c r="E1685" s="422"/>
      <c r="F1685" s="441" t="str">
        <f>VLOOKUP($B1685,[1]DG!A:D,[1]DG!$C$2,)</f>
        <v>Khóa đỡ dây cỡ dây 95</v>
      </c>
      <c r="G1685" s="422" t="str">
        <f>VLOOKUP($B1685,[1]DG!A:D,[1]DG!$D$2,)</f>
        <v>cái</v>
      </c>
      <c r="H1685" s="435">
        <f t="shared" si="286"/>
        <v>0</v>
      </c>
      <c r="I1685" s="435">
        <f t="shared" si="287"/>
        <v>0</v>
      </c>
      <c r="J1685" s="435"/>
      <c r="K1685" s="435"/>
      <c r="L1685" s="435"/>
      <c r="M1685" s="435"/>
      <c r="N1685" s="435"/>
      <c r="O1685" s="435"/>
      <c r="P1685" s="435">
        <f t="shared" ref="P1685:P1751" si="290">H1685+Q1685-R1685</f>
        <v>0</v>
      </c>
      <c r="Q1685" s="442"/>
      <c r="R1685" s="442"/>
      <c r="S1685" s="442"/>
      <c r="T1685" s="432">
        <f t="shared" si="288"/>
        <v>0</v>
      </c>
    </row>
    <row r="1686" spans="1:20" ht="22.2" hidden="1" customHeight="1">
      <c r="A1686" s="379"/>
      <c r="B1686" s="491" t="s">
        <v>1148</v>
      </c>
      <c r="C1686" s="469" t="str">
        <f t="shared" si="289"/>
        <v xml:space="preserve"> </v>
      </c>
      <c r="D1686" s="494">
        <f>HLOOKUP(B1686,'[1]pp3p2m '!$EE$81:$EK$82,2,)</f>
        <v>0</v>
      </c>
      <c r="E1686" s="422"/>
      <c r="F1686" s="441" t="str">
        <f>VLOOKUP($B1686,[1]DG!A:D,[1]DG!$C$2,)</f>
        <v>Khóa đỡ dây cỡ dây 70</v>
      </c>
      <c r="G1686" s="422" t="str">
        <f>VLOOKUP($B1686,[1]DG!A:D,[1]DG!$D$2,)</f>
        <v>cái</v>
      </c>
      <c r="H1686" s="435">
        <f t="shared" si="286"/>
        <v>0</v>
      </c>
      <c r="I1686" s="435">
        <f t="shared" si="287"/>
        <v>0</v>
      </c>
      <c r="J1686" s="435"/>
      <c r="K1686" s="435"/>
      <c r="L1686" s="435"/>
      <c r="M1686" s="435"/>
      <c r="N1686" s="435"/>
      <c r="O1686" s="435"/>
      <c r="P1686" s="435">
        <f t="shared" si="290"/>
        <v>0</v>
      </c>
      <c r="Q1686" s="442"/>
      <c r="R1686" s="442"/>
      <c r="S1686" s="442"/>
      <c r="T1686" s="432">
        <f t="shared" si="288"/>
        <v>0</v>
      </c>
    </row>
    <row r="1687" spans="1:20" ht="22.2" hidden="1" customHeight="1">
      <c r="A1687" s="379"/>
      <c r="B1687" s="491" t="s">
        <v>1149</v>
      </c>
      <c r="C1687" s="469" t="str">
        <f t="shared" si="289"/>
        <v xml:space="preserve"> </v>
      </c>
      <c r="D1687" s="494">
        <f>HLOOKUP(B1687,'[1]pp3p2m '!$EE$81:$EK$82,2,)</f>
        <v>0</v>
      </c>
      <c r="E1687" s="422"/>
      <c r="F1687" s="441" t="str">
        <f>VLOOKUP($B1687,[1]DG!A:D,[1]DG!$C$2,)</f>
        <v>Khóa đỡ dây cỡ dây 50</v>
      </c>
      <c r="G1687" s="422" t="str">
        <f>VLOOKUP($B1687,[1]DG!A:D,[1]DG!$D$2,)</f>
        <v>cái</v>
      </c>
      <c r="H1687" s="435">
        <f t="shared" si="286"/>
        <v>0</v>
      </c>
      <c r="I1687" s="435">
        <f t="shared" si="287"/>
        <v>0</v>
      </c>
      <c r="J1687" s="435"/>
      <c r="K1687" s="435"/>
      <c r="L1687" s="435"/>
      <c r="M1687" s="435"/>
      <c r="N1687" s="435"/>
      <c r="O1687" s="435"/>
      <c r="P1687" s="435">
        <f t="shared" si="290"/>
        <v>0</v>
      </c>
      <c r="Q1687" s="442"/>
      <c r="R1687" s="442"/>
      <c r="S1687" s="442"/>
      <c r="T1687" s="432">
        <f t="shared" si="288"/>
        <v>0</v>
      </c>
    </row>
    <row r="1688" spans="1:20" ht="22.2" hidden="1" customHeight="1">
      <c r="A1688" s="379"/>
      <c r="B1688" s="491" t="s">
        <v>1150</v>
      </c>
      <c r="C1688" s="469" t="str">
        <f t="shared" si="289"/>
        <v xml:space="preserve"> </v>
      </c>
      <c r="D1688" s="440">
        <f>'[1]pp3p2m '!CT82</f>
        <v>0</v>
      </c>
      <c r="E1688" s="422"/>
      <c r="F1688" s="441" t="str">
        <f>VLOOKUP($B1688,[1]DG!A:D,[1]DG!$C$2,)</f>
        <v>Khóa néo dây cỡ dây 240</v>
      </c>
      <c r="G1688" s="422" t="str">
        <f>VLOOKUP($B1688,[1]DG!A:D,[1]DG!$D$2,)</f>
        <v>cái</v>
      </c>
      <c r="H1688" s="435">
        <f t="shared" si="286"/>
        <v>0</v>
      </c>
      <c r="I1688" s="435">
        <f t="shared" si="287"/>
        <v>0</v>
      </c>
      <c r="J1688" s="435"/>
      <c r="K1688" s="435"/>
      <c r="L1688" s="435"/>
      <c r="M1688" s="435"/>
      <c r="N1688" s="435"/>
      <c r="O1688" s="435"/>
      <c r="P1688" s="435">
        <f t="shared" si="290"/>
        <v>0</v>
      </c>
      <c r="Q1688" s="442"/>
      <c r="R1688" s="442"/>
      <c r="S1688" s="442"/>
      <c r="T1688" s="432">
        <f t="shared" si="288"/>
        <v>0</v>
      </c>
    </row>
    <row r="1689" spans="1:20" ht="22.2" hidden="1" customHeight="1">
      <c r="A1689" s="379"/>
      <c r="B1689" s="491" t="s">
        <v>479</v>
      </c>
      <c r="C1689" s="469" t="str">
        <f t="shared" si="289"/>
        <v xml:space="preserve"> </v>
      </c>
      <c r="D1689" s="440">
        <f>+D1666+D1672-D1681</f>
        <v>0</v>
      </c>
      <c r="E1689" s="422"/>
      <c r="F1689" s="441" t="str">
        <f>VLOOKUP($B1689,[1]DG!A:D,[1]DG!$C$2,)</f>
        <v>Khóa néo dây cỡ dây 185</v>
      </c>
      <c r="G1689" s="422" t="str">
        <f>VLOOKUP($B1689,[1]DG!A:D,[1]DG!$D$2,)</f>
        <v>cái</v>
      </c>
      <c r="H1689" s="435">
        <f t="shared" si="286"/>
        <v>0</v>
      </c>
      <c r="I1689" s="435">
        <f t="shared" si="287"/>
        <v>0</v>
      </c>
      <c r="J1689" s="435"/>
      <c r="K1689" s="435"/>
      <c r="L1689" s="435"/>
      <c r="M1689" s="435"/>
      <c r="N1689" s="435"/>
      <c r="O1689" s="435"/>
      <c r="P1689" s="435">
        <f t="shared" si="290"/>
        <v>0</v>
      </c>
      <c r="Q1689" s="442"/>
      <c r="R1689" s="442"/>
      <c r="S1689" s="442"/>
      <c r="T1689" s="432">
        <f t="shared" si="288"/>
        <v>0</v>
      </c>
    </row>
    <row r="1690" spans="1:20" ht="22.2" hidden="1" customHeight="1">
      <c r="A1690" s="379"/>
      <c r="B1690" s="491" t="s">
        <v>1151</v>
      </c>
      <c r="C1690" s="469" t="str">
        <f t="shared" si="289"/>
        <v xml:space="preserve"> </v>
      </c>
      <c r="D1690" s="440">
        <f>'[1]pp3p2m '!CS82</f>
        <v>0</v>
      </c>
      <c r="E1690" s="422"/>
      <c r="F1690" s="441" t="str">
        <f>VLOOKUP($B1690,[1]DG!A:D,[1]DG!$C$2,)</f>
        <v>Khóa néo dây cỡ dây 150</v>
      </c>
      <c r="G1690" s="422" t="str">
        <f>VLOOKUP($B1690,[1]DG!A:D,[1]DG!$D$2,)</f>
        <v>cái</v>
      </c>
      <c r="H1690" s="435">
        <f t="shared" si="286"/>
        <v>0</v>
      </c>
      <c r="I1690" s="435">
        <f t="shared" si="287"/>
        <v>0</v>
      </c>
      <c r="J1690" s="435"/>
      <c r="K1690" s="435"/>
      <c r="L1690" s="435"/>
      <c r="M1690" s="435"/>
      <c r="N1690" s="435"/>
      <c r="O1690" s="435"/>
      <c r="P1690" s="435">
        <f t="shared" si="290"/>
        <v>0</v>
      </c>
      <c r="Q1690" s="442"/>
      <c r="R1690" s="442"/>
      <c r="S1690" s="442"/>
      <c r="T1690" s="432">
        <f t="shared" si="288"/>
        <v>0</v>
      </c>
    </row>
    <row r="1691" spans="1:20" ht="22.2" hidden="1" customHeight="1">
      <c r="A1691" s="379"/>
      <c r="B1691" s="491" t="s">
        <v>1152</v>
      </c>
      <c r="C1691" s="469" t="str">
        <f t="shared" si="289"/>
        <v xml:space="preserve"> </v>
      </c>
      <c r="D1691" s="440"/>
      <c r="E1691" s="422"/>
      <c r="F1691" s="441" t="str">
        <f>VLOOKUP($B1691,[1]DG!A:D,[1]DG!$C$2,)</f>
        <v>Khóa néo dây cỡ dây 120</v>
      </c>
      <c r="G1691" s="422" t="str">
        <f>VLOOKUP($B1691,[1]DG!A:D,[1]DG!$D$2,)</f>
        <v>cái</v>
      </c>
      <c r="H1691" s="435">
        <f t="shared" si="286"/>
        <v>0</v>
      </c>
      <c r="I1691" s="435">
        <f t="shared" si="287"/>
        <v>0</v>
      </c>
      <c r="J1691" s="435"/>
      <c r="K1691" s="435"/>
      <c r="L1691" s="435"/>
      <c r="M1691" s="435"/>
      <c r="N1691" s="435"/>
      <c r="O1691" s="435"/>
      <c r="P1691" s="435">
        <f t="shared" si="290"/>
        <v>0</v>
      </c>
      <c r="Q1691" s="442"/>
      <c r="R1691" s="442"/>
      <c r="S1691" s="442"/>
      <c r="T1691" s="432">
        <f t="shared" si="288"/>
        <v>0</v>
      </c>
    </row>
    <row r="1692" spans="1:20" ht="22.2" hidden="1" customHeight="1">
      <c r="A1692" s="379"/>
      <c r="B1692" s="491" t="s">
        <v>1153</v>
      </c>
      <c r="C1692" s="469" t="str">
        <f t="shared" si="289"/>
        <v xml:space="preserve"> </v>
      </c>
      <c r="D1692" s="440"/>
      <c r="E1692" s="422"/>
      <c r="F1692" s="441" t="str">
        <f>VLOOKUP($B1692,[1]DG!A:D,[1]DG!$C$2,)</f>
        <v>Khóa néo dây cỡ dây 95</v>
      </c>
      <c r="G1692" s="422" t="str">
        <f>VLOOKUP($B1692,[1]DG!A:D,[1]DG!$D$2,)</f>
        <v>cái</v>
      </c>
      <c r="H1692" s="435">
        <f t="shared" si="286"/>
        <v>0</v>
      </c>
      <c r="I1692" s="435">
        <f t="shared" si="287"/>
        <v>0</v>
      </c>
      <c r="J1692" s="435"/>
      <c r="K1692" s="435"/>
      <c r="L1692" s="435"/>
      <c r="M1692" s="435"/>
      <c r="N1692" s="435"/>
      <c r="O1692" s="435"/>
      <c r="P1692" s="435">
        <f t="shared" si="290"/>
        <v>0</v>
      </c>
      <c r="Q1692" s="442"/>
      <c r="R1692" s="442"/>
      <c r="S1692" s="442"/>
      <c r="T1692" s="432">
        <f t="shared" si="288"/>
        <v>0</v>
      </c>
    </row>
    <row r="1693" spans="1:20" ht="22.2" hidden="1" customHeight="1">
      <c r="A1693" s="379"/>
      <c r="B1693" s="491" t="s">
        <v>1154</v>
      </c>
      <c r="C1693" s="469" t="str">
        <f t="shared" si="289"/>
        <v xml:space="preserve"> </v>
      </c>
      <c r="D1693" s="440"/>
      <c r="E1693" s="422"/>
      <c r="F1693" s="441" t="str">
        <f>VLOOKUP($B1693,[1]DG!A:D,[1]DG!$C$2,)</f>
        <v>Khóa néo dây cỡ dây 70</v>
      </c>
      <c r="G1693" s="422" t="str">
        <f>VLOOKUP($B1693,[1]DG!A:D,[1]DG!$D$2,)</f>
        <v>cái</v>
      </c>
      <c r="H1693" s="435">
        <f t="shared" si="286"/>
        <v>0</v>
      </c>
      <c r="I1693" s="435">
        <f t="shared" si="287"/>
        <v>0</v>
      </c>
      <c r="J1693" s="435"/>
      <c r="K1693" s="435"/>
      <c r="L1693" s="435"/>
      <c r="M1693" s="435"/>
      <c r="N1693" s="435"/>
      <c r="O1693" s="435"/>
      <c r="P1693" s="435">
        <f t="shared" si="290"/>
        <v>0</v>
      </c>
      <c r="Q1693" s="442"/>
      <c r="R1693" s="442"/>
      <c r="S1693" s="442"/>
      <c r="T1693" s="432">
        <f t="shared" si="288"/>
        <v>0</v>
      </c>
    </row>
    <row r="1694" spans="1:20" ht="22.2" hidden="1" customHeight="1">
      <c r="A1694" s="379"/>
      <c r="B1694" s="491" t="s">
        <v>1155</v>
      </c>
      <c r="C1694" s="469" t="str">
        <f t="shared" si="289"/>
        <v xml:space="preserve"> </v>
      </c>
      <c r="D1694" s="440"/>
      <c r="E1694" s="422"/>
      <c r="F1694" s="441" t="str">
        <f>VLOOKUP($B1694,[1]DG!A:D,[1]DG!$C$2,)</f>
        <v>Khóa néo dây cỡ dây 50</v>
      </c>
      <c r="G1694" s="422" t="str">
        <f>VLOOKUP($B1694,[1]DG!A:D,[1]DG!$D$2,)</f>
        <v>cái</v>
      </c>
      <c r="H1694" s="435">
        <f t="shared" ref="H1694:H1701" si="291">$D1694</f>
        <v>0</v>
      </c>
      <c r="I1694" s="435">
        <f t="shared" ref="I1694:I1701" si="292">D1694</f>
        <v>0</v>
      </c>
      <c r="J1694" s="435"/>
      <c r="K1694" s="435"/>
      <c r="L1694" s="435"/>
      <c r="M1694" s="435"/>
      <c r="N1694" s="435"/>
      <c r="O1694" s="435"/>
      <c r="P1694" s="435">
        <f t="shared" si="290"/>
        <v>0</v>
      </c>
      <c r="Q1694" s="442"/>
      <c r="R1694" s="442"/>
      <c r="S1694" s="442"/>
      <c r="T1694" s="432">
        <f t="shared" si="288"/>
        <v>0</v>
      </c>
    </row>
    <row r="1695" spans="1:20" ht="22.2" hidden="1" customHeight="1">
      <c r="A1695" s="379"/>
      <c r="B1695" s="491" t="s">
        <v>1156</v>
      </c>
      <c r="C1695" s="469" t="str">
        <f t="shared" si="289"/>
        <v xml:space="preserve"> </v>
      </c>
      <c r="D1695" s="494">
        <f>'[1]pp3p2m '!CY82</f>
        <v>0</v>
      </c>
      <c r="E1695" s="422"/>
      <c r="F1695" s="441" t="str">
        <f>VLOOKUP($B1695,[1]DG!A:D,[1]DG!$C$2,)</f>
        <v>Kẹp 2 rãnh (APC) cỡ dây 50mm2</v>
      </c>
      <c r="G1695" s="422" t="str">
        <f>VLOOKUP($B1695,[1]DG!A:D,[1]DG!$D$2,)</f>
        <v>cái</v>
      </c>
      <c r="H1695" s="435">
        <f t="shared" si="291"/>
        <v>0</v>
      </c>
      <c r="I1695" s="435">
        <f t="shared" si="292"/>
        <v>0</v>
      </c>
      <c r="J1695" s="435"/>
      <c r="K1695" s="435"/>
      <c r="L1695" s="435"/>
      <c r="M1695" s="435"/>
      <c r="N1695" s="435"/>
      <c r="O1695" s="435"/>
      <c r="P1695" s="435">
        <f t="shared" si="290"/>
        <v>0</v>
      </c>
      <c r="Q1695" s="442"/>
      <c r="R1695" s="442"/>
      <c r="S1695" s="442"/>
      <c r="T1695" s="432">
        <f t="shared" si="288"/>
        <v>0</v>
      </c>
    </row>
    <row r="1696" spans="1:20" ht="22.2" hidden="1" customHeight="1">
      <c r="A1696" s="379"/>
      <c r="B1696" s="491" t="s">
        <v>1157</v>
      </c>
      <c r="C1696" s="469" t="str">
        <f t="shared" si="289"/>
        <v xml:space="preserve"> </v>
      </c>
      <c r="D1696" s="494">
        <f>'[1]pp3p2m '!CZ82</f>
        <v>0</v>
      </c>
      <c r="E1696" s="422"/>
      <c r="F1696" s="441" t="str">
        <f>VLOOKUP($B1696,[1]DG!A:D,[1]DG!$C$2,)</f>
        <v>Kẹp 2 rãnh (APC) cỡ dây 70mm2</v>
      </c>
      <c r="G1696" s="422" t="str">
        <f>VLOOKUP($B1696,[1]DG!A:D,[1]DG!$D$2,)</f>
        <v>cái</v>
      </c>
      <c r="H1696" s="435">
        <f t="shared" si="291"/>
        <v>0</v>
      </c>
      <c r="I1696" s="435">
        <f t="shared" si="292"/>
        <v>0</v>
      </c>
      <c r="J1696" s="435"/>
      <c r="K1696" s="435"/>
      <c r="L1696" s="435"/>
      <c r="M1696" s="435"/>
      <c r="N1696" s="435"/>
      <c r="O1696" s="435"/>
      <c r="P1696" s="435">
        <f t="shared" si="290"/>
        <v>0</v>
      </c>
      <c r="Q1696" s="442"/>
      <c r="R1696" s="442"/>
      <c r="S1696" s="442"/>
      <c r="T1696" s="432">
        <f t="shared" si="288"/>
        <v>0</v>
      </c>
    </row>
    <row r="1697" spans="1:20" ht="22.2" hidden="1" customHeight="1">
      <c r="A1697" s="379"/>
      <c r="B1697" s="491" t="s">
        <v>1158</v>
      </c>
      <c r="C1697" s="469" t="str">
        <f t="shared" si="289"/>
        <v xml:space="preserve"> </v>
      </c>
      <c r="D1697" s="494">
        <f>'[1]pp3p2m '!DA82</f>
        <v>0</v>
      </c>
      <c r="E1697" s="422"/>
      <c r="F1697" s="441" t="str">
        <f>VLOOKUP($B1697,[1]DG!A:D,[1]DG!$C$2,)</f>
        <v>Kẹp 2 rãnh (APC) cỡ dây 95mm2</v>
      </c>
      <c r="G1697" s="422" t="str">
        <f>VLOOKUP($B1697,[1]DG!A:D,[1]DG!$D$2,)</f>
        <v>cái</v>
      </c>
      <c r="H1697" s="435">
        <f t="shared" si="291"/>
        <v>0</v>
      </c>
      <c r="I1697" s="435">
        <f t="shared" si="292"/>
        <v>0</v>
      </c>
      <c r="J1697" s="435"/>
      <c r="K1697" s="435"/>
      <c r="L1697" s="435"/>
      <c r="M1697" s="435"/>
      <c r="N1697" s="435"/>
      <c r="O1697" s="435"/>
      <c r="P1697" s="435">
        <f t="shared" si="290"/>
        <v>0</v>
      </c>
      <c r="Q1697" s="442"/>
      <c r="R1697" s="442"/>
      <c r="S1697" s="442"/>
      <c r="T1697" s="432">
        <f t="shared" si="288"/>
        <v>0</v>
      </c>
    </row>
    <row r="1698" spans="1:20" ht="22.2" hidden="1" customHeight="1">
      <c r="A1698" s="379"/>
      <c r="B1698" s="491" t="s">
        <v>128</v>
      </c>
      <c r="C1698" s="469" t="str">
        <f t="shared" si="289"/>
        <v xml:space="preserve"> </v>
      </c>
      <c r="D1698" s="494"/>
      <c r="E1698" s="422"/>
      <c r="F1698" s="441" t="str">
        <f>VLOOKUP($B1698,[1]DG!A:D,[1]DG!$C$2,)</f>
        <v>Kẹp ép WR cỡ dây 120mm2</v>
      </c>
      <c r="G1698" s="422" t="str">
        <f>VLOOKUP($B1698,[1]DG!A:D,[1]DG!$D$2,)</f>
        <v>cái</v>
      </c>
      <c r="H1698" s="435">
        <f t="shared" si="291"/>
        <v>0</v>
      </c>
      <c r="I1698" s="435">
        <f t="shared" si="292"/>
        <v>0</v>
      </c>
      <c r="J1698" s="435"/>
      <c r="K1698" s="435"/>
      <c r="L1698" s="435"/>
      <c r="M1698" s="435"/>
      <c r="N1698" s="435"/>
      <c r="O1698" s="435"/>
      <c r="P1698" s="435">
        <f t="shared" si="290"/>
        <v>0</v>
      </c>
      <c r="Q1698" s="442"/>
      <c r="R1698" s="442"/>
      <c r="S1698" s="442"/>
      <c r="T1698" s="432">
        <f t="shared" si="288"/>
        <v>0</v>
      </c>
    </row>
    <row r="1699" spans="1:20" ht="22.2" hidden="1" customHeight="1">
      <c r="A1699" s="379"/>
      <c r="B1699" s="491" t="s">
        <v>1160</v>
      </c>
      <c r="C1699" s="469" t="str">
        <f t="shared" si="289"/>
        <v xml:space="preserve"> </v>
      </c>
      <c r="D1699" s="494">
        <f>'[1]pp3p2m '!DB82</f>
        <v>0</v>
      </c>
      <c r="E1699" s="422"/>
      <c r="F1699" s="441" t="str">
        <f>VLOOKUP($B1699,[1]DG!A:D,[1]DG!$C$2,)</f>
        <v>Kẹp ép WR cỡ dây 150mm2</v>
      </c>
      <c r="G1699" s="422" t="str">
        <f>VLOOKUP($B1699,[1]DG!A:D,[1]DG!$D$2,)</f>
        <v>cái</v>
      </c>
      <c r="H1699" s="435">
        <f t="shared" si="291"/>
        <v>0</v>
      </c>
      <c r="I1699" s="435">
        <f t="shared" si="292"/>
        <v>0</v>
      </c>
      <c r="J1699" s="435"/>
      <c r="K1699" s="435"/>
      <c r="L1699" s="435"/>
      <c r="M1699" s="435"/>
      <c r="N1699" s="435"/>
      <c r="O1699" s="435"/>
      <c r="P1699" s="435">
        <f t="shared" si="290"/>
        <v>0</v>
      </c>
      <c r="Q1699" s="442"/>
      <c r="R1699" s="442"/>
      <c r="S1699" s="442"/>
      <c r="T1699" s="432">
        <f t="shared" si="288"/>
        <v>0</v>
      </c>
    </row>
    <row r="1700" spans="1:20" ht="22.2" hidden="1" customHeight="1">
      <c r="A1700" s="379"/>
      <c r="B1700" s="491" t="s">
        <v>1223</v>
      </c>
      <c r="C1700" s="469" t="str">
        <f t="shared" si="289"/>
        <v xml:space="preserve"> </v>
      </c>
      <c r="D1700" s="494">
        <f>'[1]pp3p2m '!DD82</f>
        <v>0</v>
      </c>
      <c r="E1700" s="422"/>
      <c r="F1700" s="441" t="str">
        <f>VLOOKUP($B1700,[1]DG!A:D,[1]DG!$C$2,)</f>
        <v>Kẹp ép WR cỡ dây 240mm2</v>
      </c>
      <c r="G1700" s="422" t="str">
        <f>VLOOKUP($B1700,[1]DG!A:D,[1]DG!$D$2,)</f>
        <v>cái</v>
      </c>
      <c r="H1700" s="435">
        <f t="shared" si="291"/>
        <v>0</v>
      </c>
      <c r="I1700" s="435">
        <f t="shared" si="292"/>
        <v>0</v>
      </c>
      <c r="J1700" s="435"/>
      <c r="K1700" s="435"/>
      <c r="L1700" s="435"/>
      <c r="M1700" s="435"/>
      <c r="N1700" s="435"/>
      <c r="O1700" s="435"/>
      <c r="P1700" s="435">
        <f t="shared" si="290"/>
        <v>0</v>
      </c>
      <c r="Q1700" s="442"/>
      <c r="R1700" s="442"/>
      <c r="S1700" s="442"/>
      <c r="T1700" s="432">
        <f t="shared" si="288"/>
        <v>0</v>
      </c>
    </row>
    <row r="1701" spans="1:20" ht="22.2" hidden="1" customHeight="1">
      <c r="A1701" s="379"/>
      <c r="B1701" s="491" t="s">
        <v>1224</v>
      </c>
      <c r="C1701" s="469" t="str">
        <f t="shared" si="289"/>
        <v xml:space="preserve"> </v>
      </c>
      <c r="D1701" s="494">
        <f>'[1]pp3p2m '!DE82</f>
        <v>0</v>
      </c>
      <c r="E1701" s="422"/>
      <c r="F1701" s="441" t="str">
        <f>VLOOKUP($B1701,[1]DG!A:D,[1]DG!$C$2,)</f>
        <v>Kẹp 2 rãnh (APC) cỡ dây 240 mm2</v>
      </c>
      <c r="G1701" s="422" t="str">
        <f>VLOOKUP($B1701,[1]DG!A:D,[1]DG!$D$2,)</f>
        <v>cái</v>
      </c>
      <c r="H1701" s="435">
        <f t="shared" si="291"/>
        <v>0</v>
      </c>
      <c r="I1701" s="435">
        <f t="shared" si="292"/>
        <v>0</v>
      </c>
      <c r="J1701" s="435"/>
      <c r="K1701" s="435"/>
      <c r="L1701" s="435"/>
      <c r="M1701" s="435"/>
      <c r="N1701" s="435"/>
      <c r="O1701" s="435"/>
      <c r="P1701" s="435">
        <f t="shared" si="290"/>
        <v>0</v>
      </c>
      <c r="Q1701" s="442"/>
      <c r="R1701" s="442"/>
      <c r="S1701" s="442"/>
      <c r="T1701" s="432">
        <f t="shared" si="288"/>
        <v>0</v>
      </c>
    </row>
    <row r="1702" spans="1:20" ht="22.2" hidden="1" customHeight="1">
      <c r="A1702" s="379"/>
      <c r="B1702" s="491" t="s">
        <v>1163</v>
      </c>
      <c r="C1702" s="469" t="str">
        <f t="shared" si="289"/>
        <v xml:space="preserve"> </v>
      </c>
      <c r="D1702" s="494"/>
      <c r="E1702" s="422" t="str">
        <f>VLOOKUP($B1702,[1]DG!A:D,[1]DG!$B$2,)</f>
        <v>03.4003</v>
      </c>
      <c r="F1702" s="441" t="str">
        <f>VLOOKUP($B1702,[1]DG!A:D,[1]DG!$C$2,)</f>
        <v>Đầu cosse ép Cu-Al 70mm2</v>
      </c>
      <c r="G1702" s="422" t="str">
        <f>VLOOKUP($B1702,[1]DG!A:D,[1]DG!$D$2,)</f>
        <v>cái</v>
      </c>
      <c r="H1702" s="435">
        <f>$D1702*0</f>
        <v>0</v>
      </c>
      <c r="I1702" s="435">
        <f>D1702*0</f>
        <v>0</v>
      </c>
      <c r="J1702" s="435"/>
      <c r="K1702" s="435"/>
      <c r="L1702" s="435"/>
      <c r="M1702" s="435"/>
      <c r="N1702" s="435"/>
      <c r="O1702" s="435"/>
      <c r="P1702" s="435">
        <f t="shared" si="290"/>
        <v>0</v>
      </c>
      <c r="Q1702" s="442"/>
      <c r="R1702" s="442"/>
      <c r="S1702" s="442"/>
      <c r="T1702" s="432">
        <f t="shared" si="288"/>
        <v>0</v>
      </c>
    </row>
    <row r="1703" spans="1:20" ht="22.2" hidden="1" customHeight="1">
      <c r="A1703" s="379"/>
      <c r="B1703" s="491" t="s">
        <v>1164</v>
      </c>
      <c r="C1703" s="469" t="str">
        <f t="shared" si="289"/>
        <v xml:space="preserve"> </v>
      </c>
      <c r="D1703" s="494">
        <f>'[1]pp3p2m '!DF82</f>
        <v>0</v>
      </c>
      <c r="E1703" s="422" t="str">
        <f>VLOOKUP($B1703,[1]DG!A:D,[1]DG!$B$2,)</f>
        <v>03.4004</v>
      </c>
      <c r="F1703" s="441" t="str">
        <f>VLOOKUP($B1703,[1]DG!A:D,[1]DG!$C$2,)</f>
        <v>Đầu cosse ép Cu-Al 95mm2</v>
      </c>
      <c r="G1703" s="422" t="str">
        <f>VLOOKUP($B1703,[1]DG!A:D,[1]DG!$D$2,)</f>
        <v>cái</v>
      </c>
      <c r="H1703" s="435">
        <f t="shared" ref="H1703:H1722" si="293">$D1703</f>
        <v>0</v>
      </c>
      <c r="I1703" s="435">
        <f t="shared" ref="I1703:I1719" si="294">D1703</f>
        <v>0</v>
      </c>
      <c r="J1703" s="435"/>
      <c r="K1703" s="435"/>
      <c r="L1703" s="435"/>
      <c r="M1703" s="435"/>
      <c r="N1703" s="435"/>
      <c r="O1703" s="435"/>
      <c r="P1703" s="435">
        <f t="shared" si="290"/>
        <v>0</v>
      </c>
      <c r="Q1703" s="442"/>
      <c r="R1703" s="442"/>
      <c r="S1703" s="442"/>
      <c r="T1703" s="432">
        <f t="shared" si="288"/>
        <v>0</v>
      </c>
    </row>
    <row r="1704" spans="1:20" ht="22.2" hidden="1" customHeight="1">
      <c r="A1704" s="379"/>
      <c r="B1704" s="491" t="s">
        <v>1165</v>
      </c>
      <c r="C1704" s="469" t="str">
        <f t="shared" si="289"/>
        <v xml:space="preserve"> </v>
      </c>
      <c r="D1704" s="494">
        <f>'[1]pp3p2m '!DI82</f>
        <v>0</v>
      </c>
      <c r="E1704" s="422" t="str">
        <f>VLOOKUP($B1704,[1]DG!A:D,[1]DG!$B$2,)</f>
        <v>03.4005</v>
      </c>
      <c r="F1704" s="441" t="str">
        <f>VLOOKUP($B1704,[1]DG!A:D,[1]DG!$C$2,)</f>
        <v>Đầu cosse ép Cu-Al 120mm2</v>
      </c>
      <c r="G1704" s="422" t="str">
        <f>VLOOKUP($B1704,[1]DG!A:D,[1]DG!$D$2,)</f>
        <v>cái</v>
      </c>
      <c r="H1704" s="435">
        <f t="shared" si="293"/>
        <v>0</v>
      </c>
      <c r="I1704" s="435">
        <f t="shared" si="294"/>
        <v>0</v>
      </c>
      <c r="J1704" s="435"/>
      <c r="K1704" s="435"/>
      <c r="L1704" s="435"/>
      <c r="M1704" s="435"/>
      <c r="N1704" s="435"/>
      <c r="O1704" s="435"/>
      <c r="P1704" s="435">
        <f t="shared" si="290"/>
        <v>0</v>
      </c>
      <c r="Q1704" s="442"/>
      <c r="R1704" s="442"/>
      <c r="S1704" s="442"/>
      <c r="T1704" s="432">
        <f t="shared" si="288"/>
        <v>0</v>
      </c>
    </row>
    <row r="1705" spans="1:20" ht="22.2" hidden="1" customHeight="1">
      <c r="A1705" s="379"/>
      <c r="B1705" s="491" t="s">
        <v>1166</v>
      </c>
      <c r="C1705" s="469" t="str">
        <f t="shared" si="289"/>
        <v xml:space="preserve"> </v>
      </c>
      <c r="D1705" s="494">
        <f>'[1]pp3p2m '!DJ82</f>
        <v>0</v>
      </c>
      <c r="E1705" s="422" t="str">
        <f>VLOOKUP($B1705,[1]DG!A:D,[1]DG!$B$2,)</f>
        <v>03.4006</v>
      </c>
      <c r="F1705" s="441" t="str">
        <f>VLOOKUP($B1705,[1]DG!A:D,[1]DG!$C$2,)</f>
        <v>Đầu cosse ép Cu-Al 150mm2</v>
      </c>
      <c r="G1705" s="422" t="str">
        <f>VLOOKUP($B1705,[1]DG!A:D,[1]DG!$D$2,)</f>
        <v>cái</v>
      </c>
      <c r="H1705" s="435">
        <f t="shared" si="293"/>
        <v>0</v>
      </c>
      <c r="I1705" s="435">
        <f t="shared" si="294"/>
        <v>0</v>
      </c>
      <c r="J1705" s="435"/>
      <c r="K1705" s="435"/>
      <c r="L1705" s="435"/>
      <c r="M1705" s="435"/>
      <c r="N1705" s="435"/>
      <c r="O1705" s="435"/>
      <c r="P1705" s="435">
        <f t="shared" si="290"/>
        <v>0</v>
      </c>
      <c r="Q1705" s="442"/>
      <c r="R1705" s="442"/>
      <c r="S1705" s="442"/>
      <c r="T1705" s="432">
        <f t="shared" si="288"/>
        <v>0</v>
      </c>
    </row>
    <row r="1706" spans="1:20" ht="22.2" hidden="1" customHeight="1">
      <c r="A1706" s="379"/>
      <c r="B1706" s="491" t="s">
        <v>1167</v>
      </c>
      <c r="C1706" s="469" t="str">
        <f t="shared" si="289"/>
        <v xml:space="preserve"> </v>
      </c>
      <c r="D1706" s="494"/>
      <c r="E1706" s="422" t="str">
        <f>VLOOKUP($B1706,[1]DG!A:D,[1]DG!$B$2,)</f>
        <v>03.4007</v>
      </c>
      <c r="F1706" s="441" t="str">
        <f>VLOOKUP($B1706,[1]DG!A:D,[1]DG!$C$2,)</f>
        <v>Đầu cosse ép Cu-Al 185mm2</v>
      </c>
      <c r="G1706" s="422" t="str">
        <f>VLOOKUP($B1706,[1]DG!A:D,[1]DG!$D$2,)</f>
        <v>cái</v>
      </c>
      <c r="H1706" s="435">
        <f t="shared" si="293"/>
        <v>0</v>
      </c>
      <c r="I1706" s="435">
        <f t="shared" si="294"/>
        <v>0</v>
      </c>
      <c r="J1706" s="435"/>
      <c r="K1706" s="435"/>
      <c r="L1706" s="435"/>
      <c r="M1706" s="435"/>
      <c r="N1706" s="435"/>
      <c r="O1706" s="435"/>
      <c r="P1706" s="435">
        <f t="shared" si="290"/>
        <v>0</v>
      </c>
      <c r="Q1706" s="442"/>
      <c r="R1706" s="442"/>
      <c r="S1706" s="442"/>
      <c r="T1706" s="432">
        <f t="shared" si="288"/>
        <v>0</v>
      </c>
    </row>
    <row r="1707" spans="1:20" ht="22.2" hidden="1" customHeight="1">
      <c r="A1707" s="379"/>
      <c r="B1707" s="491" t="s">
        <v>1168</v>
      </c>
      <c r="C1707" s="469" t="str">
        <f t="shared" si="289"/>
        <v xml:space="preserve"> </v>
      </c>
      <c r="D1707" s="494">
        <f>'[1]pp3p2m '!DK82</f>
        <v>0</v>
      </c>
      <c r="E1707" s="422" t="str">
        <f>VLOOKUP($B1707,[1]DG!A:D,[1]DG!$B$2,)</f>
        <v>03.4008</v>
      </c>
      <c r="F1707" s="441" t="str">
        <f>VLOOKUP($B1707,[1]DG!A:D,[1]DG!$C$2,)</f>
        <v>Đầu cosse ép Cu-Al 240mm2</v>
      </c>
      <c r="G1707" s="422" t="str">
        <f>VLOOKUP($B1707,[1]DG!A:D,[1]DG!$D$2,)</f>
        <v>cái</v>
      </c>
      <c r="H1707" s="435">
        <f t="shared" si="293"/>
        <v>0</v>
      </c>
      <c r="I1707" s="435">
        <f t="shared" si="294"/>
        <v>0</v>
      </c>
      <c r="J1707" s="435"/>
      <c r="K1707" s="435"/>
      <c r="L1707" s="435"/>
      <c r="M1707" s="435"/>
      <c r="N1707" s="435"/>
      <c r="O1707" s="435"/>
      <c r="P1707" s="435">
        <f t="shared" si="290"/>
        <v>0</v>
      </c>
      <c r="Q1707" s="442"/>
      <c r="R1707" s="442"/>
      <c r="S1707" s="442"/>
      <c r="T1707" s="432">
        <f t="shared" ref="T1707:T1748" si="295">IFERROR(HLOOKUP(B1707,BangKeTru,3,0),0)</f>
        <v>0</v>
      </c>
    </row>
    <row r="1708" spans="1:20" ht="22.2" hidden="1" customHeight="1">
      <c r="A1708" s="379"/>
      <c r="B1708" s="491" t="s">
        <v>535</v>
      </c>
      <c r="C1708" s="469" t="str">
        <f t="shared" si="289"/>
        <v xml:space="preserve"> </v>
      </c>
      <c r="D1708" s="494">
        <f>SUM(D1702:D1707)/2</f>
        <v>0</v>
      </c>
      <c r="E1708" s="422">
        <f>VLOOKUP($B1708,[1]DG!A:D,[1]DG!$B$2,)</f>
        <v>0</v>
      </c>
      <c r="F1708" s="441" t="str">
        <f>VLOOKUP($B1708,[1]DG!A:D,[1]DG!$C$2,)</f>
        <v>Boulon 12x30+ 2 long đền vuông D14-50x50x3/Zn</v>
      </c>
      <c r="G1708" s="422" t="str">
        <f>VLOOKUP($B1708,[1]DG!A:D,[1]DG!$D$2,)</f>
        <v>bộ</v>
      </c>
      <c r="H1708" s="435">
        <f t="shared" si="293"/>
        <v>0</v>
      </c>
      <c r="I1708" s="435">
        <f t="shared" si="294"/>
        <v>0</v>
      </c>
      <c r="J1708" s="435"/>
      <c r="K1708" s="435"/>
      <c r="L1708" s="435"/>
      <c r="M1708" s="435"/>
      <c r="N1708" s="435"/>
      <c r="O1708" s="435"/>
      <c r="P1708" s="435">
        <f t="shared" si="290"/>
        <v>0</v>
      </c>
      <c r="Q1708" s="442"/>
      <c r="R1708" s="442"/>
      <c r="S1708" s="442"/>
      <c r="T1708" s="432">
        <f t="shared" si="295"/>
        <v>0</v>
      </c>
    </row>
    <row r="1709" spans="1:20" ht="22.2" hidden="1" customHeight="1">
      <c r="A1709" s="379"/>
      <c r="B1709" s="491" t="s">
        <v>99</v>
      </c>
      <c r="C1709" s="469" t="str">
        <f t="shared" si="289"/>
        <v xml:space="preserve"> </v>
      </c>
      <c r="D1709" s="494">
        <f>'[1]pp3p2m '!DM82*2</f>
        <v>0</v>
      </c>
      <c r="E1709" s="422" t="str">
        <f>VLOOKUP($B1709,[1]DG!A:D,[1]DG!$B$2,)</f>
        <v>04.3007</v>
      </c>
      <c r="F1709" s="441" t="str">
        <f>VLOOKUP($B1709,[1]DG!A:D,[1]DG!$C$2,)</f>
        <v>Kẹp quai 2/0</v>
      </c>
      <c r="G1709" s="422" t="str">
        <f>VLOOKUP($B1709,[1]DG!A:D,[1]DG!$D$2,)</f>
        <v>cái</v>
      </c>
      <c r="H1709" s="435">
        <f t="shared" si="293"/>
        <v>0</v>
      </c>
      <c r="I1709" s="435">
        <f t="shared" si="294"/>
        <v>0</v>
      </c>
      <c r="J1709" s="435"/>
      <c r="K1709" s="435"/>
      <c r="L1709" s="435"/>
      <c r="M1709" s="435"/>
      <c r="N1709" s="435"/>
      <c r="O1709" s="435"/>
      <c r="P1709" s="435">
        <f t="shared" si="290"/>
        <v>0</v>
      </c>
      <c r="Q1709" s="442"/>
      <c r="R1709" s="442"/>
      <c r="S1709" s="442"/>
      <c r="T1709" s="432">
        <f t="shared" si="295"/>
        <v>0</v>
      </c>
    </row>
    <row r="1710" spans="1:20" ht="22.2" hidden="1" customHeight="1">
      <c r="A1710" s="379"/>
      <c r="B1710" s="491" t="s">
        <v>1169</v>
      </c>
      <c r="C1710" s="469" t="str">
        <f t="shared" si="289"/>
        <v xml:space="preserve"> </v>
      </c>
      <c r="D1710" s="440">
        <f>D1709</f>
        <v>0</v>
      </c>
      <c r="E1710" s="422" t="str">
        <f>VLOOKUP($B1710,[1]DG!A:D,[1]DG!$B$2,)</f>
        <v>04.3007</v>
      </c>
      <c r="F1710" s="441" t="str">
        <f>VLOOKUP($B1710,[1]DG!A:D,[1]DG!$C$2,)</f>
        <v>Kẹp quai 4/0</v>
      </c>
      <c r="G1710" s="422" t="str">
        <f>VLOOKUP($B1710,[1]DG!A:D,[1]DG!$D$2,)</f>
        <v>cái</v>
      </c>
      <c r="H1710" s="435">
        <f t="shared" si="293"/>
        <v>0</v>
      </c>
      <c r="I1710" s="435">
        <f t="shared" si="294"/>
        <v>0</v>
      </c>
      <c r="J1710" s="435"/>
      <c r="K1710" s="435"/>
      <c r="L1710" s="435"/>
      <c r="M1710" s="435"/>
      <c r="N1710" s="435"/>
      <c r="O1710" s="435"/>
      <c r="P1710" s="435">
        <f t="shared" si="290"/>
        <v>0</v>
      </c>
      <c r="Q1710" s="442"/>
      <c r="R1710" s="442"/>
      <c r="S1710" s="442"/>
      <c r="T1710" s="432">
        <f t="shared" si="295"/>
        <v>0</v>
      </c>
    </row>
    <row r="1711" spans="1:20" ht="22.2" hidden="1" customHeight="1">
      <c r="A1711" s="379"/>
      <c r="B1711" s="497" t="s">
        <v>100</v>
      </c>
      <c r="C1711" s="469" t="str">
        <f t="shared" si="289"/>
        <v xml:space="preserve"> </v>
      </c>
      <c r="D1711" s="440">
        <f>D1709</f>
        <v>0</v>
      </c>
      <c r="E1711" s="422"/>
      <c r="F1711" s="455" t="str">
        <f>VLOOKUP($B1711,[1]DG!A:D,[1]DG!$C$2,)</f>
        <v>Kẹp hotline 2/0</v>
      </c>
      <c r="G1711" s="422" t="str">
        <f>VLOOKUP($B1711,[1]DG!A:D,[1]DG!$D$2,)</f>
        <v>cái</v>
      </c>
      <c r="H1711" s="435">
        <f t="shared" si="293"/>
        <v>0</v>
      </c>
      <c r="I1711" s="435">
        <f t="shared" si="294"/>
        <v>0</v>
      </c>
      <c r="J1711" s="435"/>
      <c r="K1711" s="435"/>
      <c r="L1711" s="435"/>
      <c r="M1711" s="435"/>
      <c r="N1711" s="435"/>
      <c r="O1711" s="435"/>
      <c r="P1711" s="435">
        <f t="shared" si="290"/>
        <v>0</v>
      </c>
      <c r="Q1711" s="442"/>
      <c r="R1711" s="442"/>
      <c r="S1711" s="442"/>
      <c r="T1711" s="432">
        <f t="shared" si="295"/>
        <v>0</v>
      </c>
    </row>
    <row r="1712" spans="1:20" ht="22.2" hidden="1" customHeight="1">
      <c r="A1712" s="379"/>
      <c r="B1712" s="497" t="s">
        <v>1032</v>
      </c>
      <c r="C1712" s="469" t="str">
        <f t="shared" si="289"/>
        <v xml:space="preserve"> </v>
      </c>
      <c r="D1712" s="494">
        <f>D1710</f>
        <v>0</v>
      </c>
      <c r="E1712" s="422"/>
      <c r="F1712" s="441" t="str">
        <f>VLOOKUP($B1712,[1]DG!A:D,[1]DG!$C$2,)</f>
        <v>Kẹp hotline 4/0</v>
      </c>
      <c r="G1712" s="422" t="str">
        <f>VLOOKUP($B1712,[1]DG!A:D,[1]DG!$D$2,)</f>
        <v>cái</v>
      </c>
      <c r="H1712" s="435">
        <f t="shared" si="293"/>
        <v>0</v>
      </c>
      <c r="I1712" s="435">
        <f t="shared" si="294"/>
        <v>0</v>
      </c>
      <c r="J1712" s="435"/>
      <c r="K1712" s="435"/>
      <c r="L1712" s="435"/>
      <c r="M1712" s="435"/>
      <c r="N1712" s="435"/>
      <c r="O1712" s="435"/>
      <c r="P1712" s="435">
        <f t="shared" si="290"/>
        <v>0</v>
      </c>
      <c r="Q1712" s="442"/>
      <c r="R1712" s="442"/>
      <c r="S1712" s="442"/>
      <c r="T1712" s="432">
        <f t="shared" si="295"/>
        <v>0</v>
      </c>
    </row>
    <row r="1713" spans="1:20" ht="22.2" hidden="1" customHeight="1">
      <c r="A1713" s="379"/>
      <c r="B1713" s="491" t="s">
        <v>1170</v>
      </c>
      <c r="C1713" s="469" t="str">
        <f t="shared" si="289"/>
        <v xml:space="preserve"> </v>
      </c>
      <c r="D1713" s="440">
        <f>ROUND((E1630)*1.03/1500,0)</f>
        <v>0</v>
      </c>
      <c r="E1713" s="422"/>
      <c r="F1713" s="441" t="str">
        <f>VLOOKUP($B1713,[1]DG!A:D,[1]DG!$C$2,)</f>
        <v>Ống nối dây cỡ 50mm2</v>
      </c>
      <c r="G1713" s="422" t="str">
        <f>VLOOKUP($B1713,[1]DG!A:D,[1]DG!$D$2,)</f>
        <v>cái</v>
      </c>
      <c r="H1713" s="435">
        <f t="shared" si="293"/>
        <v>0</v>
      </c>
      <c r="I1713" s="435">
        <f t="shared" si="294"/>
        <v>0</v>
      </c>
      <c r="J1713" s="435"/>
      <c r="K1713" s="435"/>
      <c r="L1713" s="435"/>
      <c r="M1713" s="435"/>
      <c r="N1713" s="435"/>
      <c r="O1713" s="435"/>
      <c r="P1713" s="435">
        <f t="shared" si="290"/>
        <v>0</v>
      </c>
      <c r="Q1713" s="442"/>
      <c r="R1713" s="442"/>
      <c r="S1713" s="442"/>
      <c r="T1713" s="432">
        <f t="shared" si="295"/>
        <v>0</v>
      </c>
    </row>
    <row r="1714" spans="1:20" ht="22.2" hidden="1" customHeight="1">
      <c r="A1714" s="379"/>
      <c r="B1714" s="491" t="s">
        <v>1171</v>
      </c>
      <c r="C1714" s="469" t="str">
        <f t="shared" si="289"/>
        <v xml:space="preserve"> </v>
      </c>
      <c r="D1714" s="440">
        <f>ROUND((E1631+E1642)*1.03/1400,0)</f>
        <v>0</v>
      </c>
      <c r="E1714" s="422"/>
      <c r="F1714" s="441" t="str">
        <f>VLOOKUP($B1714,[1]DG!A:D,[1]DG!$C$2,)</f>
        <v>Ống nối dây cỡ 70mm2</v>
      </c>
      <c r="G1714" s="422" t="str">
        <f>VLOOKUP($B1714,[1]DG!A:D,[1]DG!$D$2,)</f>
        <v>cái</v>
      </c>
      <c r="H1714" s="435">
        <f t="shared" si="293"/>
        <v>0</v>
      </c>
      <c r="I1714" s="435">
        <f t="shared" si="294"/>
        <v>0</v>
      </c>
      <c r="J1714" s="435"/>
      <c r="K1714" s="435"/>
      <c r="L1714" s="435"/>
      <c r="M1714" s="435"/>
      <c r="N1714" s="435"/>
      <c r="O1714" s="435"/>
      <c r="P1714" s="435">
        <f t="shared" si="290"/>
        <v>0</v>
      </c>
      <c r="Q1714" s="442"/>
      <c r="R1714" s="442"/>
      <c r="S1714" s="442"/>
      <c r="T1714" s="432">
        <f t="shared" si="295"/>
        <v>0</v>
      </c>
    </row>
    <row r="1715" spans="1:20" ht="22.2" hidden="1" customHeight="1">
      <c r="A1715" s="379"/>
      <c r="B1715" s="491" t="s">
        <v>1172</v>
      </c>
      <c r="C1715" s="469" t="str">
        <f t="shared" si="289"/>
        <v xml:space="preserve"> </v>
      </c>
      <c r="D1715" s="440">
        <f>ROUND((E1632+E1641)*1.03/1200,0)</f>
        <v>0</v>
      </c>
      <c r="E1715" s="422"/>
      <c r="F1715" s="441" t="str">
        <f>VLOOKUP($B1715,[1]DG!A:D,[1]DG!$C$2,)</f>
        <v>Ống nối dây cỡ 95mm2</v>
      </c>
      <c r="G1715" s="422" t="str">
        <f>VLOOKUP($B1715,[1]DG!A:D,[1]DG!$D$2,)</f>
        <v>cái</v>
      </c>
      <c r="H1715" s="435">
        <f t="shared" si="293"/>
        <v>0</v>
      </c>
      <c r="I1715" s="435">
        <f t="shared" si="294"/>
        <v>0</v>
      </c>
      <c r="J1715" s="435"/>
      <c r="K1715" s="435"/>
      <c r="L1715" s="435"/>
      <c r="M1715" s="435"/>
      <c r="N1715" s="435"/>
      <c r="O1715" s="435"/>
      <c r="P1715" s="435">
        <f t="shared" si="290"/>
        <v>0</v>
      </c>
      <c r="Q1715" s="442"/>
      <c r="R1715" s="442"/>
      <c r="S1715" s="442"/>
      <c r="T1715" s="432">
        <f t="shared" si="295"/>
        <v>0</v>
      </c>
    </row>
    <row r="1716" spans="1:20" ht="22.2" hidden="1" customHeight="1">
      <c r="A1716" s="379"/>
      <c r="B1716" s="491" t="s">
        <v>1173</v>
      </c>
      <c r="C1716" s="469" t="str">
        <f t="shared" si="289"/>
        <v xml:space="preserve"> </v>
      </c>
      <c r="D1716" s="440">
        <f>ROUND((E1633+E1640)*1.03/1200,0)</f>
        <v>0</v>
      </c>
      <c r="E1716" s="422"/>
      <c r="F1716" s="441" t="str">
        <f>VLOOKUP($B1716,[1]DG!A:D,[1]DG!$C$2,)</f>
        <v>Ống nối dây cỡ 120mm2</v>
      </c>
      <c r="G1716" s="422" t="str">
        <f>VLOOKUP($B1716,[1]DG!A:D,[1]DG!$D$2,)</f>
        <v>cái</v>
      </c>
      <c r="H1716" s="435">
        <f t="shared" si="293"/>
        <v>0</v>
      </c>
      <c r="I1716" s="435">
        <f t="shared" si="294"/>
        <v>0</v>
      </c>
      <c r="J1716" s="435"/>
      <c r="K1716" s="435"/>
      <c r="L1716" s="435"/>
      <c r="M1716" s="435"/>
      <c r="N1716" s="435"/>
      <c r="O1716" s="435"/>
      <c r="P1716" s="435">
        <f t="shared" si="290"/>
        <v>0</v>
      </c>
      <c r="Q1716" s="442"/>
      <c r="R1716" s="442"/>
      <c r="S1716" s="442"/>
      <c r="T1716" s="432">
        <f t="shared" si="295"/>
        <v>0</v>
      </c>
    </row>
    <row r="1717" spans="1:20" ht="22.2" hidden="1" customHeight="1">
      <c r="A1717" s="379"/>
      <c r="B1717" s="491" t="s">
        <v>1174</v>
      </c>
      <c r="C1717" s="469" t="str">
        <f t="shared" si="289"/>
        <v xml:space="preserve"> </v>
      </c>
      <c r="D1717" s="440">
        <f>ROUND((E1634+E1639)*1.03/1200,0)</f>
        <v>0</v>
      </c>
      <c r="E1717" s="422"/>
      <c r="F1717" s="441" t="str">
        <f>VLOOKUP($B1717,[1]DG!A:D,[1]DG!$C$2,)</f>
        <v>Ống nối dây cỡ 150mm2</v>
      </c>
      <c r="G1717" s="422" t="str">
        <f>VLOOKUP($B1717,[1]DG!A:D,[1]DG!$D$2,)</f>
        <v>cái</v>
      </c>
      <c r="H1717" s="435">
        <f t="shared" si="293"/>
        <v>0</v>
      </c>
      <c r="I1717" s="435">
        <f t="shared" si="294"/>
        <v>0</v>
      </c>
      <c r="J1717" s="435"/>
      <c r="K1717" s="435"/>
      <c r="L1717" s="435"/>
      <c r="M1717" s="435"/>
      <c r="N1717" s="435"/>
      <c r="O1717" s="435"/>
      <c r="P1717" s="435">
        <f t="shared" si="290"/>
        <v>0</v>
      </c>
      <c r="Q1717" s="442"/>
      <c r="R1717" s="442"/>
      <c r="S1717" s="442"/>
      <c r="T1717" s="432">
        <f t="shared" si="295"/>
        <v>0</v>
      </c>
    </row>
    <row r="1718" spans="1:20" ht="22.2" hidden="1" customHeight="1">
      <c r="A1718" s="379"/>
      <c r="B1718" s="491" t="s">
        <v>1175</v>
      </c>
      <c r="C1718" s="469" t="str">
        <f t="shared" si="289"/>
        <v xml:space="preserve"> </v>
      </c>
      <c r="D1718" s="440">
        <f>ROUND((E1635+E1638)*1.03/1200,0)</f>
        <v>0</v>
      </c>
      <c r="E1718" s="422"/>
      <c r="F1718" s="441" t="str">
        <f>VLOOKUP($B1718,[1]DG!A:D,[1]DG!$C$2,)</f>
        <v>Ống nối dây cỡ 185mm2</v>
      </c>
      <c r="G1718" s="422" t="str">
        <f>VLOOKUP($B1718,[1]DG!A:D,[1]DG!$D$2,)</f>
        <v>cái</v>
      </c>
      <c r="H1718" s="435">
        <f t="shared" si="293"/>
        <v>0</v>
      </c>
      <c r="I1718" s="435">
        <f t="shared" si="294"/>
        <v>0</v>
      </c>
      <c r="J1718" s="435"/>
      <c r="K1718" s="435"/>
      <c r="L1718" s="435"/>
      <c r="M1718" s="435"/>
      <c r="N1718" s="435"/>
      <c r="O1718" s="435"/>
      <c r="P1718" s="435">
        <f t="shared" si="290"/>
        <v>0</v>
      </c>
      <c r="Q1718" s="442"/>
      <c r="R1718" s="442"/>
      <c r="S1718" s="442"/>
      <c r="T1718" s="432">
        <f t="shared" si="295"/>
        <v>0</v>
      </c>
    </row>
    <row r="1719" spans="1:20" ht="22.2" hidden="1" customHeight="1">
      <c r="A1719" s="379"/>
      <c r="B1719" s="491" t="s">
        <v>1176</v>
      </c>
      <c r="C1719" s="469" t="str">
        <f t="shared" si="289"/>
        <v xml:space="preserve"> </v>
      </c>
      <c r="D1719" s="440">
        <f>ROUND((E1636+E1637)*1.03/1200,0)</f>
        <v>0</v>
      </c>
      <c r="E1719" s="422"/>
      <c r="F1719" s="441" t="str">
        <f>VLOOKUP($B1719,[1]DG!A:D,[1]DG!$C$2,)</f>
        <v>Ống nối dây cỡ 240mm2</v>
      </c>
      <c r="G1719" s="422" t="str">
        <f>VLOOKUP($B1719,[1]DG!A:D,[1]DG!$D$2,)</f>
        <v>cái</v>
      </c>
      <c r="H1719" s="435">
        <f t="shared" si="293"/>
        <v>0</v>
      </c>
      <c r="I1719" s="435">
        <f t="shared" si="294"/>
        <v>0</v>
      </c>
      <c r="J1719" s="435"/>
      <c r="K1719" s="435"/>
      <c r="L1719" s="435"/>
      <c r="M1719" s="435"/>
      <c r="N1719" s="435"/>
      <c r="O1719" s="435"/>
      <c r="P1719" s="435">
        <f t="shared" si="290"/>
        <v>0</v>
      </c>
      <c r="Q1719" s="442"/>
      <c r="R1719" s="442"/>
      <c r="S1719" s="442"/>
      <c r="T1719" s="432">
        <f t="shared" si="295"/>
        <v>0</v>
      </c>
    </row>
    <row r="1720" spans="1:20" ht="22.2" hidden="1" customHeight="1">
      <c r="A1720" s="379"/>
      <c r="B1720" s="491" t="s">
        <v>65</v>
      </c>
      <c r="C1720" s="469" t="str">
        <f t="shared" si="289"/>
        <v xml:space="preserve"> </v>
      </c>
      <c r="D1720" s="494">
        <f>'[1]pp3p2m '!DF82</f>
        <v>0</v>
      </c>
      <c r="E1720" s="422"/>
      <c r="F1720" s="441" t="str">
        <f>VLOOKUP($B1720,[1]DG!A:D,[1]DG!$C$2,)</f>
        <v>Boulon 16x300+ 2 long đền vuông D18-50x50x3/Zn</v>
      </c>
      <c r="G1720" s="422" t="str">
        <f>VLOOKUP($B1720,[1]DG!A:D,[1]DG!$D$2,)</f>
        <v>bộ</v>
      </c>
      <c r="H1720" s="435">
        <f t="shared" si="293"/>
        <v>0</v>
      </c>
      <c r="I1720" s="435">
        <f>H1720</f>
        <v>0</v>
      </c>
      <c r="J1720" s="435"/>
      <c r="K1720" s="435"/>
      <c r="L1720" s="435"/>
      <c r="M1720" s="435"/>
      <c r="N1720" s="435"/>
      <c r="O1720" s="435"/>
      <c r="P1720" s="435">
        <f t="shared" si="290"/>
        <v>0</v>
      </c>
      <c r="Q1720" s="442"/>
      <c r="R1720" s="442"/>
      <c r="S1720" s="442"/>
      <c r="T1720" s="432">
        <f t="shared" si="295"/>
        <v>0</v>
      </c>
    </row>
    <row r="1721" spans="1:20" ht="22.2" hidden="1" customHeight="1">
      <c r="A1721" s="379"/>
      <c r="B1721" s="491" t="s">
        <v>1177</v>
      </c>
      <c r="C1721" s="469" t="str">
        <f t="shared" si="289"/>
        <v xml:space="preserve"> </v>
      </c>
      <c r="D1721" s="440">
        <f>SUM(D1723:D1735)*5/1.4</f>
        <v>0</v>
      </c>
      <c r="E1721" s="422"/>
      <c r="F1721" s="441" t="str">
        <f>VLOOKUP($B1721,[1]DG!A:D,[1]DG!$C$2,)</f>
        <v xml:space="preserve">Dây nhôm buộc </v>
      </c>
      <c r="G1721" s="422" t="str">
        <f>VLOOKUP($B1721,[1]DG!A:D,[1]DG!$D$2,)</f>
        <v>kg</v>
      </c>
      <c r="H1721" s="435">
        <f t="shared" si="293"/>
        <v>0</v>
      </c>
      <c r="I1721" s="435">
        <f>D1721</f>
        <v>0</v>
      </c>
      <c r="J1721" s="435"/>
      <c r="K1721" s="435"/>
      <c r="L1721" s="435"/>
      <c r="M1721" s="435"/>
      <c r="N1721" s="435"/>
      <c r="O1721" s="435"/>
      <c r="P1721" s="435">
        <f t="shared" si="290"/>
        <v>0</v>
      </c>
      <c r="Q1721" s="442"/>
      <c r="R1721" s="442"/>
      <c r="S1721" s="442"/>
      <c r="T1721" s="432">
        <f t="shared" si="295"/>
        <v>0</v>
      </c>
    </row>
    <row r="1722" spans="1:20" ht="22.2" hidden="1" customHeight="1">
      <c r="A1722" s="379"/>
      <c r="B1722" s="491" t="s">
        <v>1178</v>
      </c>
      <c r="C1722" s="469" t="str">
        <f t="shared" ref="C1722:C1785" si="296">IF(OR(P1722&lt;&gt;0,H1722&lt;&gt;0),"x"," ")</f>
        <v xml:space="preserve"> </v>
      </c>
      <c r="D1722" s="440">
        <f>SUM(G142:G145)</f>
        <v>0</v>
      </c>
      <c r="E1722" s="422"/>
      <c r="F1722" s="441" t="str">
        <f>VLOOKUP($B1722,[1]DG!A:D,[1]DG!$C$2,)</f>
        <v>Biển số - Bảng nguy hiểm</v>
      </c>
      <c r="G1722" s="422" t="str">
        <f>VLOOKUP($B1722,[1]DG!A:D,[1]DG!$D$2,)</f>
        <v>cái</v>
      </c>
      <c r="H1722" s="435">
        <f t="shared" si="293"/>
        <v>0</v>
      </c>
      <c r="I1722" s="435">
        <f>D1722</f>
        <v>0</v>
      </c>
      <c r="J1722" s="435"/>
      <c r="K1722" s="435"/>
      <c r="L1722" s="435"/>
      <c r="M1722" s="435"/>
      <c r="N1722" s="435"/>
      <c r="O1722" s="435"/>
      <c r="P1722" s="435">
        <f t="shared" si="290"/>
        <v>0</v>
      </c>
      <c r="Q1722" s="442"/>
      <c r="R1722" s="442"/>
      <c r="S1722" s="442"/>
      <c r="T1722" s="432">
        <f t="shared" si="295"/>
        <v>0</v>
      </c>
    </row>
    <row r="1723" spans="1:20" ht="22.2" hidden="1" customHeight="1">
      <c r="A1723" s="379"/>
      <c r="B1723" s="491" t="s">
        <v>1179</v>
      </c>
      <c r="C1723" s="469" t="str">
        <f t="shared" si="296"/>
        <v xml:space="preserve"> </v>
      </c>
      <c r="D1723" s="433"/>
      <c r="E1723" s="422" t="str">
        <f>VLOOKUP($B1723,[1]DG!A:D,[1]DG!$B$2,)</f>
        <v>06.6114</v>
      </c>
      <c r="F1723" s="434" t="str">
        <f>VLOOKUP($B1723,[1]DG!A:D,[1]DG!$C$2,)</f>
        <v>Kéo dây nhôm lõi thép cỡ dây 50mm2</v>
      </c>
      <c r="G1723" s="422" t="str">
        <f>VLOOKUP($B1723,[1]DG!A:D,[1]DG!$D$2,)</f>
        <v>km</v>
      </c>
      <c r="H1723" s="435"/>
      <c r="I1723" s="435"/>
      <c r="J1723" s="435"/>
      <c r="K1723" s="435"/>
      <c r="L1723" s="435"/>
      <c r="M1723" s="435"/>
      <c r="N1723" s="435"/>
      <c r="O1723" s="435"/>
      <c r="P1723" s="435">
        <f t="shared" si="290"/>
        <v>0</v>
      </c>
      <c r="Q1723" s="442"/>
      <c r="R1723" s="442"/>
      <c r="S1723" s="442"/>
      <c r="T1723" s="432">
        <f t="shared" si="295"/>
        <v>0</v>
      </c>
    </row>
    <row r="1724" spans="1:20" ht="22.2" hidden="1" customHeight="1">
      <c r="A1724" s="379"/>
      <c r="B1724" s="491" t="s">
        <v>1181</v>
      </c>
      <c r="C1724" s="469" t="str">
        <f t="shared" si="296"/>
        <v xml:space="preserve"> </v>
      </c>
      <c r="D1724" s="433">
        <f t="shared" ref="D1724:D1729" si="297">(E1631)/1000</f>
        <v>0</v>
      </c>
      <c r="E1724" s="422" t="str">
        <f>VLOOKUP($B1724,[1]DG!A:D,[1]DG!$B$2,)</f>
        <v>06.6105</v>
      </c>
      <c r="F1724" s="434" t="str">
        <f>VLOOKUP($B1724,[1]DG!A:D,[1]DG!$C$2,)</f>
        <v>Kéo dây nhôm lõi thép cỡ dây 70mm2</v>
      </c>
      <c r="G1724" s="422" t="str">
        <f>VLOOKUP($B1724,[1]DG!A:D,[1]DG!$D$2,)</f>
        <v>km</v>
      </c>
      <c r="H1724" s="435"/>
      <c r="I1724" s="435"/>
      <c r="J1724" s="435"/>
      <c r="K1724" s="435"/>
      <c r="L1724" s="435"/>
      <c r="M1724" s="435"/>
      <c r="N1724" s="435"/>
      <c r="O1724" s="435"/>
      <c r="P1724" s="435">
        <f t="shared" si="290"/>
        <v>0</v>
      </c>
      <c r="Q1724" s="442"/>
      <c r="R1724" s="442"/>
      <c r="S1724" s="442"/>
      <c r="T1724" s="432">
        <f t="shared" si="295"/>
        <v>0</v>
      </c>
    </row>
    <row r="1725" spans="1:20" ht="22.2" hidden="1" customHeight="1">
      <c r="A1725" s="379"/>
      <c r="B1725" s="491" t="s">
        <v>1182</v>
      </c>
      <c r="C1725" s="469" t="str">
        <f t="shared" si="296"/>
        <v xml:space="preserve"> </v>
      </c>
      <c r="D1725" s="433">
        <f t="shared" si="297"/>
        <v>0</v>
      </c>
      <c r="E1725" s="422" t="str">
        <f>VLOOKUP($B1725,[1]DG!A:D,[1]DG!$B$2,)</f>
        <v>06.6106</v>
      </c>
      <c r="F1725" s="434" t="str">
        <f>VLOOKUP($B1725,[1]DG!A:D,[1]DG!$C$2,)</f>
        <v>Kéo dây nhôm lõi thép cỡ dây 95mm2</v>
      </c>
      <c r="G1725" s="422" t="str">
        <f>VLOOKUP($B1725,[1]DG!A:D,[1]DG!$D$2,)</f>
        <v>km</v>
      </c>
      <c r="H1725" s="435"/>
      <c r="I1725" s="435"/>
      <c r="J1725" s="435"/>
      <c r="K1725" s="435"/>
      <c r="L1725" s="435"/>
      <c r="M1725" s="435"/>
      <c r="N1725" s="435"/>
      <c r="O1725" s="435"/>
      <c r="P1725" s="435">
        <f t="shared" si="290"/>
        <v>0</v>
      </c>
      <c r="Q1725" s="442"/>
      <c r="R1725" s="442"/>
      <c r="S1725" s="442"/>
      <c r="T1725" s="432">
        <f t="shared" si="295"/>
        <v>0</v>
      </c>
    </row>
    <row r="1726" spans="1:20" ht="22.2" hidden="1" customHeight="1">
      <c r="A1726" s="379"/>
      <c r="B1726" s="491" t="s">
        <v>1183</v>
      </c>
      <c r="C1726" s="469" t="str">
        <f t="shared" si="296"/>
        <v xml:space="preserve"> </v>
      </c>
      <c r="D1726" s="433">
        <f t="shared" si="297"/>
        <v>0</v>
      </c>
      <c r="E1726" s="422" t="str">
        <f>VLOOKUP($B1726,[1]DG!A:D,[1]DG!$B$2,)</f>
        <v>06.6107</v>
      </c>
      <c r="F1726" s="434" t="str">
        <f>VLOOKUP($B1726,[1]DG!A:D,[1]DG!$C$2,)</f>
        <v>Kéo dây nhôm lõi thép cỡ dây 120mm2</v>
      </c>
      <c r="G1726" s="422" t="str">
        <f>VLOOKUP($B1726,[1]DG!A:D,[1]DG!$D$2,)</f>
        <v>km</v>
      </c>
      <c r="H1726" s="435"/>
      <c r="I1726" s="435"/>
      <c r="J1726" s="435"/>
      <c r="K1726" s="435"/>
      <c r="L1726" s="435"/>
      <c r="M1726" s="435"/>
      <c r="N1726" s="435"/>
      <c r="O1726" s="435"/>
      <c r="P1726" s="435">
        <f t="shared" si="290"/>
        <v>0</v>
      </c>
      <c r="Q1726" s="442"/>
      <c r="R1726" s="442"/>
      <c r="S1726" s="442"/>
      <c r="T1726" s="432">
        <f t="shared" si="295"/>
        <v>0</v>
      </c>
    </row>
    <row r="1727" spans="1:20" ht="22.2" hidden="1" customHeight="1">
      <c r="A1727" s="379"/>
      <c r="B1727" s="491" t="s">
        <v>1184</v>
      </c>
      <c r="C1727" s="469" t="str">
        <f t="shared" si="296"/>
        <v xml:space="preserve"> </v>
      </c>
      <c r="D1727" s="433">
        <f t="shared" si="297"/>
        <v>0</v>
      </c>
      <c r="E1727" s="422" t="str">
        <f>VLOOKUP($B1727,[1]DG!A:D,[1]DG!$B$2,)</f>
        <v>06.6108</v>
      </c>
      <c r="F1727" s="434" t="str">
        <f>VLOOKUP($B1727,[1]DG!A:D,[1]DG!$C$2,)</f>
        <v>Kéo dây nhôm lõi thép cỡ dây 150mm2</v>
      </c>
      <c r="G1727" s="422" t="str">
        <f>VLOOKUP($B1727,[1]DG!A:D,[1]DG!$D$2,)</f>
        <v>km</v>
      </c>
      <c r="H1727" s="435"/>
      <c r="I1727" s="435"/>
      <c r="J1727" s="435"/>
      <c r="K1727" s="435"/>
      <c r="L1727" s="435"/>
      <c r="M1727" s="435"/>
      <c r="N1727" s="435"/>
      <c r="O1727" s="435"/>
      <c r="P1727" s="435">
        <f t="shared" si="290"/>
        <v>0</v>
      </c>
      <c r="Q1727" s="442"/>
      <c r="R1727" s="442"/>
      <c r="S1727" s="442"/>
      <c r="T1727" s="432">
        <f t="shared" si="295"/>
        <v>0</v>
      </c>
    </row>
    <row r="1728" spans="1:20" ht="22.2" hidden="1" customHeight="1">
      <c r="A1728" s="379"/>
      <c r="B1728" s="491" t="s">
        <v>1186</v>
      </c>
      <c r="C1728" s="469" t="str">
        <f t="shared" si="296"/>
        <v xml:space="preserve"> </v>
      </c>
      <c r="D1728" s="433">
        <f t="shared" si="297"/>
        <v>0</v>
      </c>
      <c r="E1728" s="422" t="str">
        <f>VLOOKUP($B1728,[1]DG!A:D,[1]DG!$B$2,)</f>
        <v>06.6109</v>
      </c>
      <c r="F1728" s="434" t="str">
        <f>VLOOKUP($B1728,[1]DG!A:D,[1]DG!$C$2,)</f>
        <v>Kéo dây nhôm lõi thép cỡ dây 185mm2</v>
      </c>
      <c r="G1728" s="422" t="str">
        <f>VLOOKUP($B1728,[1]DG!A:D,[1]DG!$D$2,)</f>
        <v>km</v>
      </c>
      <c r="H1728" s="435"/>
      <c r="I1728" s="435"/>
      <c r="J1728" s="435"/>
      <c r="K1728" s="435"/>
      <c r="L1728" s="435"/>
      <c r="M1728" s="435"/>
      <c r="N1728" s="435"/>
      <c r="O1728" s="435"/>
      <c r="P1728" s="435">
        <f t="shared" si="290"/>
        <v>0</v>
      </c>
      <c r="Q1728" s="442"/>
      <c r="R1728" s="442"/>
      <c r="S1728" s="442"/>
      <c r="T1728" s="432">
        <f t="shared" si="295"/>
        <v>0</v>
      </c>
    </row>
    <row r="1729" spans="1:20" ht="22.2" hidden="1" customHeight="1">
      <c r="A1729" s="379"/>
      <c r="B1729" s="491" t="s">
        <v>1187</v>
      </c>
      <c r="C1729" s="469" t="str">
        <f t="shared" si="296"/>
        <v xml:space="preserve"> </v>
      </c>
      <c r="D1729" s="433">
        <f t="shared" si="297"/>
        <v>0</v>
      </c>
      <c r="E1729" s="422" t="str">
        <f>VLOOKUP($B1729,[1]DG!A:D,[1]DG!$B$2,)</f>
        <v>06.6110</v>
      </c>
      <c r="F1729" s="434" t="str">
        <f>VLOOKUP($B1729,[1]DG!A:D,[1]DG!$C$2,)</f>
        <v>Kéo dây nhôm lõi thép cỡ dây 240mm2</v>
      </c>
      <c r="G1729" s="422" t="str">
        <f>VLOOKUP($B1729,[1]DG!A:D,[1]DG!$D$2,)</f>
        <v>km</v>
      </c>
      <c r="H1729" s="435"/>
      <c r="I1729" s="435"/>
      <c r="J1729" s="435"/>
      <c r="K1729" s="435"/>
      <c r="L1729" s="435"/>
      <c r="M1729" s="435"/>
      <c r="N1729" s="435"/>
      <c r="O1729" s="435"/>
      <c r="P1729" s="435">
        <f t="shared" si="290"/>
        <v>0</v>
      </c>
      <c r="Q1729" s="442"/>
      <c r="R1729" s="442"/>
      <c r="S1729" s="442"/>
      <c r="T1729" s="432">
        <f t="shared" si="295"/>
        <v>0</v>
      </c>
    </row>
    <row r="1730" spans="1:20" ht="22.2" hidden="1" customHeight="1">
      <c r="A1730" s="379"/>
      <c r="B1730" s="491" t="s">
        <v>1188</v>
      </c>
      <c r="C1730" s="469" t="str">
        <f t="shared" si="296"/>
        <v xml:space="preserve"> </v>
      </c>
      <c r="D1730" s="433">
        <f>E1642/1000</f>
        <v>0</v>
      </c>
      <c r="E1730" s="422" t="str">
        <f>VLOOKUP($B1730,[1]DG!A:D,[1]DG!$B$2,)</f>
        <v>06.6105</v>
      </c>
      <c r="F1730" s="434" t="str">
        <f>VLOOKUP($B1730,[1]DG!A:D,[1]DG!$C$2,)</f>
        <v>Kéo dây nhôm bọc 70mm2</v>
      </c>
      <c r="G1730" s="422" t="str">
        <f>VLOOKUP($B1730,[1]DG!A:D,[1]DG!$D$2,)</f>
        <v>km</v>
      </c>
      <c r="H1730" s="435"/>
      <c r="I1730" s="435"/>
      <c r="J1730" s="435"/>
      <c r="K1730" s="435"/>
      <c r="L1730" s="435"/>
      <c r="M1730" s="435"/>
      <c r="N1730" s="435"/>
      <c r="O1730" s="435"/>
      <c r="P1730" s="435">
        <f t="shared" si="290"/>
        <v>0</v>
      </c>
      <c r="Q1730" s="442"/>
      <c r="R1730" s="442"/>
      <c r="S1730" s="442"/>
      <c r="T1730" s="432">
        <f t="shared" si="295"/>
        <v>0</v>
      </c>
    </row>
    <row r="1731" spans="1:20" ht="22.2" hidden="1" customHeight="1">
      <c r="A1731" s="379"/>
      <c r="B1731" s="491" t="s">
        <v>1189</v>
      </c>
      <c r="C1731" s="469" t="str">
        <f t="shared" si="296"/>
        <v xml:space="preserve"> </v>
      </c>
      <c r="D1731" s="433">
        <f>E1641/1000</f>
        <v>0</v>
      </c>
      <c r="E1731" s="422" t="str">
        <f>VLOOKUP($B1731,[1]DG!A:D,[1]DG!$B$2,)</f>
        <v>06.6106</v>
      </c>
      <c r="F1731" s="434" t="str">
        <f>VLOOKUP($B1731,[1]DG!A:D,[1]DG!$C$2,)</f>
        <v>Kéo dây nhôm bọc 95mm2</v>
      </c>
      <c r="G1731" s="422" t="str">
        <f>VLOOKUP($B1731,[1]DG!A:D,[1]DG!$D$2,)</f>
        <v>km</v>
      </c>
      <c r="H1731" s="435"/>
      <c r="I1731" s="435"/>
      <c r="J1731" s="435"/>
      <c r="K1731" s="435"/>
      <c r="L1731" s="435"/>
      <c r="M1731" s="435"/>
      <c r="N1731" s="435"/>
      <c r="O1731" s="435"/>
      <c r="P1731" s="435">
        <f t="shared" si="290"/>
        <v>0</v>
      </c>
      <c r="Q1731" s="442"/>
      <c r="R1731" s="442"/>
      <c r="S1731" s="442"/>
      <c r="T1731" s="432">
        <f t="shared" si="295"/>
        <v>0</v>
      </c>
    </row>
    <row r="1732" spans="1:20" ht="22.2" hidden="1" customHeight="1">
      <c r="A1732" s="379"/>
      <c r="B1732" s="491" t="s">
        <v>1190</v>
      </c>
      <c r="C1732" s="469" t="str">
        <f t="shared" si="296"/>
        <v xml:space="preserve"> </v>
      </c>
      <c r="D1732" s="433">
        <f>E1640/1000</f>
        <v>0</v>
      </c>
      <c r="E1732" s="422" t="str">
        <f>VLOOKUP($B1732,[1]DG!A:D,[1]DG!$B$2,)</f>
        <v>06.6107</v>
      </c>
      <c r="F1732" s="434" t="str">
        <f>VLOOKUP($B1732,[1]DG!A:D,[1]DG!$C$2,)</f>
        <v>Kéo dây nhôm bọc 120mm2</v>
      </c>
      <c r="G1732" s="422" t="str">
        <f>VLOOKUP($B1732,[1]DG!A:D,[1]DG!$D$2,)</f>
        <v>km</v>
      </c>
      <c r="H1732" s="435"/>
      <c r="I1732" s="435"/>
      <c r="J1732" s="435"/>
      <c r="K1732" s="435"/>
      <c r="L1732" s="435"/>
      <c r="M1732" s="435"/>
      <c r="N1732" s="435"/>
      <c r="O1732" s="435"/>
      <c r="P1732" s="435">
        <f t="shared" si="290"/>
        <v>0</v>
      </c>
      <c r="Q1732" s="442"/>
      <c r="R1732" s="442"/>
      <c r="S1732" s="442"/>
      <c r="T1732" s="432">
        <f t="shared" si="295"/>
        <v>0</v>
      </c>
    </row>
    <row r="1733" spans="1:20" ht="22.2" hidden="1" customHeight="1">
      <c r="A1733" s="379"/>
      <c r="B1733" s="491" t="s">
        <v>1191</v>
      </c>
      <c r="C1733" s="469" t="str">
        <f t="shared" si="296"/>
        <v xml:space="preserve"> </v>
      </c>
      <c r="D1733" s="433">
        <f>E1639/1000</f>
        <v>0</v>
      </c>
      <c r="E1733" s="422" t="str">
        <f>VLOOKUP($B1733,[1]DG!A:D,[1]DG!$B$2,)</f>
        <v>06.6108</v>
      </c>
      <c r="F1733" s="434" t="str">
        <f>VLOOKUP($B1733,[1]DG!A:D,[1]DG!$C$2,)</f>
        <v>Kéo dây nhôm bọc 150mm2</v>
      </c>
      <c r="G1733" s="422" t="str">
        <f>VLOOKUP($B1733,[1]DG!A:D,[1]DG!$D$2,)</f>
        <v>km</v>
      </c>
      <c r="H1733" s="435"/>
      <c r="I1733" s="435"/>
      <c r="J1733" s="435"/>
      <c r="K1733" s="435"/>
      <c r="L1733" s="435"/>
      <c r="M1733" s="435"/>
      <c r="N1733" s="435"/>
      <c r="O1733" s="435"/>
      <c r="P1733" s="435">
        <f t="shared" si="290"/>
        <v>0</v>
      </c>
      <c r="Q1733" s="442"/>
      <c r="R1733" s="442"/>
      <c r="S1733" s="442"/>
      <c r="T1733" s="432">
        <f t="shared" si="295"/>
        <v>0</v>
      </c>
    </row>
    <row r="1734" spans="1:20" ht="22.2" hidden="1" customHeight="1">
      <c r="A1734" s="379"/>
      <c r="B1734" s="491" t="s">
        <v>1192</v>
      </c>
      <c r="C1734" s="469" t="str">
        <f t="shared" si="296"/>
        <v xml:space="preserve"> </v>
      </c>
      <c r="D1734" s="433">
        <f>E1638/1000</f>
        <v>0</v>
      </c>
      <c r="E1734" s="422" t="str">
        <f>VLOOKUP($B1734,[1]DG!A:D,[1]DG!$B$2,)</f>
        <v>06.6109</v>
      </c>
      <c r="F1734" s="434" t="str">
        <f>VLOOKUP($B1734,[1]DG!A:D,[1]DG!$C$2,)</f>
        <v>Kéo dây nhôm bọc 185mm2</v>
      </c>
      <c r="G1734" s="422" t="str">
        <f>VLOOKUP($B1734,[1]DG!A:D,[1]DG!$D$2,)</f>
        <v>km</v>
      </c>
      <c r="H1734" s="435"/>
      <c r="I1734" s="435"/>
      <c r="J1734" s="435"/>
      <c r="K1734" s="435"/>
      <c r="L1734" s="435"/>
      <c r="M1734" s="435"/>
      <c r="N1734" s="435"/>
      <c r="O1734" s="435"/>
      <c r="P1734" s="435">
        <f t="shared" si="290"/>
        <v>0</v>
      </c>
      <c r="Q1734" s="442"/>
      <c r="R1734" s="442"/>
      <c r="S1734" s="442"/>
      <c r="T1734" s="432">
        <f t="shared" si="295"/>
        <v>0</v>
      </c>
    </row>
    <row r="1735" spans="1:20" ht="22.2" hidden="1" customHeight="1">
      <c r="A1735" s="379"/>
      <c r="B1735" s="491" t="s">
        <v>1193</v>
      </c>
      <c r="C1735" s="469" t="str">
        <f t="shared" si="296"/>
        <v xml:space="preserve"> </v>
      </c>
      <c r="D1735" s="433">
        <f>E1637/1000</f>
        <v>0</v>
      </c>
      <c r="E1735" s="422" t="str">
        <f>VLOOKUP($B1735,[1]DG!A:D,[1]DG!$B$2,)</f>
        <v>06.6110</v>
      </c>
      <c r="F1735" s="434" t="str">
        <f>VLOOKUP($B1735,[1]DG!A:D,[1]DG!$C$2,)</f>
        <v>Kéo dây nhôm bọc 240mm2</v>
      </c>
      <c r="G1735" s="422" t="str">
        <f>VLOOKUP($B1735,[1]DG!A:D,[1]DG!$D$2,)</f>
        <v>km</v>
      </c>
      <c r="H1735" s="435"/>
      <c r="I1735" s="435"/>
      <c r="J1735" s="435"/>
      <c r="K1735" s="435"/>
      <c r="L1735" s="435"/>
      <c r="M1735" s="435"/>
      <c r="N1735" s="435"/>
      <c r="O1735" s="435"/>
      <c r="P1735" s="435">
        <f t="shared" si="290"/>
        <v>0</v>
      </c>
      <c r="Q1735" s="442"/>
      <c r="R1735" s="442"/>
      <c r="S1735" s="442"/>
      <c r="T1735" s="432">
        <f t="shared" si="295"/>
        <v>0</v>
      </c>
    </row>
    <row r="1736" spans="1:20" ht="22.2" hidden="1" customHeight="1">
      <c r="A1736" s="379"/>
      <c r="B1736" s="410" t="s">
        <v>140</v>
      </c>
      <c r="C1736" s="469" t="str">
        <f t="shared" si="296"/>
        <v xml:space="preserve"> </v>
      </c>
      <c r="D1736" s="440">
        <f>D1655+D1658+D1662*2</f>
        <v>0</v>
      </c>
      <c r="E1736" s="422" t="str">
        <f>VLOOKUP($B1736,[1]DG!A:D,[1]DG!$B$2,)</f>
        <v>06.1115</v>
      </c>
      <c r="F1736" s="434" t="str">
        <f>VLOOKUP($B1736,[1]DG!A:D,[1]DG!$C$2,)</f>
        <v>Lắp sứ đứng 24KV</v>
      </c>
      <c r="G1736" s="422" t="str">
        <f>VLOOKUP($B1736,[1]DG!A:D,[1]DG!$D$2,)</f>
        <v>bộ</v>
      </c>
      <c r="H1736" s="435"/>
      <c r="I1736" s="435"/>
      <c r="J1736" s="435"/>
      <c r="K1736" s="435"/>
      <c r="L1736" s="435"/>
      <c r="M1736" s="435"/>
      <c r="N1736" s="435"/>
      <c r="O1736" s="435"/>
      <c r="P1736" s="435">
        <f t="shared" si="290"/>
        <v>0</v>
      </c>
      <c r="Q1736" s="442"/>
      <c r="R1736" s="442"/>
      <c r="S1736" s="442"/>
      <c r="T1736" s="432">
        <f t="shared" si="295"/>
        <v>0</v>
      </c>
    </row>
    <row r="1737" spans="1:20" ht="22.2" hidden="1" customHeight="1">
      <c r="A1737" s="379"/>
      <c r="B1737" s="410" t="s">
        <v>1225</v>
      </c>
      <c r="C1737" s="469" t="str">
        <f t="shared" si="296"/>
        <v xml:space="preserve"> </v>
      </c>
      <c r="D1737" s="440">
        <f>D1658+D1662*2</f>
        <v>0</v>
      </c>
      <c r="E1737" s="422" t="str">
        <f>VLOOKUP($B1737,[1]DG!A:D,[1]DG!$B$2,)</f>
        <v>06.3231</v>
      </c>
      <c r="F1737" s="434" t="str">
        <f>VLOOKUP($B1737,[1]DG!A:D,[1]DG!$C$2,)</f>
        <v>Lắp chân sứ đỉnh</v>
      </c>
      <c r="G1737" s="422" t="str">
        <f>VLOOKUP($B1737,[1]DG!A:D,[1]DG!$D$2,)</f>
        <v>cái</v>
      </c>
      <c r="H1737" s="435"/>
      <c r="I1737" s="435"/>
      <c r="J1737" s="435"/>
      <c r="K1737" s="435"/>
      <c r="L1737" s="435"/>
      <c r="M1737" s="435"/>
      <c r="N1737" s="435"/>
      <c r="O1737" s="435"/>
      <c r="P1737" s="435">
        <f t="shared" si="290"/>
        <v>0</v>
      </c>
      <c r="Q1737" s="442"/>
      <c r="R1737" s="442"/>
      <c r="S1737" s="442"/>
      <c r="T1737" s="432">
        <f t="shared" si="295"/>
        <v>0</v>
      </c>
    </row>
    <row r="1738" spans="1:20" ht="22.2" hidden="1" customHeight="1">
      <c r="A1738" s="379"/>
      <c r="B1738" s="410" t="s">
        <v>1194</v>
      </c>
      <c r="C1738" s="469" t="str">
        <f t="shared" si="296"/>
        <v xml:space="preserve"> </v>
      </c>
      <c r="D1738" s="440">
        <f>-SUM(D1681:D1682)</f>
        <v>0</v>
      </c>
      <c r="E1738" s="422" t="str">
        <f>VLOOKUP($B1738,[1]DG!A:D,[1]DG!$B$2,)</f>
        <v>06.1410</v>
      </c>
      <c r="F1738" s="434" t="str">
        <f>VLOOKUP($B1738,[1]DG!A:D,[1]DG!$C$2,)</f>
        <v>Lắp chuỗi sứ đỡ 2 bát/chuỗi</v>
      </c>
      <c r="G1738" s="422" t="str">
        <f>VLOOKUP($B1738,[1]DG!A:D,[1]DG!$D$2,)</f>
        <v>chuỗi</v>
      </c>
      <c r="H1738" s="435"/>
      <c r="I1738" s="435"/>
      <c r="J1738" s="435"/>
      <c r="K1738" s="435"/>
      <c r="L1738" s="435"/>
      <c r="M1738" s="435"/>
      <c r="N1738" s="435"/>
      <c r="O1738" s="435"/>
      <c r="P1738" s="435">
        <f t="shared" si="290"/>
        <v>0</v>
      </c>
      <c r="Q1738" s="442"/>
      <c r="R1738" s="442"/>
      <c r="S1738" s="442"/>
      <c r="T1738" s="432">
        <f t="shared" si="295"/>
        <v>0</v>
      </c>
    </row>
    <row r="1739" spans="1:20" ht="22.2" hidden="1" customHeight="1">
      <c r="A1739" s="379"/>
      <c r="B1739" s="410" t="s">
        <v>1195</v>
      </c>
      <c r="C1739" s="469" t="str">
        <f t="shared" si="296"/>
        <v xml:space="preserve"> </v>
      </c>
      <c r="D1739" s="440">
        <f>D1672+D1666-D1738</f>
        <v>0</v>
      </c>
      <c r="E1739" s="422" t="str">
        <f>VLOOKUP($B1739,[1]DG!A:D,[1]DG!$B$2,)</f>
        <v>06.1511</v>
      </c>
      <c r="F1739" s="434" t="str">
        <f>VLOOKUP($B1739,[1]DG!A:D,[1]DG!$C$2,)</f>
        <v>Lắp chuỗi sứ néo 2 bát/chuỗi</v>
      </c>
      <c r="G1739" s="422" t="str">
        <f>VLOOKUP($B1739,[1]DG!A:D,[1]DG!$D$2,)</f>
        <v>chuỗi</v>
      </c>
      <c r="H1739" s="435"/>
      <c r="I1739" s="435"/>
      <c r="J1739" s="435"/>
      <c r="K1739" s="435"/>
      <c r="L1739" s="435"/>
      <c r="M1739" s="435"/>
      <c r="N1739" s="435"/>
      <c r="O1739" s="435"/>
      <c r="P1739" s="435">
        <f t="shared" si="290"/>
        <v>0</v>
      </c>
      <c r="Q1739" s="437"/>
      <c r="R1739" s="437"/>
      <c r="S1739" s="437"/>
      <c r="T1739" s="432">
        <f t="shared" si="295"/>
        <v>0</v>
      </c>
    </row>
    <row r="1740" spans="1:20" ht="22.2" hidden="1" customHeight="1">
      <c r="A1740" s="379"/>
      <c r="B1740" s="410" t="s">
        <v>425</v>
      </c>
      <c r="C1740" s="469" t="str">
        <f t="shared" si="296"/>
        <v xml:space="preserve"> </v>
      </c>
      <c r="D1740" s="440">
        <f>D1673+D1667-D1739</f>
        <v>0</v>
      </c>
      <c r="E1740" s="422" t="str">
        <f>VLOOKUP($B1740,[1]DG!A:D,[1]DG!$B$2,)</f>
        <v>06.2201</v>
      </c>
      <c r="F1740" s="434" t="str">
        <f>VLOOKUP($B1740,[1]DG!A:D,[1]DG!$C$2,)</f>
        <v>Lắp chuỗi sứ néo Polymer</v>
      </c>
      <c r="G1740" s="422" t="str">
        <f>VLOOKUP($B1740,[1]DG!A:D,[1]DG!$D$2,)</f>
        <v>chuỗi</v>
      </c>
      <c r="H1740" s="435"/>
      <c r="I1740" s="435"/>
      <c r="J1740" s="435"/>
      <c r="K1740" s="435"/>
      <c r="L1740" s="435"/>
      <c r="M1740" s="435"/>
      <c r="N1740" s="435"/>
      <c r="O1740" s="435"/>
      <c r="P1740" s="435">
        <f t="shared" si="290"/>
        <v>0</v>
      </c>
      <c r="Q1740" s="437"/>
      <c r="R1740" s="437"/>
      <c r="S1740" s="437"/>
      <c r="T1740" s="432">
        <f t="shared" si="295"/>
        <v>0</v>
      </c>
    </row>
    <row r="1741" spans="1:20" ht="22.2" hidden="1" customHeight="1">
      <c r="A1741" s="379"/>
      <c r="B1741" s="410" t="s">
        <v>1198</v>
      </c>
      <c r="C1741" s="469" t="str">
        <f t="shared" si="296"/>
        <v xml:space="preserve"> </v>
      </c>
      <c r="D1741" s="440">
        <f>D1643+D1646</f>
        <v>0</v>
      </c>
      <c r="E1741" s="422" t="str">
        <f>VLOOKUP($B1741,[1]DG!A:D,[1]DG!$B$2,)</f>
        <v>06.1211</v>
      </c>
      <c r="F1741" s="434" t="str">
        <f>VLOOKUP($B1741,[1]DG!A:D,[1]DG!$C$2,)</f>
        <v>Lắp rack sứ + sứ ống chỉ</v>
      </c>
      <c r="G1741" s="422" t="str">
        <f>VLOOKUP($B1741,[1]DG!A:D,[1]DG!$D$2,)</f>
        <v>bộ</v>
      </c>
      <c r="H1741" s="435"/>
      <c r="I1741" s="435"/>
      <c r="J1741" s="435"/>
      <c r="K1741" s="435"/>
      <c r="L1741" s="435"/>
      <c r="M1741" s="435"/>
      <c r="N1741" s="435"/>
      <c r="O1741" s="435"/>
      <c r="P1741" s="435">
        <f t="shared" si="290"/>
        <v>0</v>
      </c>
      <c r="Q1741" s="442"/>
      <c r="R1741" s="442"/>
      <c r="S1741" s="442"/>
      <c r="T1741" s="432">
        <f t="shared" si="295"/>
        <v>0</v>
      </c>
    </row>
    <row r="1742" spans="1:20" ht="22.2" hidden="1" customHeight="1">
      <c r="A1742" s="379"/>
      <c r="B1742" s="410" t="s">
        <v>1209</v>
      </c>
      <c r="C1742" s="469" t="str">
        <f t="shared" si="296"/>
        <v xml:space="preserve"> </v>
      </c>
      <c r="D1742" s="440">
        <f>P1742</f>
        <v>0</v>
      </c>
      <c r="E1742" s="422" t="str">
        <f>VLOOKUP($B1742,[1]DG!A:D,[1]DG!$B$2,)</f>
        <v>06.5072</v>
      </c>
      <c r="F1742" s="434" t="str">
        <f>VLOOKUP($B1742,[1]DG!A:D,[1]DG!$C$2,)</f>
        <v xml:space="preserve">Kéo dây qua vị trí bẻ góc dây </v>
      </c>
      <c r="G1742" s="422" t="str">
        <f>VLOOKUP($B1742,[1]DG!A:D,[1]DG!$D$2,)</f>
        <v>vị trí</v>
      </c>
      <c r="H1742" s="435"/>
      <c r="I1742" s="435"/>
      <c r="J1742" s="435"/>
      <c r="K1742" s="435"/>
      <c r="L1742" s="435"/>
      <c r="M1742" s="435"/>
      <c r="N1742" s="435"/>
      <c r="O1742" s="435"/>
      <c r="P1742" s="435">
        <f t="shared" si="290"/>
        <v>0</v>
      </c>
      <c r="Q1742" s="437"/>
      <c r="R1742" s="437"/>
      <c r="S1742" s="437"/>
      <c r="T1742" s="432">
        <f t="shared" si="295"/>
        <v>0</v>
      </c>
    </row>
    <row r="1743" spans="1:20" ht="22.2" hidden="1" customHeight="1">
      <c r="A1743" s="379"/>
      <c r="B1743" s="410" t="s">
        <v>1210</v>
      </c>
      <c r="C1743" s="469" t="str">
        <f t="shared" si="296"/>
        <v xml:space="preserve"> </v>
      </c>
      <c r="D1743" s="426">
        <f>'[1]pp3p2m '!EA82</f>
        <v>0</v>
      </c>
      <c r="E1743" s="422" t="str">
        <f>VLOOKUP($B1743,[1]DG!A:D,[1]DG!$B$2,)</f>
        <v>06.5082</v>
      </c>
      <c r="F1743" s="434" t="str">
        <f>VLOOKUP($B1743,[1]DG!A:D,[1]DG!$C$2,)</f>
        <v>Kéo dây qua sông ( S&lt;=300)</v>
      </c>
      <c r="G1743" s="422" t="str">
        <f>VLOOKUP($B1743,[1]DG!A:D,[1]DG!$D$2,)</f>
        <v>vị trí</v>
      </c>
      <c r="H1743" s="435"/>
      <c r="I1743" s="435"/>
      <c r="J1743" s="435"/>
      <c r="K1743" s="435"/>
      <c r="L1743" s="435"/>
      <c r="M1743" s="435"/>
      <c r="N1743" s="435"/>
      <c r="O1743" s="435"/>
      <c r="P1743" s="435">
        <f t="shared" si="290"/>
        <v>0</v>
      </c>
      <c r="Q1743" s="437"/>
      <c r="R1743" s="437"/>
      <c r="S1743" s="437"/>
      <c r="T1743" s="432">
        <f t="shared" si="295"/>
        <v>0</v>
      </c>
    </row>
    <row r="1744" spans="1:20" ht="22.2" hidden="1" customHeight="1">
      <c r="A1744" s="379"/>
      <c r="B1744" s="410" t="s">
        <v>1211</v>
      </c>
      <c r="C1744" s="469" t="str">
        <f t="shared" si="296"/>
        <v xml:space="preserve"> </v>
      </c>
      <c r="D1744" s="439">
        <f>D1627</f>
        <v>0</v>
      </c>
      <c r="E1744" s="422" t="str">
        <f>VLOOKUP($B1744,[1]DG!A:D,[1]DG!$B$2,)</f>
        <v>02.1122</v>
      </c>
      <c r="F1744" s="434" t="str">
        <f>VLOOKUP($B1744,[1]DG!A:D,[1]DG!$C$2,)</f>
        <v>Bốc dỡ dây</v>
      </c>
      <c r="G1744" s="422" t="str">
        <f>VLOOKUP($B1744,[1]DG!A:D,[1]DG!$D$2,)</f>
        <v>tấn</v>
      </c>
      <c r="H1744" s="435"/>
      <c r="I1744" s="435"/>
      <c r="J1744" s="435"/>
      <c r="K1744" s="435"/>
      <c r="L1744" s="435"/>
      <c r="M1744" s="435"/>
      <c r="N1744" s="435"/>
      <c r="O1744" s="435"/>
      <c r="P1744" s="435">
        <f t="shared" si="290"/>
        <v>0</v>
      </c>
      <c r="Q1744" s="437"/>
      <c r="R1744" s="437"/>
      <c r="S1744" s="437"/>
      <c r="T1744" s="432">
        <f t="shared" si="295"/>
        <v>0</v>
      </c>
    </row>
    <row r="1745" spans="1:20" ht="22.2" hidden="1" customHeight="1">
      <c r="A1745" s="379"/>
      <c r="B1745" s="410" t="s">
        <v>796</v>
      </c>
      <c r="C1745" s="469" t="str">
        <f t="shared" si="296"/>
        <v xml:space="preserve"> </v>
      </c>
      <c r="D1745" s="439">
        <f>D1626</f>
        <v>0</v>
      </c>
      <c r="E1745" s="422" t="str">
        <f>VLOOKUP($B1745,[1]DG!A:D,[1]DG!$B$2,)</f>
        <v>02.1120</v>
      </c>
      <c r="F1745" s="434" t="str">
        <f>VLOOKUP($B1745,[1]DG!A:D,[1]DG!$C$2,)</f>
        <v>Bốc dỡ phụ kiện</v>
      </c>
      <c r="G1745" s="422" t="str">
        <f>VLOOKUP($B1745,[1]DG!A:D,[1]DG!$D$2,)</f>
        <v>tấn</v>
      </c>
      <c r="H1745" s="435"/>
      <c r="I1745" s="435"/>
      <c r="J1745" s="435"/>
      <c r="K1745" s="435"/>
      <c r="L1745" s="435"/>
      <c r="M1745" s="435"/>
      <c r="N1745" s="435"/>
      <c r="O1745" s="435"/>
      <c r="P1745" s="435">
        <f t="shared" si="290"/>
        <v>0</v>
      </c>
      <c r="Q1745" s="437"/>
      <c r="R1745" s="437"/>
      <c r="S1745" s="437"/>
      <c r="T1745" s="432">
        <f t="shared" si="295"/>
        <v>0</v>
      </c>
    </row>
    <row r="1746" spans="1:20" ht="22.2" hidden="1" customHeight="1">
      <c r="A1746" s="379"/>
      <c r="B1746" s="380" t="s">
        <v>993</v>
      </c>
      <c r="C1746" s="469" t="str">
        <f t="shared" si="296"/>
        <v xml:space="preserve"> </v>
      </c>
      <c r="D1746" s="501"/>
      <c r="E1746" s="422" t="str">
        <f>VLOOKUP($B1746,[1]DG!A:D,[1]DG!$B$2,)</f>
        <v>02.1421</v>
      </c>
      <c r="F1746" s="434" t="str">
        <f>VLOOKUP($B1746,[1]DG!A:D,[1]DG!$C$2,)</f>
        <v>V/c phụ kiện vào vị trí (cự ly &lt;=100m)</v>
      </c>
      <c r="G1746" s="422" t="str">
        <f>VLOOKUP($B1746,[1]DG!A:D,[1]DG!$D$2,)</f>
        <v>tấn</v>
      </c>
      <c r="H1746" s="435"/>
      <c r="I1746" s="435"/>
      <c r="J1746" s="435"/>
      <c r="K1746" s="435"/>
      <c r="L1746" s="435"/>
      <c r="M1746" s="435"/>
      <c r="N1746" s="435"/>
      <c r="O1746" s="435"/>
      <c r="P1746" s="435">
        <f t="shared" si="290"/>
        <v>0</v>
      </c>
      <c r="Q1746" s="437"/>
      <c r="R1746" s="437"/>
      <c r="S1746" s="437"/>
      <c r="T1746" s="432">
        <f t="shared" si="295"/>
        <v>0</v>
      </c>
    </row>
    <row r="1747" spans="1:20" ht="22.2" hidden="1" customHeight="1">
      <c r="A1747" s="379"/>
      <c r="B1747" s="380" t="s">
        <v>1212</v>
      </c>
      <c r="C1747" s="469" t="str">
        <f t="shared" si="296"/>
        <v xml:space="preserve"> </v>
      </c>
      <c r="D1747" s="501"/>
      <c r="E1747" s="422" t="str">
        <f>VLOOKUP($B1747,[1]DG!A:D,[1]DG!$B$2,)</f>
        <v>02.1441</v>
      </c>
      <c r="F1747" s="434" t="str">
        <f>VLOOKUP($B1747,[1]DG!A:D,[1]DG!$C$2,)</f>
        <v>V/c dây vào vị trí (cự ly &lt;=100m)</v>
      </c>
      <c r="G1747" s="422" t="str">
        <f>VLOOKUP($B1747,[1]DG!A:D,[1]DG!$D$2,)</f>
        <v>tấn</v>
      </c>
      <c r="H1747" s="435"/>
      <c r="I1747" s="435"/>
      <c r="J1747" s="435"/>
      <c r="K1747" s="435"/>
      <c r="L1747" s="435"/>
      <c r="M1747" s="435"/>
      <c r="N1747" s="435"/>
      <c r="O1747" s="435"/>
      <c r="P1747" s="435">
        <f t="shared" si="290"/>
        <v>0</v>
      </c>
      <c r="Q1747" s="437"/>
      <c r="R1747" s="437"/>
      <c r="S1747" s="437"/>
      <c r="T1747" s="432">
        <f t="shared" si="295"/>
        <v>0</v>
      </c>
    </row>
    <row r="1748" spans="1:20" ht="22.2" hidden="1" customHeight="1">
      <c r="A1748" s="379"/>
      <c r="B1748" s="438" t="s">
        <v>1065</v>
      </c>
      <c r="C1748" s="469" t="str">
        <f t="shared" si="296"/>
        <v xml:space="preserve"> </v>
      </c>
      <c r="D1748" s="501"/>
      <c r="E1748" s="422" t="str">
        <f>VLOOKUP($B1748,[1]DG!A:D,[1]DG!$B$2,)</f>
        <v>02.1482</v>
      </c>
      <c r="F1748" s="434" t="str">
        <f>VLOOKUP($B1748,[1]DG!A:D,[1]DG!$C$2,)</f>
        <v>V/c dụng cụ thi công vào vị trí (cự ly &lt;=100m)</v>
      </c>
      <c r="G1748" s="422" t="str">
        <f>VLOOKUP($B1748,[1]DG!A:D,[1]DG!$D$2,)</f>
        <v>tấn</v>
      </c>
      <c r="H1748" s="435"/>
      <c r="I1748" s="435"/>
      <c r="J1748" s="435"/>
      <c r="K1748" s="435"/>
      <c r="L1748" s="435"/>
      <c r="M1748" s="435"/>
      <c r="N1748" s="435"/>
      <c r="O1748" s="435"/>
      <c r="P1748" s="435">
        <f t="shared" si="290"/>
        <v>0</v>
      </c>
      <c r="Q1748" s="437"/>
      <c r="R1748" s="437"/>
      <c r="S1748" s="437"/>
      <c r="T1748" s="432">
        <f t="shared" si="295"/>
        <v>0</v>
      </c>
    </row>
    <row r="1749" spans="1:20" ht="22.2" customHeight="1">
      <c r="A1749" s="451" t="s">
        <v>1226</v>
      </c>
      <c r="B1749" s="424" t="s">
        <v>1226</v>
      </c>
      <c r="C1749" s="465" t="str">
        <f>IF(K1749&lt;&gt;0,"x"," ")</f>
        <v>x</v>
      </c>
      <c r="D1749" s="426">
        <f>IF(SUM(D1750:D1768)&lt;&gt;0,1,0)</f>
        <v>1</v>
      </c>
      <c r="E1749" s="349">
        <v>1</v>
      </c>
      <c r="F1749" s="428" t="s">
        <v>1227</v>
      </c>
      <c r="G1749" s="349" t="s">
        <v>1098</v>
      </c>
      <c r="H1749" s="429">
        <f>SUM(I1749:O1749)</f>
        <v>1</v>
      </c>
      <c r="I1749" s="430"/>
      <c r="J1749" s="430"/>
      <c r="K1749" s="430">
        <f>IF(SUM(K1750:K1768)&gt;0,1,0)</f>
        <v>1</v>
      </c>
      <c r="L1749" s="430">
        <f>IFERROR(HLOOKUP(chitiet!B1749,[1]pp1p!$1:$3,3,0),0)</f>
        <v>0</v>
      </c>
      <c r="M1749" s="430"/>
      <c r="N1749" s="430"/>
      <c r="O1749" s="430"/>
      <c r="P1749" s="429">
        <f>H1749</f>
        <v>1</v>
      </c>
      <c r="Q1749" s="431"/>
      <c r="R1749" s="431"/>
      <c r="S1749" s="431"/>
      <c r="T1749" s="432">
        <f>IFERROR(HLOOKUP(B1749,[1]pp3p1m!1:3,3,0),0)</f>
        <v>0</v>
      </c>
    </row>
    <row r="1750" spans="1:20" ht="22.2" hidden="1" customHeight="1">
      <c r="A1750" s="379"/>
      <c r="B1750" s="410" t="s">
        <v>1099</v>
      </c>
      <c r="C1750" s="469" t="str">
        <f t="shared" si="296"/>
        <v xml:space="preserve"> </v>
      </c>
      <c r="D1750" s="446">
        <f>ROUND(E1750*1.02*0.921,2)</f>
        <v>0</v>
      </c>
      <c r="E1750" s="484"/>
      <c r="F1750" s="441" t="str">
        <f>VLOOKUP($B1750,[1]DG!A:D,[1]DG!$C$2,)</f>
        <v>Cáp nhôm lõi thép AC-240/39</v>
      </c>
      <c r="G1750" s="422" t="str">
        <f>VLOOKUP($B1750,[1]DG!A:D,[1]DG!$D$2,)</f>
        <v>kg</v>
      </c>
      <c r="H1750" s="435">
        <f t="shared" ref="H1750:H1768" si="298">$D1750</f>
        <v>0</v>
      </c>
      <c r="I1750" s="435"/>
      <c r="J1750" s="435"/>
      <c r="K1750" s="435">
        <f t="shared" ref="K1750:K1768" si="299">D1750</f>
        <v>0</v>
      </c>
      <c r="L1750" s="435"/>
      <c r="M1750" s="435"/>
      <c r="N1750" s="435"/>
      <c r="O1750" s="435"/>
      <c r="P1750" s="435">
        <f t="shared" si="290"/>
        <v>0</v>
      </c>
      <c r="Q1750" s="442"/>
      <c r="R1750" s="442"/>
      <c r="S1750" s="442"/>
      <c r="T1750" s="432">
        <f>IFERROR(HLOOKUP(B1750,[1]pp3p1m!2:4,3,0),0)</f>
        <v>0</v>
      </c>
    </row>
    <row r="1751" spans="1:20" ht="22.2" hidden="1" customHeight="1">
      <c r="A1751" s="379"/>
      <c r="B1751" s="410" t="s">
        <v>1100</v>
      </c>
      <c r="C1751" s="469" t="str">
        <f t="shared" si="296"/>
        <v xml:space="preserve"> </v>
      </c>
      <c r="D1751" s="445">
        <f>ROUND(E1751*1.02*0.728,2)</f>
        <v>0</v>
      </c>
      <c r="E1751" s="484"/>
      <c r="F1751" s="441" t="str">
        <f>VLOOKUP($B1751,[1]DG!A:D,[1]DG!$C$2,)</f>
        <v>Cáp nhôm lõi thép AC-185/29</v>
      </c>
      <c r="G1751" s="422" t="str">
        <f>VLOOKUP($B1751,[1]DG!A:D,[1]DG!$D$2,)</f>
        <v>kg</v>
      </c>
      <c r="H1751" s="435">
        <f t="shared" si="298"/>
        <v>0</v>
      </c>
      <c r="I1751" s="435"/>
      <c r="J1751" s="435"/>
      <c r="K1751" s="435">
        <f t="shared" si="299"/>
        <v>0</v>
      </c>
      <c r="L1751" s="435"/>
      <c r="M1751" s="435"/>
      <c r="N1751" s="435"/>
      <c r="O1751" s="435"/>
      <c r="P1751" s="435">
        <f t="shared" si="290"/>
        <v>0</v>
      </c>
      <c r="Q1751" s="442"/>
      <c r="R1751" s="442"/>
      <c r="S1751" s="442"/>
      <c r="T1751" s="432">
        <f>IFERROR(HLOOKUP(B1751,[1]pp3p1m!3:5,3,0),0)</f>
        <v>0</v>
      </c>
    </row>
    <row r="1752" spans="1:20" ht="22.2" hidden="1" customHeight="1">
      <c r="A1752" s="379"/>
      <c r="B1752" s="410" t="s">
        <v>1101</v>
      </c>
      <c r="C1752" s="469" t="str">
        <f t="shared" si="296"/>
        <v xml:space="preserve"> </v>
      </c>
      <c r="D1752" s="446">
        <f>ROUND(E1752*1.02*0.599,2)</f>
        <v>0</v>
      </c>
      <c r="E1752" s="484"/>
      <c r="F1752" s="441" t="str">
        <f>VLOOKUP($B1752,[1]DG!A:D,[1]DG!$C$2,)</f>
        <v>Cáp nhôm lõi thép AC-150/24</v>
      </c>
      <c r="G1752" s="422" t="str">
        <f>VLOOKUP($B1752,[1]DG!A:D,[1]DG!$D$2,)</f>
        <v>kg</v>
      </c>
      <c r="H1752" s="435">
        <f t="shared" si="298"/>
        <v>0</v>
      </c>
      <c r="I1752" s="435"/>
      <c r="J1752" s="435"/>
      <c r="K1752" s="435">
        <f t="shared" si="299"/>
        <v>0</v>
      </c>
      <c r="L1752" s="435"/>
      <c r="M1752" s="435"/>
      <c r="N1752" s="435"/>
      <c r="O1752" s="435"/>
      <c r="P1752" s="435">
        <f t="shared" ref="P1752:P1814" si="300">H1752+Q1752-R1752</f>
        <v>0</v>
      </c>
      <c r="Q1752" s="442"/>
      <c r="R1752" s="442"/>
      <c r="S1752" s="442"/>
      <c r="T1752" s="432">
        <f>IFERROR(HLOOKUP(B1752,[1]pp3p1m!4:6,3,0),0)</f>
        <v>0</v>
      </c>
    </row>
    <row r="1753" spans="1:20" ht="22.2" hidden="1" customHeight="1">
      <c r="A1753" s="379"/>
      <c r="B1753" s="410" t="s">
        <v>1102</v>
      </c>
      <c r="C1753" s="469" t="str">
        <f t="shared" si="296"/>
        <v xml:space="preserve"> </v>
      </c>
      <c r="D1753" s="445">
        <f>ROUND(E1753*1.02*0.471,2)</f>
        <v>0</v>
      </c>
      <c r="E1753" s="484"/>
      <c r="F1753" s="441" t="str">
        <f>VLOOKUP($B1753,[1]DG!A:D,[1]DG!$C$2,)</f>
        <v>Cáp nhôm lõi thép AC-120/19</v>
      </c>
      <c r="G1753" s="422" t="str">
        <f>VLOOKUP($B1753,[1]DG!A:D,[1]DG!$D$2,)</f>
        <v>kg</v>
      </c>
      <c r="H1753" s="435">
        <f t="shared" si="298"/>
        <v>0</v>
      </c>
      <c r="I1753" s="435"/>
      <c r="J1753" s="435"/>
      <c r="K1753" s="435">
        <f t="shared" si="299"/>
        <v>0</v>
      </c>
      <c r="L1753" s="435"/>
      <c r="M1753" s="435"/>
      <c r="N1753" s="435"/>
      <c r="O1753" s="435"/>
      <c r="P1753" s="435">
        <f t="shared" si="300"/>
        <v>0</v>
      </c>
      <c r="Q1753" s="442"/>
      <c r="R1753" s="442"/>
      <c r="S1753" s="442"/>
      <c r="T1753" s="432">
        <f>IFERROR(HLOOKUP(B1753,[1]pp3p1m!5:7,3,0),0)</f>
        <v>0</v>
      </c>
    </row>
    <row r="1754" spans="1:20" ht="22.2" hidden="1" customHeight="1">
      <c r="A1754" s="379"/>
      <c r="B1754" s="410" t="s">
        <v>1103</v>
      </c>
      <c r="C1754" s="469" t="str">
        <f t="shared" si="296"/>
        <v xml:space="preserve"> </v>
      </c>
      <c r="D1754" s="440">
        <f>ROUND(E1754*1.02*0.385,2)</f>
        <v>0</v>
      </c>
      <c r="E1754" s="484"/>
      <c r="F1754" s="441" t="str">
        <f>VLOOKUP($B1754,[1]DG!A:D,[1]DG!$C$2,)</f>
        <v>Cáp nhôm lõi thép AC-95/16</v>
      </c>
      <c r="G1754" s="422" t="str">
        <f>VLOOKUP($B1754,[1]DG!A:D,[1]DG!$D$2,)</f>
        <v>kg</v>
      </c>
      <c r="H1754" s="435">
        <f t="shared" si="298"/>
        <v>0</v>
      </c>
      <c r="I1754" s="435"/>
      <c r="J1754" s="435"/>
      <c r="K1754" s="435">
        <f t="shared" si="299"/>
        <v>0</v>
      </c>
      <c r="L1754" s="435"/>
      <c r="M1754" s="435"/>
      <c r="N1754" s="435"/>
      <c r="O1754" s="435"/>
      <c r="P1754" s="435">
        <f t="shared" si="300"/>
        <v>0</v>
      </c>
      <c r="Q1754" s="442"/>
      <c r="R1754" s="442"/>
      <c r="S1754" s="442"/>
      <c r="T1754" s="432">
        <f>IFERROR(HLOOKUP(B1754,[1]pp3p1m!6:8,3,0),0)</f>
        <v>0</v>
      </c>
    </row>
    <row r="1755" spans="1:20" ht="22.2" hidden="1" customHeight="1">
      <c r="A1755" s="379"/>
      <c r="B1755" s="410" t="s">
        <v>1104</v>
      </c>
      <c r="C1755" s="469" t="str">
        <f t="shared" si="296"/>
        <v xml:space="preserve"> </v>
      </c>
      <c r="D1755" s="439">
        <f>ROUND(E1755*1.02*0.276,2)</f>
        <v>0</v>
      </c>
      <c r="E1755" s="484"/>
      <c r="F1755" s="441" t="str">
        <f>VLOOKUP($B1755,[1]DG!A:D,[1]DG!$C$2,)</f>
        <v>Cáp nhôm lõi thép AC-70/11</v>
      </c>
      <c r="G1755" s="422" t="str">
        <f>VLOOKUP($B1755,[1]DG!A:D,[1]DG!$D$2,)</f>
        <v>kg</v>
      </c>
      <c r="H1755" s="435">
        <f t="shared" si="298"/>
        <v>0</v>
      </c>
      <c r="I1755" s="435"/>
      <c r="J1755" s="435"/>
      <c r="K1755" s="435">
        <f t="shared" si="299"/>
        <v>0</v>
      </c>
      <c r="L1755" s="435"/>
      <c r="M1755" s="435"/>
      <c r="N1755" s="435"/>
      <c r="O1755" s="435"/>
      <c r="P1755" s="435">
        <f t="shared" si="300"/>
        <v>0</v>
      </c>
      <c r="Q1755" s="442"/>
      <c r="R1755" s="442"/>
      <c r="S1755" s="442"/>
      <c r="T1755" s="432">
        <f>IFERROR(HLOOKUP(B1755,[1]pp3p1m!7:9,3,0),0)</f>
        <v>0</v>
      </c>
    </row>
    <row r="1756" spans="1:20" ht="22.2" hidden="1" customHeight="1">
      <c r="B1756" s="406" t="s">
        <v>1105</v>
      </c>
      <c r="C1756" s="465" t="str">
        <f t="shared" si="296"/>
        <v>x</v>
      </c>
      <c r="D1756" s="439">
        <v>71.5</v>
      </c>
      <c r="E1756" s="484">
        <f>K1756</f>
        <v>755.7</v>
      </c>
      <c r="F1756" s="441" t="str">
        <f>VLOOKUP($B1756,[1]DG!A:D,[1]DG!$C$2,)</f>
        <v>Cáp nhôm lõi thép AC-50/8</v>
      </c>
      <c r="G1756" s="422" t="str">
        <f>VLOOKUP($B1756,[1]DG!A:D,[1]DG!$D$2,)</f>
        <v>kg</v>
      </c>
      <c r="H1756" s="476">
        <f>D1756</f>
        <v>71.5</v>
      </c>
      <c r="I1756" s="435"/>
      <c r="J1756" s="435"/>
      <c r="K1756" s="435">
        <f>IFERROR(HLOOKUP(B1756,[1]pp3p1m!1:3,3,0),0)</f>
        <v>755.7</v>
      </c>
      <c r="L1756" s="435"/>
      <c r="M1756" s="435"/>
      <c r="N1756" s="435"/>
      <c r="O1756" s="435"/>
      <c r="P1756" s="476">
        <f t="shared" si="300"/>
        <v>71.5</v>
      </c>
      <c r="Q1756" s="442"/>
      <c r="R1756" s="442"/>
      <c r="S1756" s="442"/>
      <c r="T1756" s="432">
        <f>IFERROR(HLOOKUP(B1756,[1]pp3p1m!8:10,3,0),0)</f>
        <v>0</v>
      </c>
    </row>
    <row r="1757" spans="1:20" ht="22.2" hidden="1" customHeight="1">
      <c r="B1757" s="406" t="s">
        <v>1106</v>
      </c>
      <c r="C1757" s="465" t="str">
        <f t="shared" si="296"/>
        <v>x</v>
      </c>
      <c r="D1757" s="439">
        <f>ROUND(T1756*1.02,2)</f>
        <v>0</v>
      </c>
      <c r="E1757" s="484">
        <f>ROUND([1]pp3p1m!B114,0)*3</f>
        <v>2268</v>
      </c>
      <c r="F1757" s="441" t="str">
        <f>VLOOKUP($B1757,[1]DG!A:D,[1]DG!$C$2,)</f>
        <v>Cáp 24KV ACX 50mm2</v>
      </c>
      <c r="G1757" s="422" t="str">
        <f>VLOOKUP($B1757,[1]DG!A:D,[1]DG!$D$2,)</f>
        <v>mét</v>
      </c>
      <c r="H1757" s="476">
        <f>E1757*1.02</f>
        <v>2313.36</v>
      </c>
      <c r="I1757" s="435"/>
      <c r="J1757" s="435"/>
      <c r="K1757" s="435">
        <f t="shared" si="299"/>
        <v>0</v>
      </c>
      <c r="L1757" s="435"/>
      <c r="M1757" s="435"/>
      <c r="N1757" s="435"/>
      <c r="O1757" s="435"/>
      <c r="P1757" s="476">
        <f t="shared" si="300"/>
        <v>2313.36</v>
      </c>
      <c r="Q1757" s="442"/>
      <c r="R1757" s="442"/>
      <c r="S1757" s="442"/>
      <c r="T1757" s="432">
        <f>IFERROR(HLOOKUP(B1757,[1]pp3p1m!9:11,3,0),0)</f>
        <v>0</v>
      </c>
    </row>
    <row r="1758" spans="1:20" ht="22.2" hidden="1" customHeight="1">
      <c r="A1758" s="379"/>
      <c r="B1758" s="410" t="s">
        <v>1107</v>
      </c>
      <c r="C1758" s="469" t="str">
        <f t="shared" si="296"/>
        <v xml:space="preserve"> </v>
      </c>
      <c r="D1758" s="440">
        <f t="shared" ref="D1758:D1766" si="301">ROUND(E1758*1.02,2)</f>
        <v>0</v>
      </c>
      <c r="E1758" s="484"/>
      <c r="F1758" s="441" t="str">
        <f>VLOOKUP($B1758,[1]DG!A:D,[1]DG!$C$2,)</f>
        <v>Cáp 24KV A/XLPE/PVC 240mm2</v>
      </c>
      <c r="G1758" s="422" t="str">
        <f>VLOOKUP($B1758,[1]DG!A:D,[1]DG!$D$2,)</f>
        <v>mét</v>
      </c>
      <c r="H1758" s="435">
        <f t="shared" si="298"/>
        <v>0</v>
      </c>
      <c r="I1758" s="435"/>
      <c r="J1758" s="435"/>
      <c r="K1758" s="435">
        <f t="shared" si="299"/>
        <v>0</v>
      </c>
      <c r="L1758" s="435"/>
      <c r="M1758" s="435"/>
      <c r="N1758" s="435"/>
      <c r="O1758" s="435"/>
      <c r="P1758" s="435">
        <f t="shared" si="300"/>
        <v>0</v>
      </c>
      <c r="Q1758" s="442"/>
      <c r="R1758" s="442"/>
      <c r="S1758" s="442"/>
      <c r="T1758" s="432">
        <f>IFERROR(HLOOKUP(B1758,[1]pp3p1m!10:12,3,0),0)</f>
        <v>0</v>
      </c>
    </row>
    <row r="1759" spans="1:20" ht="22.2" hidden="1" customHeight="1">
      <c r="A1759" s="379"/>
      <c r="B1759" s="410" t="s">
        <v>1108</v>
      </c>
      <c r="C1759" s="469" t="str">
        <f t="shared" si="296"/>
        <v xml:space="preserve"> </v>
      </c>
      <c r="D1759" s="440">
        <f t="shared" si="301"/>
        <v>0</v>
      </c>
      <c r="E1759" s="484"/>
      <c r="F1759" s="441" t="str">
        <f>VLOOKUP($B1759,[1]DG!A:D,[1]DG!$C$2,)</f>
        <v>Cáp 24KV A/XLPE/PVC 185mm2</v>
      </c>
      <c r="G1759" s="422" t="str">
        <f>VLOOKUP($B1759,[1]DG!A:D,[1]DG!$D$2,)</f>
        <v>mét</v>
      </c>
      <c r="H1759" s="435">
        <f t="shared" si="298"/>
        <v>0</v>
      </c>
      <c r="I1759" s="435"/>
      <c r="J1759" s="435"/>
      <c r="K1759" s="435">
        <f t="shared" si="299"/>
        <v>0</v>
      </c>
      <c r="L1759" s="435"/>
      <c r="M1759" s="435"/>
      <c r="N1759" s="435"/>
      <c r="O1759" s="435"/>
      <c r="P1759" s="435">
        <f t="shared" si="300"/>
        <v>0</v>
      </c>
      <c r="Q1759" s="442"/>
      <c r="R1759" s="442"/>
      <c r="S1759" s="442"/>
      <c r="T1759" s="432">
        <f>IFERROR(HLOOKUP(B1759,[1]pp3p1m!11:13,3,0),0)</f>
        <v>0</v>
      </c>
    </row>
    <row r="1760" spans="1:20" ht="22.2" hidden="1" customHeight="1">
      <c r="A1760" s="379"/>
      <c r="B1760" s="410" t="s">
        <v>1109</v>
      </c>
      <c r="C1760" s="469" t="str">
        <f t="shared" si="296"/>
        <v xml:space="preserve"> </v>
      </c>
      <c r="D1760" s="440">
        <f t="shared" si="301"/>
        <v>0</v>
      </c>
      <c r="E1760" s="484"/>
      <c r="F1760" s="441" t="str">
        <f>VLOOKUP($B1760,[1]DG!A:D,[1]DG!$C$2,)</f>
        <v>Cáp 24KV A/XLPE/PVC 150mm2</v>
      </c>
      <c r="G1760" s="422" t="str">
        <f>VLOOKUP($B1760,[1]DG!A:D,[1]DG!$D$2,)</f>
        <v>mét</v>
      </c>
      <c r="H1760" s="435">
        <f t="shared" si="298"/>
        <v>0</v>
      </c>
      <c r="I1760" s="435"/>
      <c r="J1760" s="435"/>
      <c r="K1760" s="435">
        <f t="shared" si="299"/>
        <v>0</v>
      </c>
      <c r="L1760" s="435"/>
      <c r="M1760" s="435"/>
      <c r="N1760" s="435"/>
      <c r="O1760" s="435"/>
      <c r="P1760" s="435">
        <f t="shared" si="300"/>
        <v>0</v>
      </c>
      <c r="Q1760" s="442"/>
      <c r="R1760" s="442"/>
      <c r="S1760" s="442"/>
      <c r="T1760" s="432">
        <f>IFERROR(HLOOKUP(B1760,[1]pp3p1m!12:14,3,0),0)</f>
        <v>0</v>
      </c>
    </row>
    <row r="1761" spans="1:20" ht="22.2" hidden="1" customHeight="1">
      <c r="A1761" s="379"/>
      <c r="B1761" s="410" t="s">
        <v>1110</v>
      </c>
      <c r="C1761" s="469" t="str">
        <f t="shared" si="296"/>
        <v xml:space="preserve"> </v>
      </c>
      <c r="D1761" s="440">
        <f t="shared" si="301"/>
        <v>0</v>
      </c>
      <c r="E1761" s="484"/>
      <c r="F1761" s="441" t="str">
        <f>VLOOKUP($B1761,[1]DG!A:D,[1]DG!$C$2,)</f>
        <v>Cáp 24KV A/XLPE/PVC 120mm2</v>
      </c>
      <c r="G1761" s="422" t="str">
        <f>VLOOKUP($B1761,[1]DG!A:D,[1]DG!$D$2,)</f>
        <v>mét</v>
      </c>
      <c r="H1761" s="435">
        <f t="shared" si="298"/>
        <v>0</v>
      </c>
      <c r="I1761" s="435"/>
      <c r="J1761" s="435"/>
      <c r="K1761" s="435">
        <f t="shared" si="299"/>
        <v>0</v>
      </c>
      <c r="L1761" s="435"/>
      <c r="M1761" s="435"/>
      <c r="N1761" s="435"/>
      <c r="O1761" s="435"/>
      <c r="P1761" s="435">
        <f t="shared" si="300"/>
        <v>0</v>
      </c>
      <c r="Q1761" s="442"/>
      <c r="R1761" s="442"/>
      <c r="S1761" s="442"/>
      <c r="T1761" s="432">
        <f>IFERROR(HLOOKUP(B1761,[1]pp3p1m!13:15,3,0),0)</f>
        <v>0</v>
      </c>
    </row>
    <row r="1762" spans="1:20" ht="22.2" hidden="1" customHeight="1">
      <c r="A1762" s="379"/>
      <c r="B1762" s="410" t="s">
        <v>1111</v>
      </c>
      <c r="C1762" s="469" t="str">
        <f t="shared" si="296"/>
        <v xml:space="preserve"> </v>
      </c>
      <c r="D1762" s="440">
        <f t="shared" si="301"/>
        <v>0</v>
      </c>
      <c r="E1762" s="484"/>
      <c r="F1762" s="441" t="str">
        <f>VLOOKUP($B1762,[1]DG!A:D,[1]DG!$C$2,)</f>
        <v>Cáp 24KV A/XLPE/PVC 95mm2</v>
      </c>
      <c r="G1762" s="422" t="str">
        <f>VLOOKUP($B1762,[1]DG!A:D,[1]DG!$D$2,)</f>
        <v>mét</v>
      </c>
      <c r="H1762" s="435">
        <f t="shared" si="298"/>
        <v>0</v>
      </c>
      <c r="I1762" s="435"/>
      <c r="J1762" s="435"/>
      <c r="K1762" s="435">
        <f t="shared" si="299"/>
        <v>0</v>
      </c>
      <c r="L1762" s="435"/>
      <c r="M1762" s="435"/>
      <c r="N1762" s="435"/>
      <c r="O1762" s="435"/>
      <c r="P1762" s="435">
        <f t="shared" si="300"/>
        <v>0</v>
      </c>
      <c r="Q1762" s="442"/>
      <c r="R1762" s="442"/>
      <c r="S1762" s="442"/>
      <c r="T1762" s="432">
        <f>IFERROR(HLOOKUP(B1762,[1]pp3p1m!14:16,3,0),0)</f>
        <v>0</v>
      </c>
    </row>
    <row r="1763" spans="1:20" ht="22.2" hidden="1" customHeight="1">
      <c r="A1763" s="379"/>
      <c r="B1763" s="410" t="s">
        <v>1112</v>
      </c>
      <c r="C1763" s="469" t="str">
        <f t="shared" si="296"/>
        <v xml:space="preserve"> </v>
      </c>
      <c r="D1763" s="440">
        <f t="shared" si="301"/>
        <v>0</v>
      </c>
      <c r="E1763" s="484"/>
      <c r="F1763" s="441" t="str">
        <f>VLOOKUP($B1763,[1]DG!A:D,[1]DG!$C$2,)</f>
        <v>Cáp 24KV A/XLPE/PVC 70mm2</v>
      </c>
      <c r="G1763" s="422" t="str">
        <f>VLOOKUP($B1763,[1]DG!A:D,[1]DG!$D$2,)</f>
        <v>mét</v>
      </c>
      <c r="H1763" s="435">
        <f t="shared" si="298"/>
        <v>0</v>
      </c>
      <c r="I1763" s="435"/>
      <c r="J1763" s="435"/>
      <c r="K1763" s="435">
        <f t="shared" si="299"/>
        <v>0</v>
      </c>
      <c r="L1763" s="435"/>
      <c r="M1763" s="435"/>
      <c r="N1763" s="435"/>
      <c r="O1763" s="435"/>
      <c r="P1763" s="435">
        <f t="shared" si="300"/>
        <v>0</v>
      </c>
      <c r="Q1763" s="442"/>
      <c r="R1763" s="442"/>
      <c r="S1763" s="442"/>
      <c r="T1763" s="432">
        <f>IFERROR(HLOOKUP(B1763,[1]pp3p1m!15:17,3,0),0)</f>
        <v>0</v>
      </c>
    </row>
    <row r="1764" spans="1:20" ht="22.2" hidden="1" customHeight="1">
      <c r="A1764" s="379"/>
      <c r="B1764" s="410" t="s">
        <v>1228</v>
      </c>
      <c r="C1764" s="469" t="str">
        <f t="shared" si="296"/>
        <v xml:space="preserve"> </v>
      </c>
      <c r="D1764" s="439">
        <f t="shared" si="301"/>
        <v>0</v>
      </c>
      <c r="E1764" s="484"/>
      <c r="F1764" s="441" t="str">
        <f>VLOOKUP($B1764,[1]DG!A:D,[1]DG!$C$2,)</f>
        <v>Cáp 24KV A/XLPE/PVC 50mm2</v>
      </c>
      <c r="G1764" s="422" t="str">
        <f>VLOOKUP($B1764,[1]DG!A:D,[1]DG!$D$2,)</f>
        <v>mét</v>
      </c>
      <c r="H1764" s="435">
        <f t="shared" si="298"/>
        <v>0</v>
      </c>
      <c r="I1764" s="435"/>
      <c r="J1764" s="435"/>
      <c r="K1764" s="435">
        <f t="shared" si="299"/>
        <v>0</v>
      </c>
      <c r="L1764" s="435"/>
      <c r="M1764" s="435"/>
      <c r="N1764" s="435"/>
      <c r="O1764" s="435"/>
      <c r="P1764" s="435">
        <f t="shared" si="300"/>
        <v>0</v>
      </c>
      <c r="Q1764" s="442"/>
      <c r="R1764" s="442"/>
      <c r="S1764" s="442"/>
      <c r="T1764" s="432">
        <f>IFERROR(HLOOKUP(B1764,[1]pp3p1m!16:18,3,0),0)</f>
        <v>0</v>
      </c>
    </row>
    <row r="1765" spans="1:20" ht="22.2" hidden="1" customHeight="1">
      <c r="A1765" s="379"/>
      <c r="B1765" s="502" t="s">
        <v>1228</v>
      </c>
      <c r="C1765" s="469" t="str">
        <f t="shared" si="296"/>
        <v xml:space="preserve"> </v>
      </c>
      <c r="D1765" s="439">
        <f t="shared" si="301"/>
        <v>0</v>
      </c>
      <c r="E1765" s="503"/>
      <c r="F1765" s="441" t="str">
        <f>VLOOKUP($B1765,[1]DG!A:D,[1]DG!$C$2,)</f>
        <v>Cáp 24KV A/XLPE/PVC 50mm2</v>
      </c>
      <c r="G1765" s="422" t="s">
        <v>396</v>
      </c>
      <c r="H1765" s="435">
        <f t="shared" si="298"/>
        <v>0</v>
      </c>
      <c r="I1765" s="435"/>
      <c r="J1765" s="435"/>
      <c r="K1765" s="435">
        <f t="shared" si="299"/>
        <v>0</v>
      </c>
      <c r="L1765" s="435"/>
      <c r="M1765" s="435"/>
      <c r="N1765" s="435"/>
      <c r="O1765" s="504"/>
      <c r="P1765" s="435">
        <f t="shared" si="300"/>
        <v>0</v>
      </c>
      <c r="Q1765" s="457"/>
      <c r="R1765" s="457"/>
      <c r="S1765" s="457"/>
      <c r="T1765" s="432">
        <f>IFERROR(HLOOKUP(B1765,[1]pp3p1m!17:19,3,0),0)</f>
        <v>0</v>
      </c>
    </row>
    <row r="1766" spans="1:20" ht="22.2" hidden="1" customHeight="1">
      <c r="A1766" s="379"/>
      <c r="B1766" s="410" t="s">
        <v>413</v>
      </c>
      <c r="C1766" s="469" t="str">
        <f t="shared" si="296"/>
        <v xml:space="preserve"> </v>
      </c>
      <c r="D1766" s="453">
        <f t="shared" si="301"/>
        <v>0</v>
      </c>
      <c r="E1766" s="484"/>
      <c r="F1766" s="441" t="str">
        <f>VLOOKUP($B1766,[1]DG!A:D,[1]DG!$C$2,)</f>
        <v>Cáp 24KV C/XLPE/PVC 50mm2</v>
      </c>
      <c r="G1766" s="422" t="s">
        <v>396</v>
      </c>
      <c r="H1766" s="435">
        <f t="shared" si="298"/>
        <v>0</v>
      </c>
      <c r="I1766" s="435"/>
      <c r="J1766" s="435"/>
      <c r="K1766" s="435">
        <f t="shared" si="299"/>
        <v>0</v>
      </c>
      <c r="L1766" s="435"/>
      <c r="M1766" s="435"/>
      <c r="N1766" s="435"/>
      <c r="O1766" s="435"/>
      <c r="P1766" s="435">
        <f t="shared" si="300"/>
        <v>0</v>
      </c>
      <c r="Q1766" s="457"/>
      <c r="R1766" s="457"/>
      <c r="S1766" s="457"/>
      <c r="T1766" s="432">
        <f>IFERROR(HLOOKUP(B1766,[1]pp3p1m!18:20,3,0),0)</f>
        <v>0</v>
      </c>
    </row>
    <row r="1767" spans="1:20" ht="22.2" hidden="1" customHeight="1">
      <c r="A1767" s="379"/>
      <c r="B1767" s="410" t="s">
        <v>81</v>
      </c>
      <c r="C1767" s="469" t="str">
        <f t="shared" si="296"/>
        <v xml:space="preserve"> </v>
      </c>
      <c r="D1767" s="439">
        <f>ROUND(E1767*1.02*0.224,2)</f>
        <v>0</v>
      </c>
      <c r="E1767" s="503"/>
      <c r="F1767" s="441" t="str">
        <f>VLOOKUP($B1767,[1]DG!A:D,[1]DG!$C$2,)</f>
        <v>Cáp đồng trần M25mm2</v>
      </c>
      <c r="G1767" s="422" t="str">
        <f>VLOOKUP($B1767,[1]DG!A:D,[1]DG!$D$2,)</f>
        <v>kg</v>
      </c>
      <c r="H1767" s="435">
        <f t="shared" si="298"/>
        <v>0</v>
      </c>
      <c r="I1767" s="435"/>
      <c r="J1767" s="435"/>
      <c r="K1767" s="435">
        <f t="shared" si="299"/>
        <v>0</v>
      </c>
      <c r="L1767" s="435"/>
      <c r="M1767" s="435"/>
      <c r="N1767" s="435"/>
      <c r="O1767" s="504"/>
      <c r="P1767" s="435">
        <f t="shared" si="300"/>
        <v>0</v>
      </c>
      <c r="Q1767" s="457"/>
      <c r="R1767" s="457"/>
      <c r="S1767" s="457"/>
      <c r="T1767" s="432">
        <f>IFERROR(HLOOKUP(B1767,[1]pp3p1m!19:21,3,0),0)</f>
        <v>0</v>
      </c>
    </row>
    <row r="1768" spans="1:20" ht="22.2" hidden="1" customHeight="1">
      <c r="A1768" s="379"/>
      <c r="B1768" s="410" t="s">
        <v>1229</v>
      </c>
      <c r="C1768" s="469" t="str">
        <f t="shared" si="296"/>
        <v xml:space="preserve"> </v>
      </c>
      <c r="D1768" s="453">
        <f>ROUND(E1768*1.02*0.224,2)</f>
        <v>0</v>
      </c>
      <c r="E1768" s="505"/>
      <c r="F1768" s="441" t="str">
        <f>VLOOKUP($B1768,[1]DG!A:D,[1]DG!$C$2,)</f>
        <v>Cáp đồng trần M38mm2</v>
      </c>
      <c r="G1768" s="422" t="str">
        <f>VLOOKUP($B1768,[1]DG!A:D,[1]DG!$D$2,)</f>
        <v>kg</v>
      </c>
      <c r="H1768" s="435">
        <f t="shared" si="298"/>
        <v>0</v>
      </c>
      <c r="I1768" s="435"/>
      <c r="J1768" s="435"/>
      <c r="K1768" s="435">
        <f t="shared" si="299"/>
        <v>0</v>
      </c>
      <c r="L1768" s="435"/>
      <c r="M1768" s="435"/>
      <c r="N1768" s="435"/>
      <c r="O1768" s="435"/>
      <c r="P1768" s="435">
        <f t="shared" si="300"/>
        <v>0</v>
      </c>
      <c r="Q1768" s="457"/>
      <c r="R1768" s="457"/>
      <c r="S1768" s="457"/>
      <c r="T1768" s="432">
        <f>IFERROR(HLOOKUP(B1768,[1]pp3p1m!20:22,3,0),0)</f>
        <v>0</v>
      </c>
    </row>
    <row r="1769" spans="1:20" ht="22.2" customHeight="1">
      <c r="B1769" s="489" t="s">
        <v>1113</v>
      </c>
      <c r="C1769" s="465" t="str">
        <f t="shared" si="296"/>
        <v>x</v>
      </c>
      <c r="D1769" s="494">
        <f>[1]pp3p1m!DJ114-T1769</f>
        <v>17</v>
      </c>
      <c r="E1769" s="422"/>
      <c r="F1769" s="486" t="s">
        <v>1230</v>
      </c>
      <c r="G1769" s="487" t="s">
        <v>375</v>
      </c>
      <c r="H1769" s="429">
        <f>SUM(I1769:O1769)</f>
        <v>17</v>
      </c>
      <c r="I1769" s="429"/>
      <c r="J1769" s="429"/>
      <c r="K1769" s="429">
        <f>IFERROR(HLOOKUP(B1769,[1]pp3p1m!$1:$3,3,0),0)</f>
        <v>17</v>
      </c>
      <c r="L1769" s="429"/>
      <c r="M1769" s="429"/>
      <c r="N1769" s="429"/>
      <c r="O1769" s="429"/>
      <c r="P1769" s="429">
        <f t="shared" si="300"/>
        <v>17</v>
      </c>
      <c r="Q1769" s="429"/>
      <c r="R1769" s="429"/>
      <c r="S1769" s="442"/>
      <c r="T1769" s="432">
        <f>IFERROR(HLOOKUP(B1769,[1]pp3p1m!21:23,3,0),0)</f>
        <v>0</v>
      </c>
    </row>
    <row r="1770" spans="1:20" ht="22.2" hidden="1" customHeight="1">
      <c r="B1770" s="406" t="s">
        <v>476</v>
      </c>
      <c r="C1770" s="465" t="str">
        <f t="shared" si="296"/>
        <v>x</v>
      </c>
      <c r="D1770" s="440">
        <v>1</v>
      </c>
      <c r="E1770" s="422"/>
      <c r="F1770" s="441" t="str">
        <f>VLOOKUP($B1770,[1]DG!A:D,[1]DG!$C$2,)</f>
        <v>Uclevis + sứ ống chỉ</v>
      </c>
      <c r="G1770" s="422" t="str">
        <f>VLOOKUP($B1770,[1]DG!A:D,[1]DG!$D$2,)</f>
        <v>bộ</v>
      </c>
      <c r="H1770" s="435">
        <f>H$1769*$D1770</f>
        <v>17</v>
      </c>
      <c r="I1770" s="435"/>
      <c r="J1770" s="435"/>
      <c r="K1770" s="435">
        <f>D1770</f>
        <v>1</v>
      </c>
      <c r="L1770" s="435"/>
      <c r="M1770" s="435"/>
      <c r="N1770" s="435"/>
      <c r="O1770" s="504"/>
      <c r="P1770" s="435">
        <f>P$1769*$D1770</f>
        <v>17</v>
      </c>
      <c r="Q1770" s="442"/>
      <c r="R1770" s="442"/>
      <c r="S1770" s="442"/>
      <c r="T1770" s="432">
        <f>IFERROR(HLOOKUP(B1770,[1]pp3p1m!22:24,3,0),0)</f>
        <v>0</v>
      </c>
    </row>
    <row r="1771" spans="1:20" ht="22.2" hidden="1" customHeight="1">
      <c r="B1771" s="406" t="s">
        <v>65</v>
      </c>
      <c r="C1771" s="465" t="str">
        <f t="shared" si="296"/>
        <v>x</v>
      </c>
      <c r="D1771" s="440">
        <v>1</v>
      </c>
      <c r="E1771" s="422"/>
      <c r="F1771" s="441" t="str">
        <f>VLOOKUP($B1771,[1]DG!A:D,[1]DG!$C$2,)</f>
        <v>Boulon 16x300+ 2 long đền vuông D18-50x50x3/Zn</v>
      </c>
      <c r="G1771" s="422" t="str">
        <f>VLOOKUP($B1771,[1]DG!A:D,[1]DG!$D$2,)</f>
        <v>bộ</v>
      </c>
      <c r="H1771" s="435">
        <f>H$1769*$D1771</f>
        <v>17</v>
      </c>
      <c r="I1771" s="435"/>
      <c r="J1771" s="435"/>
      <c r="K1771" s="435">
        <f>D1771</f>
        <v>1</v>
      </c>
      <c r="L1771" s="435"/>
      <c r="M1771" s="435"/>
      <c r="N1771" s="435"/>
      <c r="O1771" s="504"/>
      <c r="P1771" s="435">
        <f>P$1769*$D1771</f>
        <v>17</v>
      </c>
      <c r="Q1771" s="442"/>
      <c r="R1771" s="442"/>
      <c r="S1771" s="442"/>
      <c r="T1771" s="432">
        <f>IFERROR(HLOOKUP(B1771,[1]pp3p1m!23:25,3,0),0)</f>
        <v>0</v>
      </c>
    </row>
    <row r="1772" spans="1:20" ht="22.2" hidden="1" customHeight="1">
      <c r="A1772" s="379"/>
      <c r="B1772" s="485" t="s">
        <v>1231</v>
      </c>
      <c r="C1772" s="469" t="str">
        <f t="shared" si="296"/>
        <v xml:space="preserve"> </v>
      </c>
      <c r="D1772" s="494"/>
      <c r="E1772" s="422"/>
      <c r="F1772" s="486" t="s">
        <v>1232</v>
      </c>
      <c r="G1772" s="487" t="s">
        <v>375</v>
      </c>
      <c r="H1772" s="429">
        <f>SUM(I1772:O1772)</f>
        <v>0</v>
      </c>
      <c r="I1772" s="429">
        <f t="shared" ref="I1772:R1772" si="302">SUM(J1772:P1772)</f>
        <v>0</v>
      </c>
      <c r="J1772" s="429">
        <f t="shared" si="302"/>
        <v>0</v>
      </c>
      <c r="K1772" s="429">
        <f t="shared" si="302"/>
        <v>0</v>
      </c>
      <c r="L1772" s="429">
        <f t="shared" si="302"/>
        <v>0</v>
      </c>
      <c r="M1772" s="429">
        <f t="shared" si="302"/>
        <v>0</v>
      </c>
      <c r="N1772" s="429">
        <f t="shared" si="302"/>
        <v>0</v>
      </c>
      <c r="O1772" s="429">
        <f t="shared" si="302"/>
        <v>0</v>
      </c>
      <c r="P1772" s="429">
        <f t="shared" si="302"/>
        <v>0</v>
      </c>
      <c r="Q1772" s="429">
        <f t="shared" si="302"/>
        <v>0</v>
      </c>
      <c r="R1772" s="429">
        <f t="shared" si="302"/>
        <v>0</v>
      </c>
      <c r="S1772" s="442"/>
      <c r="T1772" s="432">
        <f>IFERROR(HLOOKUP(B1772,[1]pp3p1m!24:26,3,0),0)</f>
        <v>0</v>
      </c>
    </row>
    <row r="1773" spans="1:20" ht="22.2" hidden="1" customHeight="1">
      <c r="A1773" s="379"/>
      <c r="B1773" s="410" t="s">
        <v>476</v>
      </c>
      <c r="C1773" s="469" t="str">
        <f t="shared" si="296"/>
        <v xml:space="preserve"> </v>
      </c>
      <c r="D1773" s="440">
        <f>D1772</f>
        <v>0</v>
      </c>
      <c r="E1773" s="422"/>
      <c r="F1773" s="441" t="str">
        <f>VLOOKUP($B1773,[1]DG!A:D,[1]DG!$C$2,)</f>
        <v>Uclevis + sứ ống chỉ</v>
      </c>
      <c r="G1773" s="422" t="str">
        <f>VLOOKUP($B1773,[1]DG!A:D,[1]DG!$D$2,)</f>
        <v>bộ</v>
      </c>
      <c r="H1773" s="435">
        <f>H$1769*$D1773</f>
        <v>0</v>
      </c>
      <c r="I1773" s="435"/>
      <c r="J1773" s="435"/>
      <c r="K1773" s="435">
        <f>D1773</f>
        <v>0</v>
      </c>
      <c r="L1773" s="435"/>
      <c r="M1773" s="435"/>
      <c r="N1773" s="435"/>
      <c r="O1773" s="435"/>
      <c r="P1773" s="435">
        <f t="shared" si="300"/>
        <v>0</v>
      </c>
      <c r="Q1773" s="442"/>
      <c r="R1773" s="442"/>
      <c r="S1773" s="442"/>
      <c r="T1773" s="432">
        <f>IFERROR(HLOOKUP(B1773,[1]pp3p1m!25:27,3,0),0)</f>
        <v>0</v>
      </c>
    </row>
    <row r="1774" spans="1:20" ht="22.2" hidden="1" customHeight="1">
      <c r="A1774" s="379"/>
      <c r="B1774" s="410" t="s">
        <v>736</v>
      </c>
      <c r="C1774" s="469" t="str">
        <f t="shared" si="296"/>
        <v xml:space="preserve"> </v>
      </c>
      <c r="D1774" s="440">
        <f>D1772</f>
        <v>0</v>
      </c>
      <c r="E1774" s="422"/>
      <c r="F1774" s="441" t="str">
        <f>VLOOKUP($B1774,[1]DG!A:D,[1]DG!$C$2,)</f>
        <v>Boulon 16x600VRS+ 4 long đền vuông D18-50x50x3/Zn</v>
      </c>
      <c r="G1774" s="422" t="str">
        <f>VLOOKUP($B1774,[1]DG!A:D,[1]DG!$D$2,)</f>
        <v>bộ</v>
      </c>
      <c r="H1774" s="435">
        <f>$D1774</f>
        <v>0</v>
      </c>
      <c r="I1774" s="435"/>
      <c r="J1774" s="435"/>
      <c r="K1774" s="435">
        <f>D1774</f>
        <v>0</v>
      </c>
      <c r="L1774" s="435"/>
      <c r="M1774" s="435"/>
      <c r="N1774" s="435"/>
      <c r="O1774" s="435"/>
      <c r="P1774" s="435">
        <f t="shared" si="300"/>
        <v>0</v>
      </c>
      <c r="Q1774" s="442"/>
      <c r="R1774" s="442"/>
      <c r="S1774" s="442"/>
      <c r="T1774" s="432">
        <f>IFERROR(HLOOKUP(B1774,[1]pp3p1m!26:28,3,0),0)</f>
        <v>0</v>
      </c>
    </row>
    <row r="1775" spans="1:20" ht="22.2" hidden="1" customHeight="1">
      <c r="A1775" s="379"/>
      <c r="B1775" s="485" t="s">
        <v>1233</v>
      </c>
      <c r="C1775" s="469" t="str">
        <f t="shared" si="296"/>
        <v xml:space="preserve"> </v>
      </c>
      <c r="D1775" s="494"/>
      <c r="E1775" s="422"/>
      <c r="F1775" s="486" t="s">
        <v>1234</v>
      </c>
      <c r="G1775" s="487" t="s">
        <v>375</v>
      </c>
      <c r="H1775" s="429">
        <f>SUM(I1775:O1775)</f>
        <v>0</v>
      </c>
      <c r="I1775" s="435"/>
      <c r="J1775" s="435"/>
      <c r="K1775" s="430">
        <f>IFERROR(HLOOKUP(B1775,[1]pp3p1m!$1:$3,3,0),0)</f>
        <v>0</v>
      </c>
      <c r="L1775" s="435"/>
      <c r="M1775" s="435"/>
      <c r="N1775" s="435"/>
      <c r="O1775" s="435"/>
      <c r="P1775" s="435">
        <f t="shared" si="300"/>
        <v>0</v>
      </c>
      <c r="Q1775" s="442"/>
      <c r="R1775" s="442"/>
      <c r="S1775" s="442"/>
      <c r="T1775" s="432">
        <f>IFERROR(HLOOKUP(B1775,[1]pp3p1m!27:29,3,0),0)</f>
        <v>0</v>
      </c>
    </row>
    <row r="1776" spans="1:20" ht="22.2" hidden="1" customHeight="1">
      <c r="A1776" s="379"/>
      <c r="B1776" s="410" t="s">
        <v>476</v>
      </c>
      <c r="C1776" s="469" t="str">
        <f t="shared" si="296"/>
        <v xml:space="preserve"> </v>
      </c>
      <c r="D1776" s="440">
        <f>D1775</f>
        <v>0</v>
      </c>
      <c r="E1776" s="422"/>
      <c r="F1776" s="441" t="str">
        <f>VLOOKUP($B1776,[1]DG!A:D,[1]DG!$C$2,)</f>
        <v>Uclevis + sứ ống chỉ</v>
      </c>
      <c r="G1776" s="422" t="str">
        <f>VLOOKUP($B1776,[1]DG!A:D,[1]DG!$D$2,)</f>
        <v>bộ</v>
      </c>
      <c r="H1776" s="435">
        <f>$D1776</f>
        <v>0</v>
      </c>
      <c r="I1776" s="435"/>
      <c r="J1776" s="435"/>
      <c r="K1776" s="435">
        <f>D1776</f>
        <v>0</v>
      </c>
      <c r="L1776" s="435"/>
      <c r="M1776" s="435"/>
      <c r="N1776" s="435"/>
      <c r="O1776" s="435"/>
      <c r="P1776" s="435">
        <f t="shared" si="300"/>
        <v>0</v>
      </c>
      <c r="Q1776" s="442"/>
      <c r="R1776" s="442"/>
      <c r="S1776" s="442"/>
      <c r="T1776" s="432">
        <f>IFERROR(HLOOKUP(B1776,[1]pp3p1m!28:30,3,0),0)</f>
        <v>0</v>
      </c>
    </row>
    <row r="1777" spans="1:20" ht="22.2" hidden="1" customHeight="1">
      <c r="A1777" s="379"/>
      <c r="B1777" s="410" t="s">
        <v>264</v>
      </c>
      <c r="C1777" s="469" t="str">
        <f t="shared" si="296"/>
        <v xml:space="preserve"> </v>
      </c>
      <c r="D1777" s="440">
        <f>D1775</f>
        <v>0</v>
      </c>
      <c r="E1777" s="422"/>
      <c r="F1777" s="441" t="str">
        <f>VLOOKUP($B1777,[1]DG!A:D,[1]DG!$C$2,)</f>
        <v>Boulon 16x100+ 2 long đền vuông D18-50x50x3/Zn</v>
      </c>
      <c r="G1777" s="422" t="str">
        <f>VLOOKUP($B1777,[1]DG!A:D,[1]DG!$D$2,)</f>
        <v>bộ</v>
      </c>
      <c r="H1777" s="435">
        <f>$D1777</f>
        <v>0</v>
      </c>
      <c r="I1777" s="435"/>
      <c r="J1777" s="435"/>
      <c r="K1777" s="435">
        <f>D1777</f>
        <v>0</v>
      </c>
      <c r="L1777" s="435"/>
      <c r="M1777" s="435"/>
      <c r="N1777" s="435"/>
      <c r="O1777" s="435"/>
      <c r="P1777" s="435">
        <f t="shared" si="300"/>
        <v>0</v>
      </c>
      <c r="Q1777" s="442"/>
      <c r="R1777" s="442"/>
      <c r="S1777" s="442"/>
      <c r="T1777" s="432">
        <f>IFERROR(HLOOKUP(B1777,[1]pp3p1m!29:31,3,0),0)</f>
        <v>0</v>
      </c>
    </row>
    <row r="1778" spans="1:20" ht="22.2" hidden="1" customHeight="1">
      <c r="A1778" s="379"/>
      <c r="B1778" s="485" t="s">
        <v>1115</v>
      </c>
      <c r="C1778" s="469" t="str">
        <f t="shared" si="296"/>
        <v xml:space="preserve"> </v>
      </c>
      <c r="D1778" s="494"/>
      <c r="E1778" s="422"/>
      <c r="F1778" s="486" t="s">
        <v>1116</v>
      </c>
      <c r="G1778" s="487" t="s">
        <v>375</v>
      </c>
      <c r="H1778" s="429">
        <f>SUM(I1778:O1778)</f>
        <v>0</v>
      </c>
      <c r="I1778" s="435"/>
      <c r="J1778" s="435"/>
      <c r="K1778" s="430">
        <f>IFERROR(HLOOKUP(B1778,[1]pp3p1m!$1:$3,3,0),0)</f>
        <v>0</v>
      </c>
      <c r="L1778" s="435"/>
      <c r="M1778" s="435"/>
      <c r="N1778" s="435"/>
      <c r="O1778" s="435"/>
      <c r="P1778" s="435">
        <f t="shared" si="300"/>
        <v>0</v>
      </c>
      <c r="Q1778" s="442"/>
      <c r="R1778" s="442"/>
      <c r="S1778" s="442"/>
      <c r="T1778" s="432">
        <f>IFERROR(HLOOKUP(B1778,[1]pp3p1m!30:32,3,0),0)</f>
        <v>0</v>
      </c>
    </row>
    <row r="1779" spans="1:20" ht="22.2" hidden="1" customHeight="1">
      <c r="A1779" s="379"/>
      <c r="B1779" s="410" t="s">
        <v>476</v>
      </c>
      <c r="C1779" s="469" t="str">
        <f t="shared" si="296"/>
        <v xml:space="preserve"> </v>
      </c>
      <c r="D1779" s="440">
        <f>D1778</f>
        <v>0</v>
      </c>
      <c r="E1779" s="422"/>
      <c r="F1779" s="441" t="str">
        <f>VLOOKUP($B1779,[1]DG!A:D,[1]DG!$C$2,)</f>
        <v>Uclevis + sứ ống chỉ</v>
      </c>
      <c r="G1779" s="422" t="str">
        <f>VLOOKUP($B1779,[1]DG!A:D,[1]DG!$D$2,)</f>
        <v>bộ</v>
      </c>
      <c r="H1779" s="435">
        <f>$D1779</f>
        <v>0</v>
      </c>
      <c r="I1779" s="435"/>
      <c r="J1779" s="435"/>
      <c r="K1779" s="435">
        <f>D1779</f>
        <v>0</v>
      </c>
      <c r="L1779" s="435"/>
      <c r="M1779" s="435"/>
      <c r="N1779" s="435"/>
      <c r="O1779" s="435"/>
      <c r="P1779" s="435">
        <f t="shared" si="300"/>
        <v>0</v>
      </c>
      <c r="Q1779" s="442"/>
      <c r="R1779" s="442"/>
      <c r="S1779" s="442"/>
      <c r="T1779" s="432">
        <f>IFERROR(HLOOKUP(B1779,[1]pp3p1m!31:33,3,0),0)</f>
        <v>0</v>
      </c>
    </row>
    <row r="1780" spans="1:20" ht="22.2" hidden="1" customHeight="1">
      <c r="A1780" s="379"/>
      <c r="B1780" s="410" t="s">
        <v>65</v>
      </c>
      <c r="C1780" s="469" t="str">
        <f t="shared" si="296"/>
        <v xml:space="preserve"> </v>
      </c>
      <c r="D1780" s="440">
        <f>D1778</f>
        <v>0</v>
      </c>
      <c r="E1780" s="422"/>
      <c r="F1780" s="441" t="str">
        <f>VLOOKUP($B1780,[1]DG!A:D,[1]DG!$C$2,)</f>
        <v>Boulon 16x300+ 2 long đền vuông D18-50x50x3/Zn</v>
      </c>
      <c r="G1780" s="422" t="str">
        <f>VLOOKUP($B1780,[1]DG!A:D,[1]DG!$D$2,)</f>
        <v>bộ</v>
      </c>
      <c r="H1780" s="435">
        <f>$D1780</f>
        <v>0</v>
      </c>
      <c r="I1780" s="435"/>
      <c r="J1780" s="435"/>
      <c r="K1780" s="435">
        <f>D1780</f>
        <v>0</v>
      </c>
      <c r="L1780" s="435"/>
      <c r="M1780" s="435"/>
      <c r="N1780" s="435"/>
      <c r="O1780" s="435"/>
      <c r="P1780" s="435">
        <f t="shared" si="300"/>
        <v>0</v>
      </c>
      <c r="Q1780" s="442"/>
      <c r="R1780" s="442"/>
      <c r="S1780" s="442"/>
      <c r="T1780" s="432">
        <f>IFERROR(HLOOKUP(B1780,[1]pp3p1m!32:34,3,0),0)</f>
        <v>0</v>
      </c>
    </row>
    <row r="1781" spans="1:20" ht="22.2" hidden="1" customHeight="1">
      <c r="A1781" s="379"/>
      <c r="B1781" s="410" t="s">
        <v>84</v>
      </c>
      <c r="C1781" s="469" t="str">
        <f t="shared" si="296"/>
        <v xml:space="preserve"> </v>
      </c>
      <c r="D1781" s="440">
        <f>D1778*2</f>
        <v>0</v>
      </c>
      <c r="E1781" s="422"/>
      <c r="F1781" s="441" t="str">
        <f>VLOOKUP($B1781,[1]DG!A:D,[1]DG!$C$2,)</f>
        <v>Kẹp ép WR cỡ dây 50mm2</v>
      </c>
      <c r="G1781" s="422" t="str">
        <f>VLOOKUP($B1781,[1]DG!A:D,[1]DG!$D$2,)</f>
        <v>cái</v>
      </c>
      <c r="H1781" s="435">
        <f>$D1781</f>
        <v>0</v>
      </c>
      <c r="I1781" s="435"/>
      <c r="J1781" s="435"/>
      <c r="K1781" s="435">
        <f>D1781</f>
        <v>0</v>
      </c>
      <c r="L1781" s="435"/>
      <c r="M1781" s="435"/>
      <c r="N1781" s="435"/>
      <c r="O1781" s="435"/>
      <c r="P1781" s="435">
        <f t="shared" si="300"/>
        <v>0</v>
      </c>
      <c r="Q1781" s="442"/>
      <c r="R1781" s="442"/>
      <c r="S1781" s="442"/>
      <c r="T1781" s="432">
        <f>IFERROR(HLOOKUP(B1781,[1]pp3p1m!33:35,3,0),0)</f>
        <v>0</v>
      </c>
    </row>
    <row r="1782" spans="1:20" ht="22.2" customHeight="1">
      <c r="B1782" s="489" t="s">
        <v>1118</v>
      </c>
      <c r="C1782" s="465" t="str">
        <f t="shared" si="296"/>
        <v>x</v>
      </c>
      <c r="D1782" s="494">
        <f>[1]pp3p1m!DQ114</f>
        <v>0</v>
      </c>
      <c r="E1782" s="422"/>
      <c r="F1782" s="486" t="s">
        <v>1119</v>
      </c>
      <c r="G1782" s="487" t="s">
        <v>375</v>
      </c>
      <c r="H1782" s="429">
        <f>SUM(I1782:O1782)</f>
        <v>8</v>
      </c>
      <c r="I1782" s="435"/>
      <c r="J1782" s="435"/>
      <c r="K1782" s="430">
        <f>IFERROR(HLOOKUP(B1782,[1]pp3p1m!$1:$3,3,0),0)</f>
        <v>8</v>
      </c>
      <c r="L1782" s="435"/>
      <c r="M1782" s="435"/>
      <c r="N1782" s="435"/>
      <c r="O1782" s="504"/>
      <c r="P1782" s="429">
        <f t="shared" si="300"/>
        <v>8</v>
      </c>
      <c r="Q1782" s="429"/>
      <c r="R1782" s="429"/>
      <c r="S1782" s="442"/>
      <c r="T1782" s="432">
        <f>IFERROR(HLOOKUP(B1782,[1]pp3p1m!34:36,3,0),0)</f>
        <v>0</v>
      </c>
    </row>
    <row r="1783" spans="1:20" ht="22.2" hidden="1" customHeight="1">
      <c r="B1783" s="406" t="s">
        <v>1120</v>
      </c>
      <c r="C1783" s="465" t="str">
        <f t="shared" si="296"/>
        <v>x</v>
      </c>
      <c r="D1783" s="440">
        <v>1</v>
      </c>
      <c r="E1783" s="422"/>
      <c r="F1783" s="441" t="str">
        <f>VLOOKUP($B1783,[1]DG!A:D,[1]DG!$C$2,)</f>
        <v>Khóa néo dây cỡ dây 50</v>
      </c>
      <c r="G1783" s="422" t="str">
        <f>VLOOKUP($B1783,[1]DG!A:D,[1]DG!$D$2,)</f>
        <v>cái</v>
      </c>
      <c r="H1783" s="435">
        <f>$H$1782*D1783</f>
        <v>8</v>
      </c>
      <c r="I1783" s="435"/>
      <c r="J1783" s="435"/>
      <c r="K1783" s="435"/>
      <c r="L1783" s="435"/>
      <c r="M1783" s="435"/>
      <c r="N1783" s="435"/>
      <c r="O1783" s="504"/>
      <c r="P1783" s="435">
        <f t="shared" si="300"/>
        <v>8</v>
      </c>
      <c r="Q1783" s="442"/>
      <c r="R1783" s="442"/>
      <c r="S1783" s="442"/>
      <c r="T1783" s="432">
        <f>IFERROR(HLOOKUP(B1783,[1]pp3p1m!35:37,3,0),0)</f>
        <v>0</v>
      </c>
    </row>
    <row r="1784" spans="1:20" ht="22.2" hidden="1" customHeight="1">
      <c r="B1784" s="406" t="s">
        <v>483</v>
      </c>
      <c r="C1784" s="465" t="str">
        <f t="shared" si="296"/>
        <v>x</v>
      </c>
      <c r="D1784" s="440">
        <v>1</v>
      </c>
      <c r="E1784" s="422"/>
      <c r="F1784" s="441" t="str">
        <f>VLOOKUP($B1784,[1]DG!A:D,[1]DG!$C$2,)</f>
        <v>Boulon mắt 16x300+ 2 long đền vuông D18-50x50x3/Zn</v>
      </c>
      <c r="G1784" s="422" t="str">
        <f>VLOOKUP($B1784,[1]DG!A:D,[1]DG!$D$2,)</f>
        <v>bộ</v>
      </c>
      <c r="H1784" s="435">
        <f>$H$1782*D1784</f>
        <v>8</v>
      </c>
      <c r="I1784" s="435"/>
      <c r="J1784" s="435"/>
      <c r="K1784" s="435"/>
      <c r="L1784" s="435"/>
      <c r="M1784" s="435"/>
      <c r="N1784" s="435"/>
      <c r="O1784" s="504"/>
      <c r="P1784" s="435">
        <f t="shared" si="300"/>
        <v>8</v>
      </c>
      <c r="Q1784" s="442"/>
      <c r="R1784" s="442"/>
      <c r="S1784" s="442"/>
      <c r="T1784" s="432">
        <f>IFERROR(HLOOKUP(B1784,[1]pp3p1m!36:38,3,0),0)</f>
        <v>0</v>
      </c>
    </row>
    <row r="1785" spans="1:20" ht="22.2" hidden="1" customHeight="1">
      <c r="A1785" s="379"/>
      <c r="B1785" s="410" t="s">
        <v>84</v>
      </c>
      <c r="C1785" s="469" t="str">
        <f t="shared" si="296"/>
        <v xml:space="preserve"> </v>
      </c>
      <c r="D1785" s="440"/>
      <c r="E1785" s="422"/>
      <c r="F1785" s="441" t="str">
        <f>VLOOKUP($B1785,[1]DG!A:D,[1]DG!$C$2,)</f>
        <v>Kẹp ép WR cỡ dây 50mm2</v>
      </c>
      <c r="G1785" s="422" t="str">
        <f>VLOOKUP($B1785,[1]DG!A:D,[1]DG!$D$2,)</f>
        <v>cái</v>
      </c>
      <c r="H1785" s="435">
        <f>$D1785</f>
        <v>0</v>
      </c>
      <c r="I1785" s="435"/>
      <c r="J1785" s="435"/>
      <c r="K1785" s="435">
        <f>D1785</f>
        <v>0</v>
      </c>
      <c r="L1785" s="435"/>
      <c r="M1785" s="435"/>
      <c r="N1785" s="435"/>
      <c r="O1785" s="435"/>
      <c r="P1785" s="435">
        <f t="shared" si="300"/>
        <v>0</v>
      </c>
      <c r="Q1785" s="442"/>
      <c r="R1785" s="442"/>
      <c r="S1785" s="442"/>
      <c r="T1785" s="432">
        <f>IFERROR(HLOOKUP(B1785,[1]pp3p1m!37:39,3,0),0)</f>
        <v>0</v>
      </c>
    </row>
    <row r="1786" spans="1:20" ht="22.2" hidden="1" customHeight="1">
      <c r="A1786" s="379"/>
      <c r="B1786" s="485" t="s">
        <v>1235</v>
      </c>
      <c r="C1786" s="469" t="str">
        <f t="shared" ref="C1786:C1850" si="303">IF(OR(P1786&lt;&gt;0,H1786&lt;&gt;0),"x"," ")</f>
        <v xml:space="preserve"> </v>
      </c>
      <c r="D1786" s="494"/>
      <c r="E1786" s="422"/>
      <c r="F1786" s="486" t="s">
        <v>1236</v>
      </c>
      <c r="G1786" s="487" t="s">
        <v>375</v>
      </c>
      <c r="H1786" s="429">
        <f>SUM(I1786:O1786)</f>
        <v>0</v>
      </c>
      <c r="I1786" s="435"/>
      <c r="J1786" s="435"/>
      <c r="K1786" s="430">
        <f>IFERROR(HLOOKUP(B1786,[1]pp3p1m!$1:$3,3,0),0)</f>
        <v>0</v>
      </c>
      <c r="L1786" s="435"/>
      <c r="M1786" s="435"/>
      <c r="N1786" s="435"/>
      <c r="O1786" s="435"/>
      <c r="P1786" s="435">
        <f t="shared" si="300"/>
        <v>0</v>
      </c>
      <c r="Q1786" s="442"/>
      <c r="R1786" s="442"/>
      <c r="S1786" s="442"/>
      <c r="T1786" s="432">
        <f>IFERROR(HLOOKUP(B1786,[1]pp3p1m!38:40,3,0),0)</f>
        <v>0</v>
      </c>
    </row>
    <row r="1787" spans="1:20" ht="22.2" hidden="1" customHeight="1">
      <c r="A1787" s="379"/>
      <c r="B1787" s="488" t="s">
        <v>1120</v>
      </c>
      <c r="C1787" s="469" t="str">
        <f t="shared" si="303"/>
        <v xml:space="preserve"> </v>
      </c>
      <c r="D1787" s="440">
        <f>D1786</f>
        <v>0</v>
      </c>
      <c r="E1787" s="422"/>
      <c r="F1787" s="441" t="str">
        <f>VLOOKUP($B1787,[1]DG!A:D,[1]DG!$C$2,)</f>
        <v>Khóa néo dây cỡ dây 50</v>
      </c>
      <c r="G1787" s="422" t="str">
        <f>VLOOKUP($B1787,[1]DG!A:D,[1]DG!$D$2,)</f>
        <v>cái</v>
      </c>
      <c r="H1787" s="435">
        <f>$D1787</f>
        <v>0</v>
      </c>
      <c r="I1787" s="435"/>
      <c r="J1787" s="435"/>
      <c r="K1787" s="435">
        <f>D1787</f>
        <v>0</v>
      </c>
      <c r="L1787" s="435"/>
      <c r="M1787" s="435"/>
      <c r="N1787" s="435"/>
      <c r="O1787" s="435"/>
      <c r="P1787" s="435">
        <f t="shared" si="300"/>
        <v>0</v>
      </c>
      <c r="Q1787" s="442"/>
      <c r="R1787" s="442"/>
      <c r="S1787" s="442"/>
      <c r="T1787" s="432">
        <f>IFERROR(HLOOKUP(B1787,[1]pp3p1m!39:41,3,0),0)</f>
        <v>0</v>
      </c>
    </row>
    <row r="1788" spans="1:20" ht="22.2" hidden="1" customHeight="1">
      <c r="A1788" s="379"/>
      <c r="B1788" s="506" t="s">
        <v>1237</v>
      </c>
      <c r="C1788" s="469" t="str">
        <f t="shared" si="303"/>
        <v xml:space="preserve"> </v>
      </c>
      <c r="D1788" s="440">
        <f>D1786</f>
        <v>0</v>
      </c>
      <c r="E1788" s="422"/>
      <c r="F1788" s="441" t="str">
        <f>VLOOKUP($B1788,[1]DG!A:D,[1]DG!$C$2,)</f>
        <v>Boulon 16x500VRS + đai ốc mắt + 2 long đền vuông D18-50x50x3/Zn</v>
      </c>
      <c r="G1788" s="422" t="str">
        <f>VLOOKUP($B1788,[1]DG!A:D,[1]DG!$D$2,)</f>
        <v>bộ</v>
      </c>
      <c r="H1788" s="435">
        <f>$D1788</f>
        <v>0</v>
      </c>
      <c r="I1788" s="435"/>
      <c r="J1788" s="435"/>
      <c r="K1788" s="435">
        <f>D1788</f>
        <v>0</v>
      </c>
      <c r="L1788" s="435"/>
      <c r="M1788" s="435"/>
      <c r="N1788" s="435"/>
      <c r="O1788" s="435"/>
      <c r="P1788" s="435">
        <f t="shared" si="300"/>
        <v>0</v>
      </c>
      <c r="Q1788" s="442"/>
      <c r="R1788" s="442"/>
      <c r="S1788" s="442"/>
      <c r="T1788" s="432">
        <f>IFERROR(HLOOKUP(B1788,[1]pp3p1m!40:42,3,0),0)</f>
        <v>0</v>
      </c>
    </row>
    <row r="1789" spans="1:20" ht="22.2" hidden="1" customHeight="1">
      <c r="A1789" s="379"/>
      <c r="B1789" s="410" t="s">
        <v>84</v>
      </c>
      <c r="C1789" s="469" t="str">
        <f t="shared" si="303"/>
        <v xml:space="preserve"> </v>
      </c>
      <c r="D1789" s="440">
        <f>D1786*2</f>
        <v>0</v>
      </c>
      <c r="E1789" s="422"/>
      <c r="F1789" s="441" t="str">
        <f>VLOOKUP($B1789,[1]DG!A:D,[1]DG!$C$2,)</f>
        <v>Kẹp ép WR cỡ dây 50mm2</v>
      </c>
      <c r="G1789" s="422" t="str">
        <f>VLOOKUP($B1789,[1]DG!A:D,[1]DG!$D$2,)</f>
        <v>cái</v>
      </c>
      <c r="H1789" s="435">
        <f>$D1789</f>
        <v>0</v>
      </c>
      <c r="I1789" s="435"/>
      <c r="J1789" s="435"/>
      <c r="K1789" s="435">
        <f>D1789</f>
        <v>0</v>
      </c>
      <c r="L1789" s="435"/>
      <c r="M1789" s="435"/>
      <c r="N1789" s="435"/>
      <c r="O1789" s="435"/>
      <c r="P1789" s="435">
        <f t="shared" si="300"/>
        <v>0</v>
      </c>
      <c r="Q1789" s="442"/>
      <c r="R1789" s="442"/>
      <c r="S1789" s="442"/>
      <c r="T1789" s="432">
        <f>IFERROR(HLOOKUP(B1789,[1]pp3p1m!41:43,3,0),0)</f>
        <v>0</v>
      </c>
    </row>
    <row r="1790" spans="1:20" ht="22.2" hidden="1" customHeight="1">
      <c r="A1790" s="379"/>
      <c r="B1790" s="485" t="s">
        <v>1121</v>
      </c>
      <c r="C1790" s="469" t="str">
        <f t="shared" si="303"/>
        <v xml:space="preserve"> </v>
      </c>
      <c r="D1790" s="494"/>
      <c r="E1790" s="422"/>
      <c r="F1790" s="486" t="s">
        <v>1238</v>
      </c>
      <c r="G1790" s="487" t="s">
        <v>375</v>
      </c>
      <c r="H1790" s="429">
        <f>SUM(I1790:O1790)</f>
        <v>0</v>
      </c>
      <c r="I1790" s="435"/>
      <c r="J1790" s="435"/>
      <c r="K1790" s="430">
        <f>IFERROR(HLOOKUP(B1790,[1]pp3p1m!$1:$3,3,0),0)</f>
        <v>0</v>
      </c>
      <c r="L1790" s="435"/>
      <c r="M1790" s="435"/>
      <c r="N1790" s="435"/>
      <c r="O1790" s="435"/>
      <c r="P1790" s="435">
        <f t="shared" si="300"/>
        <v>0</v>
      </c>
      <c r="Q1790" s="442"/>
      <c r="R1790" s="442"/>
      <c r="S1790" s="442"/>
      <c r="T1790" s="432">
        <f>IFERROR(HLOOKUP(B1790,[1]pp3p1m!42:44,3,0),0)</f>
        <v>0</v>
      </c>
    </row>
    <row r="1791" spans="1:20" ht="22.2" hidden="1" customHeight="1">
      <c r="A1791" s="379"/>
      <c r="B1791" s="488" t="s">
        <v>1120</v>
      </c>
      <c r="C1791" s="469" t="str">
        <f t="shared" si="303"/>
        <v xml:space="preserve"> </v>
      </c>
      <c r="D1791" s="440">
        <f>D1790</f>
        <v>0</v>
      </c>
      <c r="E1791" s="422"/>
      <c r="F1791" s="441" t="str">
        <f>VLOOKUP($B1791,[1]DG!A:D,[1]DG!$C$2,)</f>
        <v>Khóa néo dây cỡ dây 50</v>
      </c>
      <c r="G1791" s="422" t="str">
        <f>VLOOKUP($B1791,[1]DG!A:D,[1]DG!$D$2,)</f>
        <v>cái</v>
      </c>
      <c r="H1791" s="435">
        <f>$D1791</f>
        <v>0</v>
      </c>
      <c r="I1791" s="435"/>
      <c r="J1791" s="435"/>
      <c r="K1791" s="435">
        <f>D1791</f>
        <v>0</v>
      </c>
      <c r="L1791" s="435"/>
      <c r="M1791" s="435"/>
      <c r="N1791" s="435"/>
      <c r="O1791" s="435"/>
      <c r="P1791" s="435">
        <f t="shared" si="300"/>
        <v>0</v>
      </c>
      <c r="Q1791" s="442"/>
      <c r="R1791" s="442"/>
      <c r="S1791" s="442"/>
      <c r="T1791" s="432">
        <f>IFERROR(HLOOKUP(B1791,[1]pp3p1m!43:45,3,0),0)</f>
        <v>0</v>
      </c>
    </row>
    <row r="1792" spans="1:20" ht="22.2" hidden="1" customHeight="1">
      <c r="A1792" s="379"/>
      <c r="B1792" s="410" t="s">
        <v>478</v>
      </c>
      <c r="C1792" s="469" t="str">
        <f t="shared" si="303"/>
        <v xml:space="preserve"> </v>
      </c>
      <c r="D1792" s="440">
        <f>D1790*2</f>
        <v>0</v>
      </c>
      <c r="E1792" s="422"/>
      <c r="F1792" s="441" t="str">
        <f>VLOOKUP($B1792,[1]DG!A:D,[1]DG!$C$2,)</f>
        <v xml:space="preserve">Móc treo chữ U </v>
      </c>
      <c r="G1792" s="422" t="str">
        <f>VLOOKUP($B1792,[1]DG!A:D,[1]DG!$D$2,)</f>
        <v>cái</v>
      </c>
      <c r="H1792" s="435">
        <f>$D1792</f>
        <v>0</v>
      </c>
      <c r="I1792" s="435"/>
      <c r="J1792" s="435"/>
      <c r="K1792" s="435">
        <f>D1792</f>
        <v>0</v>
      </c>
      <c r="L1792" s="435"/>
      <c r="M1792" s="435"/>
      <c r="N1792" s="435"/>
      <c r="O1792" s="435"/>
      <c r="P1792" s="435">
        <f t="shared" si="300"/>
        <v>0</v>
      </c>
      <c r="Q1792" s="442"/>
      <c r="R1792" s="442"/>
      <c r="S1792" s="442"/>
      <c r="T1792" s="432">
        <f>IFERROR(HLOOKUP(B1792,[1]pp3p1m!44:46,3,0),0)</f>
        <v>0</v>
      </c>
    </row>
    <row r="1793" spans="1:20" ht="22.2" hidden="1" customHeight="1">
      <c r="A1793" s="379"/>
      <c r="B1793" s="410" t="s">
        <v>184</v>
      </c>
      <c r="C1793" s="469" t="str">
        <f t="shared" si="303"/>
        <v xml:space="preserve"> </v>
      </c>
      <c r="D1793" s="440">
        <f>D1790*2</f>
        <v>0</v>
      </c>
      <c r="E1793" s="422"/>
      <c r="F1793" s="441" t="str">
        <f>VLOOKUP($B1793,[1]DG!A:D,[1]DG!$C$2,)</f>
        <v>Kẹp ép WR cỡ dây 50mm2</v>
      </c>
      <c r="G1793" s="422" t="str">
        <f>VLOOKUP($B1793,[1]DG!A:D,[1]DG!$D$2,)</f>
        <v>cái</v>
      </c>
      <c r="H1793" s="435">
        <f>$D1793</f>
        <v>0</v>
      </c>
      <c r="I1793" s="435"/>
      <c r="J1793" s="435"/>
      <c r="K1793" s="435">
        <f>D1793</f>
        <v>0</v>
      </c>
      <c r="L1793" s="435"/>
      <c r="M1793" s="435"/>
      <c r="N1793" s="435"/>
      <c r="O1793" s="435"/>
      <c r="P1793" s="435">
        <f t="shared" si="300"/>
        <v>0</v>
      </c>
      <c r="Q1793" s="442"/>
      <c r="R1793" s="442"/>
      <c r="S1793" s="442"/>
      <c r="T1793" s="432">
        <f>IFERROR(HLOOKUP(B1793,[1]pp3p1m!45:47,3,0),0)</f>
        <v>0</v>
      </c>
    </row>
    <row r="1794" spans="1:20" ht="22.2" customHeight="1">
      <c r="B1794" s="489" t="s">
        <v>1123</v>
      </c>
      <c r="C1794" s="465" t="str">
        <f t="shared" si="303"/>
        <v>x</v>
      </c>
      <c r="D1794" s="494">
        <f>[1]pp3p1m!DE114-T1794</f>
        <v>69</v>
      </c>
      <c r="E1794" s="422"/>
      <c r="F1794" s="486" t="s">
        <v>1124</v>
      </c>
      <c r="G1794" s="422" t="s">
        <v>375</v>
      </c>
      <c r="H1794" s="429">
        <f>SUM(I1794:O1794)</f>
        <v>69</v>
      </c>
      <c r="I1794" s="435"/>
      <c r="J1794" s="435"/>
      <c r="K1794" s="430">
        <f>IFERROR(HLOOKUP(B1794,[1]pp3p1m!$1:$3,3,0),0)</f>
        <v>69</v>
      </c>
      <c r="L1794" s="435"/>
      <c r="M1794" s="435"/>
      <c r="N1794" s="435"/>
      <c r="O1794" s="504"/>
      <c r="P1794" s="429">
        <f>H1794+Q1794-R1794</f>
        <v>69</v>
      </c>
      <c r="Q1794" s="429"/>
      <c r="R1794" s="429"/>
      <c r="S1794" s="442"/>
      <c r="T1794" s="432">
        <f>IFERROR(HLOOKUP(B1794,[1]pp3p1m!46:48,3,0),0)</f>
        <v>0</v>
      </c>
    </row>
    <row r="1795" spans="1:20" ht="22.2" hidden="1" customHeight="1">
      <c r="B1795" s="406" t="s">
        <v>138</v>
      </c>
      <c r="C1795" s="465" t="str">
        <f t="shared" si="303"/>
        <v>x</v>
      </c>
      <c r="D1795" s="440">
        <v>1</v>
      </c>
      <c r="E1795" s="422"/>
      <c r="F1795" s="441" t="str">
        <f>VLOOKUP($B1795,[1]DG!A:D,[1]DG!$C$2,)</f>
        <v xml:space="preserve">Sứ đứng 24KV </v>
      </c>
      <c r="G1795" s="422" t="str">
        <f>VLOOKUP($B1795,[1]DG!A:D,[1]DG!$D$2,)</f>
        <v>cái</v>
      </c>
      <c r="H1795" s="435">
        <f>H$1794*$D1795</f>
        <v>69</v>
      </c>
      <c r="I1795" s="507"/>
      <c r="J1795" s="507"/>
      <c r="K1795" s="507"/>
      <c r="L1795" s="507">
        <f t="shared" ref="L1795:O1796" si="304">L$1794*H1795</f>
        <v>0</v>
      </c>
      <c r="M1795" s="507">
        <f t="shared" si="304"/>
        <v>0</v>
      </c>
      <c r="N1795" s="507">
        <f t="shared" si="304"/>
        <v>0</v>
      </c>
      <c r="O1795" s="507">
        <f t="shared" si="304"/>
        <v>0</v>
      </c>
      <c r="P1795" s="435">
        <f>P$1794*$D1795</f>
        <v>69</v>
      </c>
      <c r="Q1795" s="442"/>
      <c r="R1795" s="442"/>
      <c r="S1795" s="442"/>
      <c r="T1795" s="432">
        <f>IFERROR(HLOOKUP(B1795,[1]pp3p1m!47:49,3,0),0)</f>
        <v>0</v>
      </c>
    </row>
    <row r="1796" spans="1:20" ht="22.2" hidden="1" customHeight="1">
      <c r="B1796" s="406" t="s">
        <v>139</v>
      </c>
      <c r="C1796" s="465" t="str">
        <f t="shared" si="303"/>
        <v>x</v>
      </c>
      <c r="D1796" s="440">
        <v>1</v>
      </c>
      <c r="E1796" s="422"/>
      <c r="F1796" s="441" t="str">
        <f>VLOOKUP($B1796,[1]DG!A:D,[1]DG!$C$2,)</f>
        <v>Chân sứ đứng D20</v>
      </c>
      <c r="G1796" s="422" t="str">
        <f>VLOOKUP($B1796,[1]DG!A:D,[1]DG!$D$2,)</f>
        <v>cái</v>
      </c>
      <c r="H1796" s="435">
        <f t="shared" ref="H1796" si="305">H$1794*D1796</f>
        <v>69</v>
      </c>
      <c r="I1796" s="507"/>
      <c r="J1796" s="507"/>
      <c r="K1796" s="507"/>
      <c r="L1796" s="507">
        <f t="shared" si="304"/>
        <v>0</v>
      </c>
      <c r="M1796" s="507">
        <f t="shared" si="304"/>
        <v>0</v>
      </c>
      <c r="N1796" s="507">
        <f t="shared" si="304"/>
        <v>0</v>
      </c>
      <c r="O1796" s="507">
        <f t="shared" si="304"/>
        <v>0</v>
      </c>
      <c r="P1796" s="435">
        <f>P$1794*$D1796</f>
        <v>69</v>
      </c>
      <c r="Q1796" s="442"/>
      <c r="R1796" s="442"/>
      <c r="S1796" s="442"/>
      <c r="T1796" s="432">
        <f>IFERROR(HLOOKUP(B1796,[1]pp3p1m!48:50,3,0),0)</f>
        <v>0</v>
      </c>
    </row>
    <row r="1797" spans="1:20" ht="22.2" hidden="1" customHeight="1">
      <c r="A1797" s="379"/>
      <c r="B1797" s="485" t="s">
        <v>1125</v>
      </c>
      <c r="C1797" s="469" t="str">
        <f t="shared" si="303"/>
        <v xml:space="preserve"> </v>
      </c>
      <c r="D1797" s="494">
        <f>[1]pp3p1m!DC114</f>
        <v>0</v>
      </c>
      <c r="E1797" s="422"/>
      <c r="F1797" s="486" t="s">
        <v>1126</v>
      </c>
      <c r="G1797" s="487" t="s">
        <v>375</v>
      </c>
      <c r="H1797" s="429">
        <f>SUM(I1797:O1797)</f>
        <v>0</v>
      </c>
      <c r="I1797" s="435"/>
      <c r="J1797" s="435"/>
      <c r="K1797" s="430">
        <f>IFERROR(HLOOKUP(B1797,[1]pp3p1m!$1:$3,3,0),0)</f>
        <v>0</v>
      </c>
      <c r="L1797" s="435"/>
      <c r="M1797" s="435"/>
      <c r="N1797" s="435"/>
      <c r="O1797" s="435"/>
      <c r="P1797" s="429">
        <f t="shared" si="300"/>
        <v>0</v>
      </c>
      <c r="Q1797" s="429"/>
      <c r="R1797" s="429"/>
      <c r="S1797" s="442"/>
      <c r="T1797" s="432">
        <f>IFERROR(HLOOKUP(B1797,[1]pp3p1m!49:51,3,0),0)</f>
        <v>0</v>
      </c>
    </row>
    <row r="1798" spans="1:20" ht="22.2" hidden="1" customHeight="1">
      <c r="A1798" s="379"/>
      <c r="B1798" s="410" t="s">
        <v>138</v>
      </c>
      <c r="C1798" s="469" t="str">
        <f t="shared" si="303"/>
        <v xml:space="preserve"> </v>
      </c>
      <c r="D1798" s="440">
        <f>D1797</f>
        <v>0</v>
      </c>
      <c r="E1798" s="422"/>
      <c r="F1798" s="441" t="str">
        <f>VLOOKUP($B1798,[1]DG!A:D,[1]DG!$C$2,)</f>
        <v xml:space="preserve">Sứ đứng 24KV </v>
      </c>
      <c r="G1798" s="422" t="str">
        <f>VLOOKUP($B1798,[1]DG!A:D,[1]DG!$D$2,)</f>
        <v>cái</v>
      </c>
      <c r="H1798" s="435">
        <f>$D1798</f>
        <v>0</v>
      </c>
      <c r="I1798" s="435"/>
      <c r="J1798" s="435"/>
      <c r="K1798" s="435">
        <f>D1798</f>
        <v>0</v>
      </c>
      <c r="L1798" s="435"/>
      <c r="M1798" s="435"/>
      <c r="N1798" s="435"/>
      <c r="O1798" s="435"/>
      <c r="P1798" s="435">
        <f t="shared" si="300"/>
        <v>0</v>
      </c>
      <c r="Q1798" s="442"/>
      <c r="R1798" s="442"/>
      <c r="S1798" s="442"/>
      <c r="T1798" s="432">
        <f>IFERROR(HLOOKUP(B1798,[1]pp3p1m!50:52,3,0),0)</f>
        <v>0</v>
      </c>
    </row>
    <row r="1799" spans="1:20" ht="22.2" hidden="1" customHeight="1">
      <c r="A1799" s="379"/>
      <c r="B1799" s="410" t="s">
        <v>880</v>
      </c>
      <c r="C1799" s="469" t="str">
        <f t="shared" si="303"/>
        <v xml:space="preserve"> </v>
      </c>
      <c r="D1799" s="440">
        <f>D1797</f>
        <v>0</v>
      </c>
      <c r="E1799" s="422"/>
      <c r="F1799" s="441" t="str">
        <f>VLOOKUP($B1799,[1]DG!A:D,[1]DG!$C$2,)</f>
        <v>Chân sứ đỉnh thẳng dài 870mm</v>
      </c>
      <c r="G1799" s="422" t="str">
        <f>VLOOKUP($B1799,[1]DG!A:D,[1]DG!$D$2,)</f>
        <v>cái</v>
      </c>
      <c r="H1799" s="435">
        <f>$D1799</f>
        <v>0</v>
      </c>
      <c r="I1799" s="435"/>
      <c r="J1799" s="435"/>
      <c r="K1799" s="435">
        <f>D1799</f>
        <v>0</v>
      </c>
      <c r="L1799" s="435"/>
      <c r="M1799" s="435"/>
      <c r="N1799" s="435"/>
      <c r="O1799" s="435"/>
      <c r="P1799" s="435">
        <f t="shared" si="300"/>
        <v>0</v>
      </c>
      <c r="Q1799" s="442"/>
      <c r="R1799" s="442"/>
      <c r="S1799" s="442"/>
      <c r="T1799" s="432">
        <f>IFERROR(HLOOKUP(B1799,[1]pp3p1m!51:53,3,0),0)</f>
        <v>0</v>
      </c>
    </row>
    <row r="1800" spans="1:20" ht="22.2" hidden="1" customHeight="1">
      <c r="A1800" s="379"/>
      <c r="B1800" s="410" t="s">
        <v>237</v>
      </c>
      <c r="C1800" s="469" t="str">
        <f t="shared" si="303"/>
        <v xml:space="preserve"> </v>
      </c>
      <c r="D1800" s="440">
        <f>D1797*2</f>
        <v>0</v>
      </c>
      <c r="E1800" s="422"/>
      <c r="F1800" s="441" t="str">
        <f>VLOOKUP($B1800,[1]DG!A:D,[1]DG!$C$2,)</f>
        <v>Boulon 16x250+ 2 long đền vuông D18-50x50x3/Zn</v>
      </c>
      <c r="G1800" s="422" t="str">
        <f>VLOOKUP($B1800,[1]DG!A:D,[1]DG!$D$2,)</f>
        <v>bộ</v>
      </c>
      <c r="H1800" s="435">
        <f>$D1800</f>
        <v>0</v>
      </c>
      <c r="I1800" s="435"/>
      <c r="J1800" s="435"/>
      <c r="K1800" s="435">
        <f>D1800</f>
        <v>0</v>
      </c>
      <c r="L1800" s="435"/>
      <c r="M1800" s="435"/>
      <c r="N1800" s="435"/>
      <c r="O1800" s="435"/>
      <c r="P1800" s="435">
        <f t="shared" si="300"/>
        <v>0</v>
      </c>
      <c r="Q1800" s="442"/>
      <c r="R1800" s="442"/>
      <c r="S1800" s="442"/>
      <c r="T1800" s="432">
        <f>IFERROR(HLOOKUP(B1800,[1]pp3p1m!52:54,3,0),0)</f>
        <v>0</v>
      </c>
    </row>
    <row r="1801" spans="1:20" ht="22.2" hidden="1" customHeight="1">
      <c r="A1801" s="379"/>
      <c r="B1801" s="485" t="s">
        <v>1127</v>
      </c>
      <c r="C1801" s="469" t="str">
        <f t="shared" si="303"/>
        <v xml:space="preserve"> </v>
      </c>
      <c r="D1801" s="498"/>
      <c r="E1801" s="422"/>
      <c r="F1801" s="486" t="s">
        <v>1128</v>
      </c>
      <c r="G1801" s="487" t="s">
        <v>375</v>
      </c>
      <c r="H1801" s="429">
        <f>SUM(I1801:O1801)</f>
        <v>0</v>
      </c>
      <c r="I1801" s="436"/>
      <c r="J1801" s="436"/>
      <c r="K1801" s="430">
        <f>IFERROR(HLOOKUP(B1801,[1]pp3p1m!$1:$3,3,0),0)</f>
        <v>0</v>
      </c>
      <c r="L1801" s="436"/>
      <c r="M1801" s="436"/>
      <c r="N1801" s="436"/>
      <c r="O1801" s="436"/>
      <c r="P1801" s="435">
        <f t="shared" si="300"/>
        <v>0</v>
      </c>
      <c r="Q1801" s="442"/>
      <c r="R1801" s="442"/>
      <c r="S1801" s="442"/>
      <c r="T1801" s="432">
        <f>IFERROR(HLOOKUP(B1801,[1]pp3p1m!53:55,3,0),0)</f>
        <v>0</v>
      </c>
    </row>
    <row r="1802" spans="1:20" ht="22.2" hidden="1" customHeight="1">
      <c r="A1802" s="379"/>
      <c r="B1802" s="410" t="s">
        <v>138</v>
      </c>
      <c r="C1802" s="469" t="str">
        <f t="shared" si="303"/>
        <v xml:space="preserve"> </v>
      </c>
      <c r="D1802" s="446">
        <f>D1801*2</f>
        <v>0</v>
      </c>
      <c r="E1802" s="422"/>
      <c r="F1802" s="441" t="str">
        <f>VLOOKUP($B1802,[1]DG!A:D,[1]DG!$C$2,)</f>
        <v xml:space="preserve">Sứ đứng 24KV </v>
      </c>
      <c r="G1802" s="422" t="str">
        <f>VLOOKUP($B1802,[1]DG!A:D,[1]DG!$D$2,)</f>
        <v>cái</v>
      </c>
      <c r="H1802" s="435">
        <f>$D1802</f>
        <v>0</v>
      </c>
      <c r="I1802" s="436"/>
      <c r="J1802" s="436"/>
      <c r="K1802" s="435">
        <f>D1802</f>
        <v>0</v>
      </c>
      <c r="L1802" s="436"/>
      <c r="M1802" s="436"/>
      <c r="N1802" s="436"/>
      <c r="O1802" s="436"/>
      <c r="P1802" s="435">
        <f t="shared" si="300"/>
        <v>0</v>
      </c>
      <c r="Q1802" s="442"/>
      <c r="R1802" s="442"/>
      <c r="S1802" s="442"/>
      <c r="T1802" s="432">
        <f>IFERROR(HLOOKUP(B1802,[1]pp3p1m!54:56,3,0),0)</f>
        <v>0</v>
      </c>
    </row>
    <row r="1803" spans="1:20" ht="22.2" hidden="1" customHeight="1">
      <c r="A1803" s="379"/>
      <c r="B1803" s="410" t="s">
        <v>1129</v>
      </c>
      <c r="C1803" s="469" t="str">
        <f t="shared" si="303"/>
        <v xml:space="preserve"> </v>
      </c>
      <c r="D1803" s="446">
        <f>D1801*2</f>
        <v>0</v>
      </c>
      <c r="E1803" s="422"/>
      <c r="F1803" s="441" t="str">
        <f>VLOOKUP($B1803,[1]DG!A:D,[1]DG!$C$2,)</f>
        <v>Chân sứ đỉnh đỡ góc dài 870mm</v>
      </c>
      <c r="G1803" s="422" t="str">
        <f>VLOOKUP($B1803,[1]DG!A:D,[1]DG!$D$2,)</f>
        <v>cái</v>
      </c>
      <c r="H1803" s="435">
        <f>$D1803</f>
        <v>0</v>
      </c>
      <c r="I1803" s="436"/>
      <c r="J1803" s="436"/>
      <c r="K1803" s="435">
        <f>D1803</f>
        <v>0</v>
      </c>
      <c r="L1803" s="436"/>
      <c r="M1803" s="436"/>
      <c r="N1803" s="436"/>
      <c r="O1803" s="436"/>
      <c r="P1803" s="435">
        <f t="shared" si="300"/>
        <v>0</v>
      </c>
      <c r="Q1803" s="442"/>
      <c r="R1803" s="442"/>
      <c r="S1803" s="442"/>
      <c r="T1803" s="432">
        <f>IFERROR(HLOOKUP(B1803,[1]pp3p1m!55:57,3,0),0)</f>
        <v>0</v>
      </c>
    </row>
    <row r="1804" spans="1:20" ht="22.2" hidden="1" customHeight="1">
      <c r="A1804" s="379"/>
      <c r="B1804" s="410" t="s">
        <v>237</v>
      </c>
      <c r="C1804" s="469" t="str">
        <f t="shared" si="303"/>
        <v xml:space="preserve"> </v>
      </c>
      <c r="D1804" s="446"/>
      <c r="E1804" s="422"/>
      <c r="F1804" s="441" t="str">
        <f>VLOOKUP($B1804,[1]DG!A:D,[1]DG!$C$2,)</f>
        <v>Boulon 16x250+ 2 long đền vuông D18-50x50x3/Zn</v>
      </c>
      <c r="G1804" s="422" t="str">
        <f>VLOOKUP($B1804,[1]DG!A:D,[1]DG!$D$2,)</f>
        <v>bộ</v>
      </c>
      <c r="H1804" s="435">
        <f>$D1804</f>
        <v>0</v>
      </c>
      <c r="I1804" s="436"/>
      <c r="J1804" s="436"/>
      <c r="K1804" s="435">
        <f>D1804</f>
        <v>0</v>
      </c>
      <c r="L1804" s="436"/>
      <c r="M1804" s="436"/>
      <c r="N1804" s="436"/>
      <c r="O1804" s="436"/>
      <c r="P1804" s="435">
        <f t="shared" si="300"/>
        <v>0</v>
      </c>
      <c r="Q1804" s="442"/>
      <c r="R1804" s="442"/>
      <c r="S1804" s="442"/>
      <c r="T1804" s="432">
        <f>IFERROR(HLOOKUP(B1804,[1]pp3p1m!56:58,3,0),0)</f>
        <v>0</v>
      </c>
    </row>
    <row r="1805" spans="1:20" ht="22.2" hidden="1" customHeight="1">
      <c r="A1805" s="379"/>
      <c r="B1805" s="485" t="s">
        <v>1130</v>
      </c>
      <c r="C1805" s="469" t="str">
        <f t="shared" si="303"/>
        <v xml:space="preserve"> </v>
      </c>
      <c r="D1805" s="494"/>
      <c r="E1805" s="422"/>
      <c r="F1805" s="486" t="s">
        <v>1218</v>
      </c>
      <c r="G1805" s="487" t="s">
        <v>1132</v>
      </c>
      <c r="H1805" s="429">
        <f>SUM(I1805:O1805)</f>
        <v>0</v>
      </c>
      <c r="I1805" s="435"/>
      <c r="J1805" s="435"/>
      <c r="K1805" s="430">
        <f>IFERROR(HLOOKUP(B1805,[1]pp3p1m!$1:$3,3,0),0)</f>
        <v>0</v>
      </c>
      <c r="L1805" s="435"/>
      <c r="M1805" s="435"/>
      <c r="N1805" s="435"/>
      <c r="O1805" s="435"/>
      <c r="P1805" s="435">
        <f t="shared" si="300"/>
        <v>0</v>
      </c>
      <c r="Q1805" s="442"/>
      <c r="R1805" s="442"/>
      <c r="S1805" s="442"/>
      <c r="T1805" s="432">
        <f>IFERROR(HLOOKUP(B1805,[1]pp3p1m!57:59,3,0),0)</f>
        <v>0</v>
      </c>
    </row>
    <row r="1806" spans="1:20" ht="22.2" hidden="1" customHeight="1">
      <c r="A1806" s="379"/>
      <c r="B1806" s="410" t="s">
        <v>1133</v>
      </c>
      <c r="C1806" s="469" t="str">
        <f t="shared" si="303"/>
        <v xml:space="preserve"> </v>
      </c>
      <c r="D1806" s="440">
        <f>D1805*2</f>
        <v>0</v>
      </c>
      <c r="E1806" s="422"/>
      <c r="F1806" s="441" t="str">
        <f>VLOOKUP($B1806,[1]DG!A:D,[1]DG!$C$2,)</f>
        <v>Sứ treo loại 70kN</v>
      </c>
      <c r="G1806" s="422" t="str">
        <f>VLOOKUP($B1806,[1]DG!A:D,[1]DG!$D$2,)</f>
        <v>bát</v>
      </c>
      <c r="H1806" s="435">
        <f>$D1806</f>
        <v>0</v>
      </c>
      <c r="I1806" s="435"/>
      <c r="J1806" s="435"/>
      <c r="K1806" s="435">
        <f>D1806</f>
        <v>0</v>
      </c>
      <c r="L1806" s="435"/>
      <c r="M1806" s="435"/>
      <c r="N1806" s="435"/>
      <c r="O1806" s="435"/>
      <c r="P1806" s="435">
        <f t="shared" si="300"/>
        <v>0</v>
      </c>
      <c r="Q1806" s="442"/>
      <c r="R1806" s="442"/>
      <c r="S1806" s="442"/>
      <c r="T1806" s="432">
        <f>IFERROR(HLOOKUP(B1806,[1]pp3p1m!58:60,3,0),0)</f>
        <v>0</v>
      </c>
    </row>
    <row r="1807" spans="1:20" ht="22.2" hidden="1" customHeight="1">
      <c r="A1807" s="379"/>
      <c r="B1807" s="410" t="s">
        <v>478</v>
      </c>
      <c r="C1807" s="469" t="str">
        <f t="shared" si="303"/>
        <v xml:space="preserve"> </v>
      </c>
      <c r="D1807" s="440">
        <f>D1805*2</f>
        <v>0</v>
      </c>
      <c r="E1807" s="422"/>
      <c r="F1807" s="441" t="str">
        <f>VLOOKUP($B1807,[1]DG!A:D,[1]DG!$C$2,)</f>
        <v xml:space="preserve">Móc treo chữ U </v>
      </c>
      <c r="G1807" s="422" t="str">
        <f>VLOOKUP($B1807,[1]DG!A:D,[1]DG!$D$2,)</f>
        <v>cái</v>
      </c>
      <c r="H1807" s="435">
        <f>$D1807</f>
        <v>0</v>
      </c>
      <c r="I1807" s="435"/>
      <c r="J1807" s="435"/>
      <c r="K1807" s="435">
        <f>D1807</f>
        <v>0</v>
      </c>
      <c r="L1807" s="435"/>
      <c r="M1807" s="435"/>
      <c r="N1807" s="435"/>
      <c r="O1807" s="435"/>
      <c r="P1807" s="435">
        <f t="shared" si="300"/>
        <v>0</v>
      </c>
      <c r="Q1807" s="442"/>
      <c r="R1807" s="442"/>
      <c r="S1807" s="442"/>
      <c r="T1807" s="432">
        <f>IFERROR(HLOOKUP(B1807,[1]pp3p1m!59:61,3,0),0)</f>
        <v>0</v>
      </c>
    </row>
    <row r="1808" spans="1:20" ht="22.2" hidden="1" customHeight="1">
      <c r="A1808" s="379"/>
      <c r="B1808" s="410" t="s">
        <v>1134</v>
      </c>
      <c r="C1808" s="469" t="str">
        <f t="shared" si="303"/>
        <v xml:space="preserve"> </v>
      </c>
      <c r="D1808" s="440">
        <f>D1805</f>
        <v>0</v>
      </c>
      <c r="E1808" s="422"/>
      <c r="F1808" s="441" t="str">
        <f>VLOOKUP($B1808,[1]DG!A:D,[1]DG!$C$2,)</f>
        <v>Vòng treo đầu tròn</v>
      </c>
      <c r="G1808" s="422" t="str">
        <f>VLOOKUP($B1808,[1]DG!A:D,[1]DG!$D$2,)</f>
        <v>cái</v>
      </c>
      <c r="H1808" s="435">
        <f>$D1808</f>
        <v>0</v>
      </c>
      <c r="I1808" s="435"/>
      <c r="J1808" s="435"/>
      <c r="K1808" s="435">
        <f>D1808</f>
        <v>0</v>
      </c>
      <c r="L1808" s="435"/>
      <c r="M1808" s="435"/>
      <c r="N1808" s="435"/>
      <c r="O1808" s="435"/>
      <c r="P1808" s="435">
        <f t="shared" si="300"/>
        <v>0</v>
      </c>
      <c r="Q1808" s="442"/>
      <c r="R1808" s="442"/>
      <c r="S1808" s="442"/>
      <c r="T1808" s="432">
        <f>IFERROR(HLOOKUP(B1808,[1]pp3p1m!60:62,3,0),0)</f>
        <v>0</v>
      </c>
    </row>
    <row r="1809" spans="1:20" ht="22.2" hidden="1" customHeight="1">
      <c r="A1809" s="379"/>
      <c r="B1809" s="410" t="s">
        <v>1135</v>
      </c>
      <c r="C1809" s="469" t="str">
        <f t="shared" si="303"/>
        <v xml:space="preserve"> </v>
      </c>
      <c r="D1809" s="440">
        <f>D1805</f>
        <v>0</v>
      </c>
      <c r="E1809" s="422"/>
      <c r="F1809" s="441" t="str">
        <f>VLOOKUP($B1809,[1]DG!A:D,[1]DG!$C$2,)</f>
        <v>Mắt nối đơn</v>
      </c>
      <c r="G1809" s="422" t="str">
        <f>VLOOKUP($B1809,[1]DG!A:D,[1]DG!$D$2,)</f>
        <v>cái</v>
      </c>
      <c r="H1809" s="435">
        <f>$D1809</f>
        <v>0</v>
      </c>
      <c r="I1809" s="435"/>
      <c r="J1809" s="435"/>
      <c r="K1809" s="435">
        <f>D1809</f>
        <v>0</v>
      </c>
      <c r="L1809" s="435"/>
      <c r="M1809" s="435"/>
      <c r="N1809" s="435"/>
      <c r="O1809" s="435"/>
      <c r="P1809" s="435">
        <f t="shared" si="300"/>
        <v>0</v>
      </c>
      <c r="Q1809" s="442"/>
      <c r="R1809" s="442"/>
      <c r="S1809" s="442"/>
      <c r="T1809" s="432">
        <f>IFERROR(HLOOKUP(B1809,[1]pp3p1m!61:63,3,0),0)</f>
        <v>0</v>
      </c>
    </row>
    <row r="1810" spans="1:20" ht="22.2" hidden="1" customHeight="1">
      <c r="A1810" s="379"/>
      <c r="B1810" s="410" t="s">
        <v>1136</v>
      </c>
      <c r="C1810" s="469" t="str">
        <f t="shared" si="303"/>
        <v xml:space="preserve"> </v>
      </c>
      <c r="D1810" s="440">
        <f>D1805</f>
        <v>0</v>
      </c>
      <c r="E1810" s="422"/>
      <c r="F1810" s="441" t="str">
        <f>VLOOKUP($B1810,[1]DG!A:D,[1]DG!$C$2,)</f>
        <v>Boulon mắt 16x300+ 2 long đền vuông D18-50x50x3/Zn</v>
      </c>
      <c r="G1810" s="422" t="str">
        <f>VLOOKUP($B1810,[1]DG!A:D,[1]DG!$D$2,)</f>
        <v>bộ</v>
      </c>
      <c r="H1810" s="435">
        <f>$D1810</f>
        <v>0</v>
      </c>
      <c r="I1810" s="435"/>
      <c r="J1810" s="435"/>
      <c r="K1810" s="435">
        <f>D1810</f>
        <v>0</v>
      </c>
      <c r="L1810" s="435"/>
      <c r="M1810" s="435"/>
      <c r="N1810" s="435"/>
      <c r="O1810" s="435"/>
      <c r="P1810" s="435">
        <f t="shared" si="300"/>
        <v>0</v>
      </c>
      <c r="Q1810" s="442"/>
      <c r="R1810" s="442"/>
      <c r="S1810" s="442"/>
      <c r="T1810" s="432">
        <f>IFERROR(HLOOKUP(B1810,[1]pp3p1m!62:64,3,0),0)</f>
        <v>0</v>
      </c>
    </row>
    <row r="1811" spans="1:20" ht="22.2" hidden="1" customHeight="1">
      <c r="A1811" s="379"/>
      <c r="B1811" s="485" t="s">
        <v>1137</v>
      </c>
      <c r="C1811" s="469" t="str">
        <f t="shared" si="303"/>
        <v xml:space="preserve"> </v>
      </c>
      <c r="D1811" s="494"/>
      <c r="E1811" s="422"/>
      <c r="F1811" s="486" t="s">
        <v>1239</v>
      </c>
      <c r="G1811" s="487" t="s">
        <v>1132</v>
      </c>
      <c r="H1811" s="429">
        <f>SUM(I1811:O1811)</f>
        <v>0</v>
      </c>
      <c r="I1811" s="435"/>
      <c r="J1811" s="435"/>
      <c r="K1811" s="430">
        <f>IFERROR(HLOOKUP(B1811,[1]pp3p1m!$1:$3,3,0),0)</f>
        <v>0</v>
      </c>
      <c r="L1811" s="435"/>
      <c r="M1811" s="435"/>
      <c r="N1811" s="435"/>
      <c r="O1811" s="435"/>
      <c r="P1811" s="435">
        <f t="shared" si="300"/>
        <v>0</v>
      </c>
      <c r="Q1811" s="442"/>
      <c r="R1811" s="442"/>
      <c r="S1811" s="442"/>
      <c r="T1811" s="432">
        <f>IFERROR(HLOOKUP(B1811,[1]pp3p1m!63:65,3,0),0)</f>
        <v>0</v>
      </c>
    </row>
    <row r="1812" spans="1:20" ht="22.2" hidden="1" customHeight="1">
      <c r="A1812" s="379"/>
      <c r="B1812" s="410" t="s">
        <v>1139</v>
      </c>
      <c r="C1812" s="469" t="str">
        <f t="shared" si="303"/>
        <v xml:space="preserve"> </v>
      </c>
      <c r="D1812" s="440"/>
      <c r="E1812" s="422"/>
      <c r="F1812" s="441" t="str">
        <f>VLOOKUP($B1812,[1]DG!A:D,[1]DG!$C$2,)</f>
        <v>Sứ treo loại 70kN</v>
      </c>
      <c r="G1812" s="422" t="str">
        <f>VLOOKUP($B1812,[1]DG!A:D,[1]DG!$D$2,)</f>
        <v>bát</v>
      </c>
      <c r="H1812" s="435">
        <f>$D1812</f>
        <v>0</v>
      </c>
      <c r="I1812" s="435"/>
      <c r="J1812" s="435"/>
      <c r="K1812" s="435">
        <f>D1812</f>
        <v>0</v>
      </c>
      <c r="L1812" s="435"/>
      <c r="M1812" s="435"/>
      <c r="N1812" s="435"/>
      <c r="O1812" s="435"/>
      <c r="P1812" s="435">
        <f t="shared" si="300"/>
        <v>0</v>
      </c>
      <c r="Q1812" s="442"/>
      <c r="R1812" s="442"/>
      <c r="S1812" s="442"/>
      <c r="T1812" s="432">
        <f>IFERROR(HLOOKUP(B1812,[1]pp3p1m!64:66,3,0),0)</f>
        <v>0</v>
      </c>
    </row>
    <row r="1813" spans="1:20" ht="22.2" hidden="1" customHeight="1">
      <c r="A1813" s="379"/>
      <c r="B1813" s="410" t="s">
        <v>478</v>
      </c>
      <c r="C1813" s="469" t="str">
        <f t="shared" si="303"/>
        <v xml:space="preserve"> </v>
      </c>
      <c r="D1813" s="440">
        <f>D1811*2</f>
        <v>0</v>
      </c>
      <c r="E1813" s="422"/>
      <c r="F1813" s="441" t="str">
        <f>VLOOKUP($B1813,[1]DG!A:D,[1]DG!$C$2,)</f>
        <v xml:space="preserve">Móc treo chữ U </v>
      </c>
      <c r="G1813" s="422" t="str">
        <f>VLOOKUP($B1813,[1]DG!A:D,[1]DG!$D$2,)</f>
        <v>cái</v>
      </c>
      <c r="H1813" s="435">
        <f>$D1813</f>
        <v>0</v>
      </c>
      <c r="I1813" s="435"/>
      <c r="J1813" s="435"/>
      <c r="K1813" s="435">
        <f>D1813</f>
        <v>0</v>
      </c>
      <c r="L1813" s="435"/>
      <c r="M1813" s="435"/>
      <c r="N1813" s="435"/>
      <c r="O1813" s="435"/>
      <c r="P1813" s="435">
        <f t="shared" si="300"/>
        <v>0</v>
      </c>
      <c r="Q1813" s="442"/>
      <c r="R1813" s="442"/>
      <c r="S1813" s="442"/>
      <c r="T1813" s="432">
        <f>IFERROR(HLOOKUP(B1813,[1]pp3p1m!65:67,3,0),0)</f>
        <v>0</v>
      </c>
    </row>
    <row r="1814" spans="1:20" ht="22.2" customHeight="1">
      <c r="B1814" s="489" t="s">
        <v>1240</v>
      </c>
      <c r="C1814" s="465" t="str">
        <f t="shared" si="303"/>
        <v>x</v>
      </c>
      <c r="D1814" s="494">
        <f>H1814</f>
        <v>24</v>
      </c>
      <c r="E1814" s="422"/>
      <c r="F1814" s="486" t="s">
        <v>1141</v>
      </c>
      <c r="G1814" s="422" t="s">
        <v>1132</v>
      </c>
      <c r="H1814" s="429">
        <f>SUM(I1814:O1814)</f>
        <v>24</v>
      </c>
      <c r="I1814" s="435"/>
      <c r="J1814" s="435"/>
      <c r="K1814" s="430">
        <f>IFERROR(HLOOKUP(B1814,[1]pp3p1m!$1:$3,3,0),0)</f>
        <v>24</v>
      </c>
      <c r="L1814" s="435"/>
      <c r="M1814" s="435"/>
      <c r="N1814" s="435"/>
      <c r="O1814" s="504"/>
      <c r="P1814" s="508">
        <f t="shared" si="300"/>
        <v>24</v>
      </c>
      <c r="Q1814" s="442"/>
      <c r="R1814" s="442"/>
      <c r="S1814" s="442"/>
      <c r="T1814" s="432">
        <f>IFERROR(HLOOKUP(B1814,[1]pp3p1m!66:68,3,0),0)</f>
        <v>0</v>
      </c>
    </row>
    <row r="1815" spans="1:20" ht="22.2" hidden="1" customHeight="1">
      <c r="B1815" s="406" t="s">
        <v>477</v>
      </c>
      <c r="C1815" s="465" t="str">
        <f t="shared" si="303"/>
        <v>x</v>
      </c>
      <c r="D1815" s="440">
        <v>1</v>
      </c>
      <c r="E1815" s="422"/>
      <c r="F1815" s="441" t="str">
        <f>VLOOKUP($B1815,[1]DG!A:D,[1]DG!$C$2,)</f>
        <v>Sứ treo polymer</v>
      </c>
      <c r="G1815" s="422" t="str">
        <f>VLOOKUP($B1815,[1]DG!A:D,[1]DG!$D$2,)</f>
        <v>chuỗi</v>
      </c>
      <c r="H1815" s="435">
        <f>H$1814*$D1815</f>
        <v>24</v>
      </c>
      <c r="I1815" s="435">
        <f t="shared" ref="I1815:R1817" si="306">I$1814*$D1815</f>
        <v>0</v>
      </c>
      <c r="J1815" s="435">
        <f t="shared" si="306"/>
        <v>0</v>
      </c>
      <c r="K1815" s="435">
        <f t="shared" si="306"/>
        <v>24</v>
      </c>
      <c r="L1815" s="435">
        <f t="shared" si="306"/>
        <v>0</v>
      </c>
      <c r="M1815" s="435">
        <f t="shared" si="306"/>
        <v>0</v>
      </c>
      <c r="N1815" s="435">
        <f t="shared" si="306"/>
        <v>0</v>
      </c>
      <c r="O1815" s="435">
        <f t="shared" si="306"/>
        <v>0</v>
      </c>
      <c r="P1815" s="435">
        <f t="shared" si="306"/>
        <v>24</v>
      </c>
      <c r="Q1815" s="435">
        <f t="shared" si="306"/>
        <v>0</v>
      </c>
      <c r="R1815" s="435">
        <f t="shared" si="306"/>
        <v>0</v>
      </c>
      <c r="S1815" s="442"/>
      <c r="T1815" s="432">
        <f>IFERROR(HLOOKUP(B1815,[1]pp3p1m!67:69,3,0),0)</f>
        <v>0</v>
      </c>
    </row>
    <row r="1816" spans="1:20" ht="22.2" hidden="1" customHeight="1">
      <c r="B1816" s="406" t="s">
        <v>478</v>
      </c>
      <c r="C1816" s="465" t="str">
        <f t="shared" si="303"/>
        <v>x</v>
      </c>
      <c r="D1816" s="440">
        <v>2</v>
      </c>
      <c r="E1816" s="422"/>
      <c r="F1816" s="441" t="str">
        <f>VLOOKUP($B1816,[1]DG!A:D,[1]DG!$C$2,)&amp;""</f>
        <v xml:space="preserve">Móc treo chữ U </v>
      </c>
      <c r="G1816" s="422" t="str">
        <f>VLOOKUP($B1816,[1]DG!A:D,[1]DG!$D$2,)</f>
        <v>cái</v>
      </c>
      <c r="H1816" s="435">
        <f t="shared" ref="H1816:H1820" si="307">H$1814*$D1816</f>
        <v>48</v>
      </c>
      <c r="I1816" s="435">
        <f t="shared" si="306"/>
        <v>0</v>
      </c>
      <c r="J1816" s="435">
        <f t="shared" si="306"/>
        <v>0</v>
      </c>
      <c r="K1816" s="435">
        <f t="shared" si="306"/>
        <v>48</v>
      </c>
      <c r="L1816" s="435">
        <f t="shared" si="306"/>
        <v>0</v>
      </c>
      <c r="M1816" s="435">
        <f t="shared" si="306"/>
        <v>0</v>
      </c>
      <c r="N1816" s="435">
        <f t="shared" si="306"/>
        <v>0</v>
      </c>
      <c r="O1816" s="435">
        <f t="shared" si="306"/>
        <v>0</v>
      </c>
      <c r="P1816" s="435">
        <f t="shared" si="306"/>
        <v>48</v>
      </c>
      <c r="Q1816" s="435">
        <f t="shared" si="306"/>
        <v>0</v>
      </c>
      <c r="R1816" s="435">
        <f t="shared" si="306"/>
        <v>0</v>
      </c>
      <c r="S1816" s="442"/>
      <c r="T1816" s="432">
        <f>IFERROR(HLOOKUP(B1816,[1]pp3p1m!68:70,3,0),0)</f>
        <v>0</v>
      </c>
    </row>
    <row r="1817" spans="1:20" ht="22.2" hidden="1" customHeight="1">
      <c r="B1817" s="406" t="s">
        <v>1241</v>
      </c>
      <c r="C1817" s="465" t="str">
        <f t="shared" si="303"/>
        <v xml:space="preserve"> </v>
      </c>
      <c r="D1817" s="440"/>
      <c r="E1817" s="422"/>
      <c r="F1817" s="441" t="str">
        <f>VLOOKUP($B1817,[1]DG!A:D,[1]DG!$C$2,)</f>
        <v>Khóa néo dây cỡ dây 185</v>
      </c>
      <c r="G1817" s="422" t="str">
        <f>VLOOKUP($B1817,[1]DG!A:D,[1]DG!$D$2,)</f>
        <v>cái</v>
      </c>
      <c r="H1817" s="435">
        <f t="shared" si="307"/>
        <v>0</v>
      </c>
      <c r="I1817" s="435"/>
      <c r="J1817" s="435"/>
      <c r="K1817" s="435">
        <f t="shared" si="306"/>
        <v>0</v>
      </c>
      <c r="L1817" s="435"/>
      <c r="M1817" s="435"/>
      <c r="N1817" s="435"/>
      <c r="O1817" s="504"/>
      <c r="P1817" s="435">
        <f t="shared" ref="P1817" si="308">H1817+Q1817-R1817</f>
        <v>0</v>
      </c>
      <c r="Q1817" s="442"/>
      <c r="R1817" s="442"/>
      <c r="S1817" s="442"/>
      <c r="T1817" s="432">
        <f>IFERROR(HLOOKUP(B1817,[1]pp3p1m!69:71,3,0),0)</f>
        <v>0</v>
      </c>
    </row>
    <row r="1818" spans="1:20" ht="22.2" hidden="1" customHeight="1">
      <c r="B1818" s="406" t="s">
        <v>1242</v>
      </c>
      <c r="C1818" s="465" t="str">
        <f t="shared" si="303"/>
        <v xml:space="preserve"> </v>
      </c>
      <c r="D1818" s="453">
        <f>K1818</f>
        <v>0</v>
      </c>
      <c r="E1818" s="422"/>
      <c r="F1818" s="441" t="str">
        <f>VLOOKUP($B1818,[1]DG!A:D,[1]DG!$C$2,)</f>
        <v>Khánh lắp chuỗi sứ polymer kép</v>
      </c>
      <c r="G1818" s="422" t="str">
        <f>VLOOKUP($B1818,[1]DG!A:D,[1]DG!$D$2,)</f>
        <v>cái</v>
      </c>
      <c r="H1818" s="509">
        <f>K1818</f>
        <v>0</v>
      </c>
      <c r="I1818" s="435"/>
      <c r="J1818" s="435"/>
      <c r="K1818" s="430">
        <f>IFERROR(HLOOKUP(B1818,[1]pp3p1m!$1:$3,3,0),0)</f>
        <v>0</v>
      </c>
      <c r="L1818" s="435"/>
      <c r="M1818" s="435"/>
      <c r="N1818" s="435"/>
      <c r="O1818" s="504"/>
      <c r="P1818" s="509"/>
      <c r="Q1818" s="442"/>
      <c r="R1818" s="442"/>
      <c r="S1818" s="442"/>
      <c r="T1818" s="432">
        <f>IFERROR(HLOOKUP(B1818,[1]pp3p1m!70:72,3,0),0)</f>
        <v>0</v>
      </c>
    </row>
    <row r="1819" spans="1:20" ht="22.2" hidden="1" customHeight="1">
      <c r="A1819" s="379"/>
      <c r="B1819" s="410" t="s">
        <v>1243</v>
      </c>
      <c r="C1819" s="469" t="str">
        <f t="shared" si="303"/>
        <v>x</v>
      </c>
      <c r="D1819" s="440">
        <v>1</v>
      </c>
      <c r="E1819" s="422"/>
      <c r="F1819" s="441" t="str">
        <f>VLOOKUP($B1819,[1]DG!A:D,[1]DG!$C$2,)</f>
        <v>Giáp níu dừng dây bọc ACX50</v>
      </c>
      <c r="G1819" s="422" t="str">
        <f>VLOOKUP($B1819,[1]DG!A:D,[1]DG!$D$2,)</f>
        <v>cái</v>
      </c>
      <c r="H1819" s="435">
        <f t="shared" si="307"/>
        <v>24</v>
      </c>
      <c r="I1819" s="435"/>
      <c r="J1819" s="435"/>
      <c r="K1819" s="435"/>
      <c r="L1819" s="435"/>
      <c r="M1819" s="435"/>
      <c r="N1819" s="435"/>
      <c r="O1819" s="435"/>
      <c r="P1819" s="435">
        <f t="shared" ref="P1819:P1830" si="309">H1819+Q1819-R1819</f>
        <v>24</v>
      </c>
      <c r="Q1819" s="442"/>
      <c r="R1819" s="442"/>
      <c r="S1819" s="442"/>
      <c r="T1819" s="432">
        <f>IFERROR(HLOOKUP(B1819,[1]pp3p1m!71:73,3,0),0)</f>
        <v>0</v>
      </c>
    </row>
    <row r="1820" spans="1:20" ht="22.2" hidden="1" customHeight="1">
      <c r="A1820" s="379"/>
      <c r="B1820" s="477" t="s">
        <v>1224</v>
      </c>
      <c r="C1820" s="469" t="str">
        <f t="shared" si="303"/>
        <v xml:space="preserve"> </v>
      </c>
      <c r="D1820" s="440"/>
      <c r="E1820" s="422"/>
      <c r="F1820" s="441" t="str">
        <f>VLOOKUP($B1820,[1]DG!A:D,[1]DG!$C$2,)</f>
        <v>Kẹp 2 rãnh (APC) cỡ dây 240 mm2</v>
      </c>
      <c r="G1820" s="422" t="str">
        <f>VLOOKUP($B1820,[1]DG!A:D,[1]DG!$D$2,)</f>
        <v>cái</v>
      </c>
      <c r="H1820" s="435">
        <f t="shared" si="307"/>
        <v>0</v>
      </c>
      <c r="I1820" s="435"/>
      <c r="J1820" s="435"/>
      <c r="K1820" s="435">
        <f>D1820</f>
        <v>0</v>
      </c>
      <c r="L1820" s="435"/>
      <c r="M1820" s="435"/>
      <c r="N1820" s="435"/>
      <c r="O1820" s="435"/>
      <c r="P1820" s="435">
        <f t="shared" si="309"/>
        <v>0</v>
      </c>
      <c r="Q1820" s="442"/>
      <c r="R1820" s="442"/>
      <c r="S1820" s="442"/>
      <c r="T1820" s="432">
        <f>IFERROR(HLOOKUP(B1820,[1]pp3p1m!72:74,3,0),0)</f>
        <v>0</v>
      </c>
    </row>
    <row r="1821" spans="1:20" ht="22.2" hidden="1" customHeight="1">
      <c r="A1821" s="379"/>
      <c r="B1821" s="485" t="s">
        <v>1244</v>
      </c>
      <c r="C1821" s="469" t="str">
        <f t="shared" si="303"/>
        <v xml:space="preserve"> </v>
      </c>
      <c r="D1821" s="494"/>
      <c r="E1821" s="422"/>
      <c r="F1821" s="486" t="s">
        <v>1245</v>
      </c>
      <c r="G1821" s="422" t="s">
        <v>1132</v>
      </c>
      <c r="H1821" s="429">
        <f>SUM(I1821:O1821)</f>
        <v>0</v>
      </c>
      <c r="I1821" s="435"/>
      <c r="J1821" s="435"/>
      <c r="K1821" s="430">
        <f>IFERROR(HLOOKUP(B1821,[1]pp3p1m!$1:$3,3,0),0)</f>
        <v>0</v>
      </c>
      <c r="L1821" s="435"/>
      <c r="M1821" s="435"/>
      <c r="N1821" s="435"/>
      <c r="O1821" s="435"/>
      <c r="P1821" s="435">
        <f t="shared" si="309"/>
        <v>0</v>
      </c>
      <c r="Q1821" s="442"/>
      <c r="R1821" s="442"/>
      <c r="S1821" s="442"/>
      <c r="T1821" s="432">
        <f>IFERROR(HLOOKUP(B1821,[1]pp3p1m!73:75,3,0),0)</f>
        <v>0</v>
      </c>
    </row>
    <row r="1822" spans="1:20" ht="22.2" hidden="1" customHeight="1">
      <c r="A1822" s="379"/>
      <c r="B1822" s="410" t="s">
        <v>477</v>
      </c>
      <c r="C1822" s="469" t="str">
        <f t="shared" si="303"/>
        <v xml:space="preserve"> </v>
      </c>
      <c r="D1822" s="440">
        <f>D1821</f>
        <v>0</v>
      </c>
      <c r="E1822" s="422"/>
      <c r="F1822" s="441" t="str">
        <f>VLOOKUP($B1822,[1]DG!A:D,[1]DG!$C$2,)&amp;" "</f>
        <v xml:space="preserve">Sứ treo polymer </v>
      </c>
      <c r="G1822" s="422" t="str">
        <f>VLOOKUP($B1822,[1]DG!A:D,[1]DG!$D$2,)</f>
        <v>chuỗi</v>
      </c>
      <c r="H1822" s="435">
        <f t="shared" ref="H1822:H1827" si="310">$D1822</f>
        <v>0</v>
      </c>
      <c r="I1822" s="435"/>
      <c r="J1822" s="435"/>
      <c r="K1822" s="435">
        <f t="shared" ref="K1822:K1827" si="311">D1822</f>
        <v>0</v>
      </c>
      <c r="L1822" s="435"/>
      <c r="M1822" s="435"/>
      <c r="N1822" s="435"/>
      <c r="O1822" s="435"/>
      <c r="P1822" s="435">
        <f t="shared" si="309"/>
        <v>0</v>
      </c>
      <c r="Q1822" s="442"/>
      <c r="R1822" s="442"/>
      <c r="S1822" s="442"/>
      <c r="T1822" s="432">
        <f>IFERROR(HLOOKUP(B1822,[1]pp3p1m!74:76,3,0),0)</f>
        <v>0</v>
      </c>
    </row>
    <row r="1823" spans="1:20" ht="22.2" hidden="1" customHeight="1">
      <c r="A1823" s="379"/>
      <c r="B1823" s="410" t="s">
        <v>478</v>
      </c>
      <c r="C1823" s="469" t="str">
        <f t="shared" si="303"/>
        <v xml:space="preserve"> </v>
      </c>
      <c r="D1823" s="440">
        <f>D1821*2</f>
        <v>0</v>
      </c>
      <c r="E1823" s="422"/>
      <c r="F1823" s="441" t="str">
        <f>VLOOKUP($B1823,[1]DG!A:D,[1]DG!$C$2,)&amp;""</f>
        <v xml:space="preserve">Móc treo chữ U </v>
      </c>
      <c r="G1823" s="422" t="str">
        <f>VLOOKUP($B1823,[1]DG!A:D,[1]DG!$D$2,)</f>
        <v>cái</v>
      </c>
      <c r="H1823" s="435">
        <f t="shared" si="310"/>
        <v>0</v>
      </c>
      <c r="I1823" s="435"/>
      <c r="J1823" s="435"/>
      <c r="K1823" s="435">
        <f t="shared" si="311"/>
        <v>0</v>
      </c>
      <c r="L1823" s="435"/>
      <c r="M1823" s="435"/>
      <c r="N1823" s="435"/>
      <c r="O1823" s="435"/>
      <c r="P1823" s="435">
        <f t="shared" si="309"/>
        <v>0</v>
      </c>
      <c r="Q1823" s="442"/>
      <c r="R1823" s="442"/>
      <c r="S1823" s="442"/>
      <c r="T1823" s="432">
        <f>IFERROR(HLOOKUP(B1823,[1]pp3p1m!75:77,3,0),0)</f>
        <v>0</v>
      </c>
    </row>
    <row r="1824" spans="1:20" ht="22.2" hidden="1" customHeight="1">
      <c r="A1824" s="379"/>
      <c r="B1824" s="410" t="s">
        <v>479</v>
      </c>
      <c r="C1824" s="469" t="str">
        <f t="shared" si="303"/>
        <v xml:space="preserve"> </v>
      </c>
      <c r="D1824" s="440">
        <f>D1821</f>
        <v>0</v>
      </c>
      <c r="E1824" s="422"/>
      <c r="F1824" s="441" t="str">
        <f>VLOOKUP($B1824,[1]DG!A:D,[1]DG!$C$2,)</f>
        <v>Khóa néo dây cỡ dây 185</v>
      </c>
      <c r="G1824" s="422" t="str">
        <f>VLOOKUP($B1824,[1]DG!A:D,[1]DG!$D$2,)</f>
        <v>cái</v>
      </c>
      <c r="H1824" s="435">
        <f t="shared" si="310"/>
        <v>0</v>
      </c>
      <c r="I1824" s="435"/>
      <c r="J1824" s="435"/>
      <c r="K1824" s="435">
        <f t="shared" si="311"/>
        <v>0</v>
      </c>
      <c r="L1824" s="435"/>
      <c r="M1824" s="435"/>
      <c r="N1824" s="435"/>
      <c r="O1824" s="435"/>
      <c r="P1824" s="435">
        <f t="shared" si="309"/>
        <v>0</v>
      </c>
      <c r="Q1824" s="442"/>
      <c r="R1824" s="442"/>
      <c r="S1824" s="442"/>
      <c r="T1824" s="432">
        <f>IFERROR(HLOOKUP(B1824,[1]pp3p1m!76:78,3,0),0)</f>
        <v>0</v>
      </c>
    </row>
    <row r="1825" spans="1:20" ht="22.2" hidden="1" customHeight="1">
      <c r="A1825" s="379"/>
      <c r="B1825" s="410" t="s">
        <v>483</v>
      </c>
      <c r="C1825" s="469" t="str">
        <f t="shared" si="303"/>
        <v xml:space="preserve"> </v>
      </c>
      <c r="D1825" s="440">
        <f>D1821</f>
        <v>0</v>
      </c>
      <c r="E1825" s="422"/>
      <c r="F1825" s="441" t="str">
        <f>VLOOKUP($B1825,[1]DG!A:D,[1]DG!$C$2,)</f>
        <v>Boulon mắt 16x300+ 2 long đền vuông D18-50x50x3/Zn</v>
      </c>
      <c r="G1825" s="422" t="str">
        <f>VLOOKUP($B1825,[1]DG!A:D,[1]DG!$D$2,)</f>
        <v>bộ</v>
      </c>
      <c r="H1825" s="435">
        <f t="shared" si="310"/>
        <v>0</v>
      </c>
      <c r="I1825" s="435"/>
      <c r="J1825" s="435"/>
      <c r="K1825" s="435">
        <f t="shared" si="311"/>
        <v>0</v>
      </c>
      <c r="L1825" s="435"/>
      <c r="M1825" s="435"/>
      <c r="N1825" s="435"/>
      <c r="O1825" s="435"/>
      <c r="P1825" s="435">
        <f t="shared" si="309"/>
        <v>0</v>
      </c>
      <c r="Q1825" s="442"/>
      <c r="R1825" s="442"/>
      <c r="S1825" s="442"/>
      <c r="T1825" s="432">
        <f>IFERROR(HLOOKUP(B1825,[1]pp3p1m!77:79,3,0),0)</f>
        <v>0</v>
      </c>
    </row>
    <row r="1826" spans="1:20" ht="22.2" hidden="1" customHeight="1">
      <c r="A1826" s="379"/>
      <c r="B1826" s="380" t="s">
        <v>899</v>
      </c>
      <c r="C1826" s="469" t="str">
        <f t="shared" si="303"/>
        <v xml:space="preserve"> </v>
      </c>
      <c r="D1826" s="510"/>
      <c r="E1826" s="422"/>
      <c r="F1826" s="441" t="str">
        <f>VLOOKUP($B1826,[1]DG!A:D,[1]DG!$C$2,)&amp;""</f>
        <v>Cổ dê bắt xà + bulon</v>
      </c>
      <c r="G1826" s="422" t="s">
        <v>375</v>
      </c>
      <c r="H1826" s="435">
        <f t="shared" si="310"/>
        <v>0</v>
      </c>
      <c r="I1826" s="435"/>
      <c r="J1826" s="435"/>
      <c r="K1826" s="435">
        <f t="shared" si="311"/>
        <v>0</v>
      </c>
      <c r="L1826" s="435"/>
      <c r="M1826" s="435"/>
      <c r="N1826" s="435"/>
      <c r="O1826" s="435"/>
      <c r="P1826" s="435">
        <f t="shared" si="309"/>
        <v>0</v>
      </c>
      <c r="Q1826" s="442"/>
      <c r="R1826" s="442"/>
      <c r="S1826" s="442"/>
      <c r="T1826" s="432">
        <f>IFERROR(HLOOKUP(B1826,[1]pp3p1m!78:80,3,0),0)</f>
        <v>0</v>
      </c>
    </row>
    <row r="1827" spans="1:20" ht="22.2" hidden="1" customHeight="1">
      <c r="A1827" s="379"/>
      <c r="B1827" s="380" t="s">
        <v>1246</v>
      </c>
      <c r="C1827" s="469" t="str">
        <f t="shared" si="303"/>
        <v xml:space="preserve"> </v>
      </c>
      <c r="D1827" s="510"/>
      <c r="E1827" s="422"/>
      <c r="F1827" s="441" t="str">
        <f>VLOOKUP($B1827,[1]DG!A:D,[1]DG!$C$2,)&amp;""</f>
        <v xml:space="preserve">Cổ dê giữ ống D140 vào trụ + Bulon </v>
      </c>
      <c r="G1827" s="422" t="s">
        <v>375</v>
      </c>
      <c r="H1827" s="435">
        <f t="shared" si="310"/>
        <v>0</v>
      </c>
      <c r="I1827" s="435"/>
      <c r="J1827" s="435"/>
      <c r="K1827" s="435">
        <f t="shared" si="311"/>
        <v>0</v>
      </c>
      <c r="L1827" s="435"/>
      <c r="M1827" s="435"/>
      <c r="N1827" s="435"/>
      <c r="O1827" s="435"/>
      <c r="P1827" s="435">
        <f t="shared" si="309"/>
        <v>0</v>
      </c>
      <c r="Q1827" s="442"/>
      <c r="R1827" s="442"/>
      <c r="S1827" s="442"/>
      <c r="T1827" s="432">
        <f>IFERROR(HLOOKUP(B1827,[1]pp3p1m!79:81,3,0),0)</f>
        <v>0</v>
      </c>
    </row>
    <row r="1828" spans="1:20" ht="22.2" hidden="1" customHeight="1">
      <c r="A1828" s="379"/>
      <c r="B1828" s="485" t="s">
        <v>1137</v>
      </c>
      <c r="C1828" s="469" t="str">
        <f t="shared" si="303"/>
        <v xml:space="preserve"> </v>
      </c>
      <c r="D1828" s="494"/>
      <c r="E1828" s="422"/>
      <c r="F1828" s="486" t="s">
        <v>1247</v>
      </c>
      <c r="G1828" s="422" t="s">
        <v>375</v>
      </c>
      <c r="H1828" s="429">
        <f>SUM(I1828:O1828)</f>
        <v>0</v>
      </c>
      <c r="I1828" s="435"/>
      <c r="J1828" s="435"/>
      <c r="K1828" s="430">
        <f>IFERROR(HLOOKUP(B1828,[1]pp3p1m!$1:$3,3,0),0)</f>
        <v>0</v>
      </c>
      <c r="L1828" s="435"/>
      <c r="M1828" s="435"/>
      <c r="N1828" s="435"/>
      <c r="O1828" s="435"/>
      <c r="P1828" s="435">
        <f t="shared" si="309"/>
        <v>0</v>
      </c>
      <c r="Q1828" s="442"/>
      <c r="R1828" s="442"/>
      <c r="S1828" s="442"/>
      <c r="T1828" s="432">
        <f>IFERROR(HLOOKUP(B1828,[1]pp3p1m!80:82,3,0),0)</f>
        <v>0</v>
      </c>
    </row>
    <row r="1829" spans="1:20" ht="22.2" hidden="1" customHeight="1">
      <c r="A1829" s="379"/>
      <c r="B1829" s="410" t="s">
        <v>934</v>
      </c>
      <c r="C1829" s="469" t="str">
        <f t="shared" si="303"/>
        <v xml:space="preserve"> </v>
      </c>
      <c r="D1829" s="439">
        <f>2.826*(3.14159*0.225+0.06*4)*D1828</f>
        <v>0</v>
      </c>
      <c r="E1829" s="422"/>
      <c r="F1829" s="441" t="str">
        <f>VLOOKUP($B1829,[1]DG!A:D,[1]DG!$C$2,)&amp;""</f>
        <v>Sắt dẹt 50x5</v>
      </c>
      <c r="G1829" s="422" t="str">
        <f>VLOOKUP($B1829,[1]DG!A:D,[1]DG!$D$2,)</f>
        <v>kg</v>
      </c>
      <c r="H1829" s="435"/>
      <c r="I1829" s="435"/>
      <c r="J1829" s="435"/>
      <c r="K1829" s="435"/>
      <c r="L1829" s="435"/>
      <c r="M1829" s="435"/>
      <c r="N1829" s="435"/>
      <c r="O1829" s="435"/>
      <c r="P1829" s="435">
        <f t="shared" si="309"/>
        <v>0</v>
      </c>
      <c r="Q1829" s="442"/>
      <c r="R1829" s="442"/>
      <c r="S1829" s="442"/>
      <c r="T1829" s="432">
        <f>IFERROR(HLOOKUP(B1829,[1]pp3p1m!81:83,3,0),0)</f>
        <v>0</v>
      </c>
    </row>
    <row r="1830" spans="1:20" ht="22.2" hidden="1" customHeight="1">
      <c r="A1830" s="379"/>
      <c r="B1830" s="410" t="s">
        <v>1248</v>
      </c>
      <c r="C1830" s="469" t="str">
        <f t="shared" si="303"/>
        <v xml:space="preserve"> </v>
      </c>
      <c r="D1830" s="494">
        <f t="shared" ref="D1830:D1870" si="312">K1830</f>
        <v>0</v>
      </c>
      <c r="E1830" s="422"/>
      <c r="F1830" s="441" t="str">
        <f>VLOOKUP($B1830,[1]DG!A:D,[1]DG!$C$2,)&amp;""</f>
        <v>Boulon 10x40+ 2 long đền vuông D12-50x50x3/Zn</v>
      </c>
      <c r="G1830" s="422" t="str">
        <f>VLOOKUP($B1830,[1]DG!A:D,[1]DG!$D$2,)</f>
        <v>bộ</v>
      </c>
      <c r="H1830" s="435"/>
      <c r="I1830" s="435"/>
      <c r="J1830" s="435"/>
      <c r="K1830" s="435"/>
      <c r="L1830" s="435"/>
      <c r="M1830" s="435"/>
      <c r="N1830" s="435"/>
      <c r="O1830" s="435"/>
      <c r="P1830" s="435">
        <f t="shared" si="309"/>
        <v>0</v>
      </c>
      <c r="Q1830" s="442"/>
      <c r="R1830" s="442"/>
      <c r="S1830" s="442"/>
      <c r="T1830" s="432">
        <f>IFERROR(HLOOKUP(B1830,[1]pp3p1m!82:84,3,0),0)</f>
        <v>0</v>
      </c>
    </row>
    <row r="1831" spans="1:20" ht="22.2" customHeight="1">
      <c r="A1831" s="511"/>
      <c r="B1831" s="512"/>
      <c r="C1831" s="469" t="str">
        <f>IF(SUM(I1831:O1831)&gt;0,"x","")</f>
        <v>x</v>
      </c>
      <c r="D1831" s="494">
        <f t="shared" si="312"/>
        <v>117</v>
      </c>
      <c r="E1831" s="513"/>
      <c r="F1831" s="486" t="s">
        <v>1249</v>
      </c>
      <c r="G1831" s="513"/>
      <c r="H1831" s="429">
        <f>IF(SUM(I1831:O1831)&gt;0,1,0)</f>
        <v>1</v>
      </c>
      <c r="I1831" s="430">
        <f>SUM(I1832:I1923)</f>
        <v>0</v>
      </c>
      <c r="J1831" s="430">
        <f t="shared" ref="J1831:O1831" si="313">SUM(J1832:J1923)</f>
        <v>0</v>
      </c>
      <c r="K1831" s="430">
        <f t="shared" si="313"/>
        <v>117</v>
      </c>
      <c r="L1831" s="430">
        <f>IFERROR(HLOOKUP(chitiet!B1831,[1]pp1p!$1:$3,3,0),0)</f>
        <v>0</v>
      </c>
      <c r="M1831" s="430">
        <f t="shared" si="313"/>
        <v>0</v>
      </c>
      <c r="N1831" s="430">
        <f t="shared" si="313"/>
        <v>0</v>
      </c>
      <c r="O1831" s="430">
        <f t="shared" si="313"/>
        <v>0</v>
      </c>
      <c r="P1831" s="514">
        <f>H1831</f>
        <v>1</v>
      </c>
      <c r="Q1831" s="515"/>
      <c r="R1831" s="515"/>
      <c r="S1831" s="515"/>
      <c r="T1831" s="432">
        <f>IFERROR(HLOOKUP(B1831,[1]pp3p1m!83:85,3,0),0)</f>
        <v>0</v>
      </c>
    </row>
    <row r="1832" spans="1:20" ht="22.2" hidden="1" customHeight="1">
      <c r="A1832" s="379"/>
      <c r="B1832" s="491" t="s">
        <v>1143</v>
      </c>
      <c r="C1832" s="469" t="str">
        <f>IF(OR(P1832&lt;&gt;0,H1832&lt;&gt;0),"x","")</f>
        <v/>
      </c>
      <c r="D1832" s="494">
        <f t="shared" si="312"/>
        <v>0</v>
      </c>
      <c r="E1832" s="422"/>
      <c r="F1832" s="441" t="str">
        <f>VLOOKUP($B1832,[1]DG!A:D,[1]DG!$C$2,)</f>
        <v>Khóa đỡ dây cỡ dây 240</v>
      </c>
      <c r="G1832" s="422" t="str">
        <f>VLOOKUP($B1832,[1]DG!A:D,[1]DG!$D$2,)</f>
        <v>cái</v>
      </c>
      <c r="H1832" s="435">
        <f>K1832</f>
        <v>0</v>
      </c>
      <c r="I1832" s="435"/>
      <c r="J1832" s="435"/>
      <c r="K1832" s="430">
        <f>IFERROR(HLOOKUP(B1832,[1]pp3p1m!$1:$3,3,0),0)</f>
        <v>0</v>
      </c>
      <c r="L1832" s="435"/>
      <c r="M1832" s="435"/>
      <c r="N1832" s="507"/>
      <c r="O1832" s="435"/>
      <c r="P1832" s="435">
        <f t="shared" ref="P1832:P1895" si="314">P$1831*$D1832</f>
        <v>0</v>
      </c>
      <c r="Q1832" s="435"/>
      <c r="R1832" s="435"/>
      <c r="S1832" s="442"/>
      <c r="T1832" s="432">
        <f>IFERROR(HLOOKUP(B1832,[1]pp3p1m!84:86,3,0),0)</f>
        <v>0</v>
      </c>
    </row>
    <row r="1833" spans="1:20" ht="22.2" hidden="1" customHeight="1">
      <c r="A1833" s="379"/>
      <c r="B1833" s="491" t="s">
        <v>1144</v>
      </c>
      <c r="C1833" s="469" t="str">
        <f t="shared" si="303"/>
        <v xml:space="preserve"> </v>
      </c>
      <c r="D1833" s="494">
        <f t="shared" si="312"/>
        <v>0</v>
      </c>
      <c r="E1833" s="422"/>
      <c r="F1833" s="441" t="str">
        <f>VLOOKUP($B1833,[1]DG!A:D,[1]DG!$C$2,)</f>
        <v>Khóa đỡ dây cỡ dây 185</v>
      </c>
      <c r="G1833" s="422" t="str">
        <f>VLOOKUP($B1833,[1]DG!A:D,[1]DG!$D$2,)</f>
        <v>cái</v>
      </c>
      <c r="H1833" s="435">
        <f t="shared" ref="H1833:H1898" si="315">K1833</f>
        <v>0</v>
      </c>
      <c r="I1833" s="435"/>
      <c r="J1833" s="435"/>
      <c r="K1833" s="430">
        <f>IFERROR(HLOOKUP(B1833,[1]pp3p1m!$1:$3,3,0),0)</f>
        <v>0</v>
      </c>
      <c r="L1833" s="435"/>
      <c r="M1833" s="435"/>
      <c r="N1833" s="435"/>
      <c r="O1833" s="435"/>
      <c r="P1833" s="435">
        <f t="shared" si="314"/>
        <v>0</v>
      </c>
      <c r="Q1833" s="442"/>
      <c r="R1833" s="442"/>
      <c r="S1833" s="442"/>
      <c r="T1833" s="432">
        <f>IFERROR(HLOOKUP(B1833,[1]pp3p1m!85:87,3,0),0)</f>
        <v>0</v>
      </c>
    </row>
    <row r="1834" spans="1:20" ht="22.2" hidden="1" customHeight="1">
      <c r="A1834" s="379"/>
      <c r="B1834" s="491" t="s">
        <v>1145</v>
      </c>
      <c r="C1834" s="469" t="str">
        <f t="shared" si="303"/>
        <v xml:space="preserve"> </v>
      </c>
      <c r="D1834" s="494">
        <f t="shared" si="312"/>
        <v>0</v>
      </c>
      <c r="E1834" s="422"/>
      <c r="F1834" s="441" t="str">
        <f>VLOOKUP($B1834,[1]DG!A:D,[1]DG!$C$2,)</f>
        <v>Khóa đỡ dây cỡ dây 150</v>
      </c>
      <c r="G1834" s="422" t="str">
        <f>VLOOKUP($B1834,[1]DG!A:D,[1]DG!$D$2,)</f>
        <v>cái</v>
      </c>
      <c r="H1834" s="435">
        <f t="shared" si="315"/>
        <v>0</v>
      </c>
      <c r="I1834" s="435"/>
      <c r="J1834" s="435"/>
      <c r="K1834" s="430">
        <f>IFERROR(HLOOKUP(B1834,[1]pp3p1m!$1:$3,3,0),0)</f>
        <v>0</v>
      </c>
      <c r="L1834" s="435"/>
      <c r="M1834" s="435"/>
      <c r="N1834" s="435"/>
      <c r="O1834" s="435"/>
      <c r="P1834" s="435">
        <f t="shared" si="314"/>
        <v>0</v>
      </c>
      <c r="Q1834" s="442"/>
      <c r="R1834" s="442"/>
      <c r="S1834" s="442"/>
      <c r="T1834" s="432">
        <f>IFERROR(HLOOKUP(B1834,[1]pp3p1m!86:88,3,0),0)</f>
        <v>0</v>
      </c>
    </row>
    <row r="1835" spans="1:20" ht="22.2" hidden="1" customHeight="1">
      <c r="A1835" s="379"/>
      <c r="B1835" s="491" t="s">
        <v>1146</v>
      </c>
      <c r="C1835" s="469" t="str">
        <f t="shared" si="303"/>
        <v xml:space="preserve"> </v>
      </c>
      <c r="D1835" s="494">
        <f t="shared" si="312"/>
        <v>0</v>
      </c>
      <c r="E1835" s="422"/>
      <c r="F1835" s="441" t="str">
        <f>VLOOKUP($B1835,[1]DG!A:D,[1]DG!$C$2,)</f>
        <v>Khóa đỡ dây cỡ dây 120</v>
      </c>
      <c r="G1835" s="422" t="str">
        <f>VLOOKUP($B1835,[1]DG!A:D,[1]DG!$D$2,)</f>
        <v>cái</v>
      </c>
      <c r="H1835" s="435">
        <f t="shared" si="315"/>
        <v>0</v>
      </c>
      <c r="I1835" s="435"/>
      <c r="J1835" s="435"/>
      <c r="K1835" s="430">
        <f>IFERROR(HLOOKUP(B1835,[1]pp3p1m!$1:$3,3,0),0)</f>
        <v>0</v>
      </c>
      <c r="L1835" s="435"/>
      <c r="M1835" s="435"/>
      <c r="N1835" s="435"/>
      <c r="O1835" s="435"/>
      <c r="P1835" s="435">
        <f t="shared" si="314"/>
        <v>0</v>
      </c>
      <c r="Q1835" s="442"/>
      <c r="R1835" s="442"/>
      <c r="S1835" s="442"/>
      <c r="T1835" s="432">
        <f>IFERROR(HLOOKUP(B1835,[1]pp3p1m!87:89,3,0),0)</f>
        <v>0</v>
      </c>
    </row>
    <row r="1836" spans="1:20" ht="22.2" hidden="1" customHeight="1">
      <c r="A1836" s="379"/>
      <c r="B1836" s="491" t="s">
        <v>1147</v>
      </c>
      <c r="C1836" s="469" t="str">
        <f t="shared" si="303"/>
        <v xml:space="preserve"> </v>
      </c>
      <c r="D1836" s="494">
        <f t="shared" si="312"/>
        <v>0</v>
      </c>
      <c r="E1836" s="422"/>
      <c r="F1836" s="441" t="str">
        <f>VLOOKUP($B1836,[1]DG!A:D,[1]DG!$C$2,)</f>
        <v>Khóa đỡ dây cỡ dây 95</v>
      </c>
      <c r="G1836" s="422" t="str">
        <f>VLOOKUP($B1836,[1]DG!A:D,[1]DG!$D$2,)</f>
        <v>cái</v>
      </c>
      <c r="H1836" s="435">
        <f t="shared" si="315"/>
        <v>0</v>
      </c>
      <c r="I1836" s="435"/>
      <c r="J1836" s="435"/>
      <c r="K1836" s="430">
        <f>IFERROR(HLOOKUP(B1836,[1]pp3p1m!$1:$3,3,0),0)</f>
        <v>0</v>
      </c>
      <c r="L1836" s="435"/>
      <c r="M1836" s="435"/>
      <c r="N1836" s="435"/>
      <c r="O1836" s="435"/>
      <c r="P1836" s="435">
        <f t="shared" si="314"/>
        <v>0</v>
      </c>
      <c r="Q1836" s="442"/>
      <c r="R1836" s="442"/>
      <c r="S1836" s="442"/>
      <c r="T1836" s="432">
        <f>IFERROR(HLOOKUP(B1836,[1]pp3p1m!88:90,3,0),0)</f>
        <v>0</v>
      </c>
    </row>
    <row r="1837" spans="1:20" ht="22.2" hidden="1" customHeight="1">
      <c r="A1837" s="379"/>
      <c r="B1837" s="491" t="s">
        <v>1148</v>
      </c>
      <c r="C1837" s="469" t="str">
        <f t="shared" si="303"/>
        <v xml:space="preserve"> </v>
      </c>
      <c r="D1837" s="494">
        <f t="shared" si="312"/>
        <v>0</v>
      </c>
      <c r="E1837" s="422"/>
      <c r="F1837" s="441" t="str">
        <f>VLOOKUP($B1837,[1]DG!A:D,[1]DG!$C$2,)</f>
        <v>Khóa đỡ dây cỡ dây 70</v>
      </c>
      <c r="G1837" s="422" t="str">
        <f>VLOOKUP($B1837,[1]DG!A:D,[1]DG!$D$2,)</f>
        <v>cái</v>
      </c>
      <c r="H1837" s="435">
        <f t="shared" si="315"/>
        <v>0</v>
      </c>
      <c r="I1837" s="435"/>
      <c r="J1837" s="435"/>
      <c r="K1837" s="430">
        <f>IFERROR(HLOOKUP(B1837,[1]pp3p1m!$1:$3,3,0),0)</f>
        <v>0</v>
      </c>
      <c r="L1837" s="435"/>
      <c r="M1837" s="435"/>
      <c r="N1837" s="435"/>
      <c r="O1837" s="435"/>
      <c r="P1837" s="435">
        <f t="shared" si="314"/>
        <v>0</v>
      </c>
      <c r="Q1837" s="442"/>
      <c r="R1837" s="442"/>
      <c r="S1837" s="442"/>
      <c r="T1837" s="432">
        <f>IFERROR(HLOOKUP(B1837,[1]pp3p1m!89:91,3,0),0)</f>
        <v>0</v>
      </c>
    </row>
    <row r="1838" spans="1:20" ht="22.2" hidden="1" customHeight="1">
      <c r="A1838" s="379"/>
      <c r="B1838" s="491" t="s">
        <v>1149</v>
      </c>
      <c r="C1838" s="469" t="str">
        <f t="shared" si="303"/>
        <v xml:space="preserve"> </v>
      </c>
      <c r="D1838" s="494">
        <f t="shared" si="312"/>
        <v>0</v>
      </c>
      <c r="E1838" s="422"/>
      <c r="F1838" s="441" t="str">
        <f>VLOOKUP($B1838,[1]DG!A:D,[1]DG!$C$2,)</f>
        <v>Khóa đỡ dây cỡ dây 50</v>
      </c>
      <c r="G1838" s="422" t="str">
        <f>VLOOKUP($B1838,[1]DG!A:D,[1]DG!$D$2,)</f>
        <v>cái</v>
      </c>
      <c r="H1838" s="435">
        <f t="shared" si="315"/>
        <v>0</v>
      </c>
      <c r="I1838" s="435"/>
      <c r="J1838" s="435"/>
      <c r="K1838" s="430">
        <f>IFERROR(HLOOKUP(B1838,[1]pp3p1m!$1:$3,3,0),0)</f>
        <v>0</v>
      </c>
      <c r="L1838" s="435"/>
      <c r="M1838" s="435"/>
      <c r="N1838" s="435"/>
      <c r="O1838" s="435"/>
      <c r="P1838" s="435">
        <f t="shared" si="314"/>
        <v>0</v>
      </c>
      <c r="Q1838" s="442"/>
      <c r="R1838" s="442"/>
      <c r="S1838" s="442"/>
      <c r="T1838" s="432">
        <f>IFERROR(HLOOKUP(B1838,[1]pp3p1m!90:92,3,0),0)</f>
        <v>0</v>
      </c>
    </row>
    <row r="1839" spans="1:20" ht="22.2" hidden="1" customHeight="1">
      <c r="A1839" s="379"/>
      <c r="B1839" s="491" t="s">
        <v>1150</v>
      </c>
      <c r="C1839" s="469" t="str">
        <f t="shared" si="303"/>
        <v xml:space="preserve"> </v>
      </c>
      <c r="D1839" s="494">
        <f t="shared" si="312"/>
        <v>0</v>
      </c>
      <c r="E1839" s="422"/>
      <c r="F1839" s="441" t="str">
        <f>VLOOKUP($B1839,[1]DG!A:D,[1]DG!$C$2,)</f>
        <v>Khóa néo dây cỡ dây 240</v>
      </c>
      <c r="G1839" s="422" t="str">
        <f>VLOOKUP($B1839,[1]DG!A:D,[1]DG!$D$2,)</f>
        <v>cái</v>
      </c>
      <c r="H1839" s="435">
        <f t="shared" si="315"/>
        <v>0</v>
      </c>
      <c r="I1839" s="435"/>
      <c r="J1839" s="435"/>
      <c r="K1839" s="430">
        <f>IFERROR(HLOOKUP(B1839,[1]pp3p1m!$1:$3,3,0),0)</f>
        <v>0</v>
      </c>
      <c r="L1839" s="435"/>
      <c r="M1839" s="435"/>
      <c r="N1839" s="435"/>
      <c r="O1839" s="435"/>
      <c r="P1839" s="435">
        <f t="shared" si="314"/>
        <v>0</v>
      </c>
      <c r="Q1839" s="442"/>
      <c r="R1839" s="442"/>
      <c r="S1839" s="442"/>
      <c r="T1839" s="432">
        <f>IFERROR(HLOOKUP(B1839,[1]pp3p1m!91:93,3,0),0)</f>
        <v>0</v>
      </c>
    </row>
    <row r="1840" spans="1:20" ht="22.2" hidden="1" customHeight="1">
      <c r="A1840" s="379"/>
      <c r="B1840" s="491" t="s">
        <v>1120</v>
      </c>
      <c r="C1840" s="469" t="str">
        <f t="shared" si="303"/>
        <v xml:space="preserve"> </v>
      </c>
      <c r="D1840" s="494">
        <f t="shared" si="312"/>
        <v>0</v>
      </c>
      <c r="E1840" s="422"/>
      <c r="F1840" s="441" t="str">
        <f>VLOOKUP($B1840,[1]DG!A:D,[1]DG!$C$2,)</f>
        <v>Khóa néo dây cỡ dây 50</v>
      </c>
      <c r="G1840" s="422" t="str">
        <f>VLOOKUP($B1840,[1]DG!A:D,[1]DG!$D$2,)</f>
        <v>cái</v>
      </c>
      <c r="H1840" s="435">
        <f t="shared" si="315"/>
        <v>0</v>
      </c>
      <c r="I1840" s="435"/>
      <c r="J1840" s="435"/>
      <c r="K1840" s="430">
        <f>IFERROR(HLOOKUP(B1840,[1]pp3p1m!$1:$3,3,0),0)</f>
        <v>0</v>
      </c>
      <c r="L1840" s="435"/>
      <c r="M1840" s="435"/>
      <c r="N1840" s="435"/>
      <c r="O1840" s="435"/>
      <c r="P1840" s="435">
        <f t="shared" si="314"/>
        <v>0</v>
      </c>
      <c r="Q1840" s="442"/>
      <c r="R1840" s="442"/>
      <c r="S1840" s="442"/>
      <c r="T1840" s="432">
        <f>IFERROR(HLOOKUP(B1840,[1]pp3p1m!92:94,3,0),0)</f>
        <v>0</v>
      </c>
    </row>
    <row r="1841" spans="1:20" ht="22.2" hidden="1" customHeight="1">
      <c r="A1841" s="379"/>
      <c r="B1841" s="491" t="s">
        <v>1151</v>
      </c>
      <c r="C1841" s="469" t="str">
        <f t="shared" si="303"/>
        <v xml:space="preserve"> </v>
      </c>
      <c r="D1841" s="494">
        <f t="shared" si="312"/>
        <v>0</v>
      </c>
      <c r="E1841" s="422"/>
      <c r="F1841" s="441" t="str">
        <f>VLOOKUP($B1841,[1]DG!A:D,[1]DG!$C$2,)</f>
        <v>Khóa néo dây cỡ dây 150</v>
      </c>
      <c r="G1841" s="422" t="str">
        <f>VLOOKUP($B1841,[1]DG!A:D,[1]DG!$D$2,)</f>
        <v>cái</v>
      </c>
      <c r="H1841" s="435">
        <f t="shared" si="315"/>
        <v>0</v>
      </c>
      <c r="I1841" s="435"/>
      <c r="J1841" s="435"/>
      <c r="K1841" s="430">
        <f>IFERROR(HLOOKUP(B1841,[1]pp3p1m!$1:$3,3,0),0)</f>
        <v>0</v>
      </c>
      <c r="L1841" s="435"/>
      <c r="M1841" s="435"/>
      <c r="N1841" s="435"/>
      <c r="O1841" s="435"/>
      <c r="P1841" s="435">
        <f t="shared" si="314"/>
        <v>0</v>
      </c>
      <c r="Q1841" s="442"/>
      <c r="R1841" s="442"/>
      <c r="S1841" s="442"/>
      <c r="T1841" s="432">
        <f>IFERROR(HLOOKUP(B1841,[1]pp3p1m!93:95,3,0),0)</f>
        <v>0</v>
      </c>
    </row>
    <row r="1842" spans="1:20" ht="22.2" hidden="1" customHeight="1">
      <c r="A1842" s="379"/>
      <c r="B1842" s="491" t="s">
        <v>1152</v>
      </c>
      <c r="C1842" s="469" t="str">
        <f t="shared" si="303"/>
        <v xml:space="preserve"> </v>
      </c>
      <c r="D1842" s="494">
        <f t="shared" si="312"/>
        <v>0</v>
      </c>
      <c r="E1842" s="422"/>
      <c r="F1842" s="441" t="str">
        <f>VLOOKUP($B1842,[1]DG!A:D,[1]DG!$C$2,)</f>
        <v>Khóa néo dây cỡ dây 120</v>
      </c>
      <c r="G1842" s="422" t="str">
        <f>VLOOKUP($B1842,[1]DG!A:D,[1]DG!$D$2,)</f>
        <v>cái</v>
      </c>
      <c r="H1842" s="435">
        <f t="shared" si="315"/>
        <v>0</v>
      </c>
      <c r="I1842" s="435"/>
      <c r="J1842" s="435"/>
      <c r="K1842" s="430">
        <f>IFERROR(HLOOKUP(B1842,[1]pp3p1m!$1:$3,3,0),0)</f>
        <v>0</v>
      </c>
      <c r="L1842" s="435"/>
      <c r="M1842" s="435"/>
      <c r="N1842" s="435"/>
      <c r="O1842" s="435"/>
      <c r="P1842" s="435">
        <f t="shared" si="314"/>
        <v>0</v>
      </c>
      <c r="Q1842" s="442"/>
      <c r="R1842" s="442"/>
      <c r="S1842" s="442"/>
      <c r="T1842" s="432">
        <f>IFERROR(HLOOKUP(B1842,[1]pp3p1m!94:96,3,0),0)</f>
        <v>0</v>
      </c>
    </row>
    <row r="1843" spans="1:20" ht="22.2" hidden="1" customHeight="1">
      <c r="A1843" s="379"/>
      <c r="B1843" s="491" t="s">
        <v>1153</v>
      </c>
      <c r="C1843" s="469" t="str">
        <f t="shared" si="303"/>
        <v xml:space="preserve"> </v>
      </c>
      <c r="D1843" s="494">
        <f t="shared" si="312"/>
        <v>0</v>
      </c>
      <c r="E1843" s="422"/>
      <c r="F1843" s="441" t="str">
        <f>VLOOKUP($B1843,[1]DG!A:D,[1]DG!$C$2,)</f>
        <v>Khóa néo dây cỡ dây 95</v>
      </c>
      <c r="G1843" s="422" t="str">
        <f>VLOOKUP($B1843,[1]DG!A:D,[1]DG!$D$2,)</f>
        <v>cái</v>
      </c>
      <c r="H1843" s="435">
        <f t="shared" si="315"/>
        <v>0</v>
      </c>
      <c r="I1843" s="435"/>
      <c r="J1843" s="435"/>
      <c r="K1843" s="430">
        <f>IFERROR(HLOOKUP(B1843,[1]pp3p1m!$1:$3,3,0),0)</f>
        <v>0</v>
      </c>
      <c r="L1843" s="435"/>
      <c r="M1843" s="435"/>
      <c r="N1843" s="435"/>
      <c r="O1843" s="435"/>
      <c r="P1843" s="435">
        <f t="shared" si="314"/>
        <v>0</v>
      </c>
      <c r="Q1843" s="442"/>
      <c r="R1843" s="442"/>
      <c r="S1843" s="442"/>
      <c r="T1843" s="432">
        <f>IFERROR(HLOOKUP(B1843,[1]pp3p1m!95:97,3,0),0)</f>
        <v>0</v>
      </c>
    </row>
    <row r="1844" spans="1:20" ht="22.2" hidden="1" customHeight="1">
      <c r="A1844" s="379"/>
      <c r="B1844" s="491" t="s">
        <v>1154</v>
      </c>
      <c r="C1844" s="469" t="str">
        <f t="shared" si="303"/>
        <v xml:space="preserve"> </v>
      </c>
      <c r="D1844" s="494">
        <f t="shared" si="312"/>
        <v>0</v>
      </c>
      <c r="E1844" s="422"/>
      <c r="F1844" s="441" t="str">
        <f>VLOOKUP($B1844,[1]DG!A:D,[1]DG!$C$2,)</f>
        <v>Khóa néo dây cỡ dây 70</v>
      </c>
      <c r="G1844" s="422" t="str">
        <f>VLOOKUP($B1844,[1]DG!A:D,[1]DG!$D$2,)</f>
        <v>cái</v>
      </c>
      <c r="H1844" s="435">
        <f t="shared" si="315"/>
        <v>0</v>
      </c>
      <c r="I1844" s="435"/>
      <c r="J1844" s="435"/>
      <c r="K1844" s="430">
        <f>IFERROR(HLOOKUP(B1844,[1]pp3p1m!$1:$3,3,0),0)</f>
        <v>0</v>
      </c>
      <c r="L1844" s="435"/>
      <c r="M1844" s="435"/>
      <c r="N1844" s="435"/>
      <c r="O1844" s="435"/>
      <c r="P1844" s="435">
        <f t="shared" si="314"/>
        <v>0</v>
      </c>
      <c r="Q1844" s="442"/>
      <c r="R1844" s="442"/>
      <c r="S1844" s="442"/>
      <c r="T1844" s="432">
        <f>IFERROR(HLOOKUP(B1844,[1]pp3p1m!96:98,3,0),0)</f>
        <v>0</v>
      </c>
    </row>
    <row r="1845" spans="1:20" ht="22.2" hidden="1" customHeight="1">
      <c r="A1845" s="379"/>
      <c r="B1845" s="516" t="s">
        <v>1155</v>
      </c>
      <c r="C1845" s="469" t="str">
        <f t="shared" si="303"/>
        <v xml:space="preserve"> </v>
      </c>
      <c r="D1845" s="494">
        <f t="shared" si="312"/>
        <v>0</v>
      </c>
      <c r="E1845" s="422"/>
      <c r="F1845" s="441" t="str">
        <f>VLOOKUP($B1845,[1]DG!A:D,[1]DG!$C$2,)</f>
        <v>Khóa néo dây cỡ dây 50</v>
      </c>
      <c r="G1845" s="422" t="str">
        <f>VLOOKUP($B1845,[1]DG!A:D,[1]DG!$D$2,)</f>
        <v>cái</v>
      </c>
      <c r="H1845" s="435">
        <f t="shared" si="315"/>
        <v>0</v>
      </c>
      <c r="I1845" s="435"/>
      <c r="J1845" s="435"/>
      <c r="K1845" s="430">
        <f>IFERROR(HLOOKUP(B1845,[1]pp3p1m!$1:$3,3,0),0)</f>
        <v>0</v>
      </c>
      <c r="L1845" s="435"/>
      <c r="M1845" s="435"/>
      <c r="N1845" s="435"/>
      <c r="O1845" s="435"/>
      <c r="P1845" s="435">
        <f t="shared" si="314"/>
        <v>0</v>
      </c>
      <c r="Q1845" s="442"/>
      <c r="R1845" s="442"/>
      <c r="S1845" s="442"/>
      <c r="T1845" s="432">
        <f>IFERROR(HLOOKUP(B1845,[1]pp3p1m!97:99,3,0),0)</f>
        <v>0</v>
      </c>
    </row>
    <row r="1846" spans="1:20" ht="22.2" hidden="1" customHeight="1">
      <c r="A1846" s="379"/>
      <c r="B1846" s="491" t="s">
        <v>154</v>
      </c>
      <c r="C1846" s="469" t="str">
        <f t="shared" si="303"/>
        <v xml:space="preserve"> </v>
      </c>
      <c r="D1846" s="494">
        <f t="shared" si="312"/>
        <v>0</v>
      </c>
      <c r="E1846" s="422"/>
      <c r="F1846" s="441" t="str">
        <f>VLOOKUP($B1846,[1]DG!A:D,[1]DG!$C$2,)</f>
        <v>Ốc siết cáp cỡ 25mm2</v>
      </c>
      <c r="G1846" s="422" t="str">
        <f>VLOOKUP($B1846,[1]DG!A:D,[1]DG!$D$2,)</f>
        <v>cái</v>
      </c>
      <c r="H1846" s="435">
        <f t="shared" si="315"/>
        <v>0</v>
      </c>
      <c r="I1846" s="435"/>
      <c r="J1846" s="435"/>
      <c r="K1846" s="430">
        <f>IFERROR(HLOOKUP(B1846,[1]pp3p1m!$1:$3,3,0),0)</f>
        <v>0</v>
      </c>
      <c r="L1846" s="435"/>
      <c r="M1846" s="435"/>
      <c r="N1846" s="435"/>
      <c r="O1846" s="435"/>
      <c r="P1846" s="435">
        <f t="shared" si="314"/>
        <v>0</v>
      </c>
      <c r="Q1846" s="442"/>
      <c r="R1846" s="442"/>
      <c r="S1846" s="442"/>
      <c r="T1846" s="432">
        <f>IFERROR(HLOOKUP(B1846,[1]pp3p1m!98:100,3,0),0)</f>
        <v>0</v>
      </c>
    </row>
    <row r="1847" spans="1:20" ht="22.2" hidden="1" customHeight="1">
      <c r="A1847" s="379"/>
      <c r="B1847" s="491" t="s">
        <v>1250</v>
      </c>
      <c r="C1847" s="469" t="str">
        <f t="shared" si="303"/>
        <v xml:space="preserve"> </v>
      </c>
      <c r="D1847" s="494">
        <f t="shared" si="312"/>
        <v>0</v>
      </c>
      <c r="E1847" s="422"/>
      <c r="F1847" s="441" t="str">
        <f>VLOOKUP($B1847,[1]DG!A:D,[1]DG!$C$2,)</f>
        <v xml:space="preserve">Ốc siết cáp cỡ 50mm2 </v>
      </c>
      <c r="G1847" s="422" t="str">
        <f>VLOOKUP($B1847,[1]DG!A:D,[1]DG!$D$2,)</f>
        <v>cái</v>
      </c>
      <c r="H1847" s="435">
        <f t="shared" si="315"/>
        <v>0</v>
      </c>
      <c r="I1847" s="435"/>
      <c r="J1847" s="435"/>
      <c r="K1847" s="430">
        <f>IFERROR(HLOOKUP(B1847,[1]pp3p1m!$1:$3,3,0),0)</f>
        <v>0</v>
      </c>
      <c r="L1847" s="435"/>
      <c r="M1847" s="435"/>
      <c r="N1847" s="435"/>
      <c r="O1847" s="435"/>
      <c r="P1847" s="435">
        <f t="shared" si="314"/>
        <v>0</v>
      </c>
      <c r="Q1847" s="442"/>
      <c r="R1847" s="442"/>
      <c r="S1847" s="442"/>
      <c r="T1847" s="432">
        <f>IFERROR(HLOOKUP(B1847,[1]pp3p1m!99:101,3,0),0)</f>
        <v>0</v>
      </c>
    </row>
    <row r="1848" spans="1:20" ht="22.2" hidden="1" customHeight="1">
      <c r="A1848" s="379"/>
      <c r="B1848" s="491" t="s">
        <v>1251</v>
      </c>
      <c r="C1848" s="469" t="str">
        <f t="shared" si="303"/>
        <v xml:space="preserve"> </v>
      </c>
      <c r="D1848" s="494">
        <f t="shared" si="312"/>
        <v>0</v>
      </c>
      <c r="E1848" s="422"/>
      <c r="F1848" s="441" t="str">
        <f>VLOOKUP($B1848,[1]DG!A:D,[1]DG!$C$2,)</f>
        <v>Kẹp ép WR cỡ dây 35mm2</v>
      </c>
      <c r="G1848" s="422" t="str">
        <f>VLOOKUP($B1848,[1]DG!A:D,[1]DG!$D$2,)</f>
        <v>cái</v>
      </c>
      <c r="H1848" s="435">
        <f t="shared" si="315"/>
        <v>0</v>
      </c>
      <c r="I1848" s="435"/>
      <c r="J1848" s="435"/>
      <c r="K1848" s="430">
        <f>IFERROR(HLOOKUP(B1848,[1]pp3p1m!$1:$3,3,0),0)</f>
        <v>0</v>
      </c>
      <c r="L1848" s="435"/>
      <c r="M1848" s="435"/>
      <c r="N1848" s="435"/>
      <c r="O1848" s="435"/>
      <c r="P1848" s="435">
        <f t="shared" si="314"/>
        <v>0</v>
      </c>
      <c r="Q1848" s="442"/>
      <c r="R1848" s="442"/>
      <c r="S1848" s="442"/>
      <c r="T1848" s="432">
        <f>IFERROR(HLOOKUP(B1848,[1]pp3p1m!100:102,3,0),0)</f>
        <v>0</v>
      </c>
    </row>
    <row r="1849" spans="1:20" ht="22.2" hidden="1" customHeight="1">
      <c r="B1849" s="496" t="s">
        <v>84</v>
      </c>
      <c r="C1849" s="465" t="str">
        <f t="shared" si="303"/>
        <v>x</v>
      </c>
      <c r="D1849" s="494">
        <f t="shared" si="312"/>
        <v>18</v>
      </c>
      <c r="E1849" s="422"/>
      <c r="F1849" s="441" t="str">
        <f>VLOOKUP($B1849,[1]DG!A:D,[1]DG!$C$2,)</f>
        <v>Kẹp ép WR cỡ dây 50mm2</v>
      </c>
      <c r="G1849" s="422" t="str">
        <f>VLOOKUP($B1849,[1]DG!A:D,[1]DG!$D$2,)</f>
        <v>cái</v>
      </c>
      <c r="H1849" s="435">
        <f>D1849</f>
        <v>18</v>
      </c>
      <c r="I1849" s="435"/>
      <c r="J1849" s="435"/>
      <c r="K1849" s="430">
        <f>IFERROR(HLOOKUP(B1849,[1]pp3p1m!$1:$3,3,0),0)</f>
        <v>18</v>
      </c>
      <c r="L1849" s="435"/>
      <c r="M1849" s="435"/>
      <c r="N1849" s="435"/>
      <c r="O1849" s="435"/>
      <c r="P1849" s="435">
        <f>T1849</f>
        <v>18</v>
      </c>
      <c r="Q1849" s="442"/>
      <c r="R1849" s="442"/>
      <c r="S1849" s="442"/>
      <c r="T1849" s="432">
        <f>IFERROR(HLOOKUP(B1849,[1]pp3p1m!$1:$3,3,0),0)</f>
        <v>18</v>
      </c>
    </row>
    <row r="1850" spans="1:20" ht="22.2" hidden="1" customHeight="1">
      <c r="A1850" s="379"/>
      <c r="B1850" s="491" t="s">
        <v>1252</v>
      </c>
      <c r="C1850" s="469" t="str">
        <f t="shared" si="303"/>
        <v xml:space="preserve"> </v>
      </c>
      <c r="D1850" s="494">
        <f t="shared" si="312"/>
        <v>0</v>
      </c>
      <c r="E1850" s="422"/>
      <c r="F1850" s="441" t="str">
        <f>VLOOKUP($B1850,[1]DG!A:D,[1]DG!$C$2,)</f>
        <v>Kẹp ép WR cỡ dây 70mm2</v>
      </c>
      <c r="G1850" s="422" t="str">
        <f>VLOOKUP($B1850,[1]DG!A:D,[1]DG!$D$2,)</f>
        <v>cái</v>
      </c>
      <c r="H1850" s="435">
        <f t="shared" si="315"/>
        <v>0</v>
      </c>
      <c r="I1850" s="435"/>
      <c r="J1850" s="435"/>
      <c r="K1850" s="430">
        <f>IFERROR(HLOOKUP(B1850,[1]pp3p1m!$1:$3,3,0),0)</f>
        <v>0</v>
      </c>
      <c r="L1850" s="435"/>
      <c r="M1850" s="435"/>
      <c r="N1850" s="435"/>
      <c r="O1850" s="435"/>
      <c r="P1850" s="435">
        <f t="shared" si="314"/>
        <v>0</v>
      </c>
      <c r="Q1850" s="442"/>
      <c r="R1850" s="442"/>
      <c r="S1850" s="442"/>
      <c r="T1850" s="432">
        <f>IFERROR(HLOOKUP(B1850,[1]pp3p1m!102:104,3,0),0)</f>
        <v>0</v>
      </c>
    </row>
    <row r="1851" spans="1:20" ht="22.2" hidden="1" customHeight="1">
      <c r="A1851" s="379"/>
      <c r="B1851" s="491" t="s">
        <v>1159</v>
      </c>
      <c r="C1851" s="469" t="str">
        <f t="shared" ref="C1851:C1918" si="316">IF(OR(P1851&lt;&gt;0,H1851&lt;&gt;0),"x"," ")</f>
        <v xml:space="preserve"> </v>
      </c>
      <c r="D1851" s="494">
        <f t="shared" si="312"/>
        <v>0</v>
      </c>
      <c r="E1851" s="422"/>
      <c r="F1851" s="441" t="str">
        <f>VLOOKUP($B1851,[1]DG!A:D,[1]DG!$C$2,)</f>
        <v>Kẹp ép WR cỡ dây 95mm2</v>
      </c>
      <c r="G1851" s="422" t="str">
        <f>VLOOKUP($B1851,[1]DG!A:D,[1]DG!$D$2,)</f>
        <v>cái</v>
      </c>
      <c r="H1851" s="435">
        <f t="shared" si="315"/>
        <v>0</v>
      </c>
      <c r="I1851" s="435"/>
      <c r="J1851" s="435"/>
      <c r="K1851" s="430">
        <f>IFERROR(HLOOKUP(B1851,[1]pp3p1m!$1:$3,3,0),0)</f>
        <v>0</v>
      </c>
      <c r="L1851" s="435"/>
      <c r="M1851" s="435"/>
      <c r="N1851" s="435"/>
      <c r="O1851" s="435"/>
      <c r="P1851" s="435">
        <f t="shared" si="314"/>
        <v>0</v>
      </c>
      <c r="Q1851" s="442"/>
      <c r="R1851" s="442"/>
      <c r="S1851" s="442"/>
      <c r="T1851" s="432">
        <f>IFERROR(HLOOKUP(B1851,[1]pp3p1m!103:105,3,0),0)</f>
        <v>0</v>
      </c>
    </row>
    <row r="1852" spans="1:20" ht="22.2" hidden="1" customHeight="1">
      <c r="A1852" s="379"/>
      <c r="B1852" s="491" t="s">
        <v>128</v>
      </c>
      <c r="C1852" s="469" t="str">
        <f t="shared" si="316"/>
        <v xml:space="preserve"> </v>
      </c>
      <c r="D1852" s="494">
        <f t="shared" si="312"/>
        <v>0</v>
      </c>
      <c r="E1852" s="422"/>
      <c r="F1852" s="441" t="str">
        <f>VLOOKUP($B1852,[1]DG!A:D,[1]DG!$C$2,)</f>
        <v>Kẹp ép WR cỡ dây 120mm2</v>
      </c>
      <c r="G1852" s="422" t="str">
        <f>VLOOKUP($B1852,[1]DG!A:D,[1]DG!$D$2,)</f>
        <v>cái</v>
      </c>
      <c r="H1852" s="435">
        <f t="shared" si="315"/>
        <v>0</v>
      </c>
      <c r="I1852" s="435">
        <f>H1852</f>
        <v>0</v>
      </c>
      <c r="J1852" s="435"/>
      <c r="K1852" s="430">
        <f>IFERROR(HLOOKUP(B1852,[1]pp3p1m!$1:$3,3,0),0)</f>
        <v>0</v>
      </c>
      <c r="L1852" s="435"/>
      <c r="M1852" s="435"/>
      <c r="N1852" s="435"/>
      <c r="O1852" s="435"/>
      <c r="P1852" s="435">
        <f>H1852</f>
        <v>0</v>
      </c>
      <c r="Q1852" s="442"/>
      <c r="R1852" s="442"/>
      <c r="S1852" s="442"/>
      <c r="T1852" s="432">
        <f>IFERROR(HLOOKUP(B1852,[1]pp3p1m!104:106,3,0),0)</f>
        <v>0</v>
      </c>
    </row>
    <row r="1853" spans="1:20" ht="22.2" hidden="1" customHeight="1">
      <c r="A1853" s="379"/>
      <c r="B1853" s="491" t="s">
        <v>325</v>
      </c>
      <c r="C1853" s="469" t="str">
        <f t="shared" si="316"/>
        <v xml:space="preserve"> </v>
      </c>
      <c r="D1853" s="494">
        <f t="shared" si="312"/>
        <v>0</v>
      </c>
      <c r="E1853" s="422"/>
      <c r="F1853" s="441" t="str">
        <f>VLOOKUP($B1853,[1]DG!A:D,[1]DG!$C$2,)</f>
        <v>Kẹp ép WR cỡ dây 150mm2</v>
      </c>
      <c r="G1853" s="422" t="str">
        <f>VLOOKUP($B1853,[1]DG!A:D,[1]DG!$D$2,)</f>
        <v>cái</v>
      </c>
      <c r="H1853" s="435">
        <f t="shared" si="315"/>
        <v>0</v>
      </c>
      <c r="I1853" s="435"/>
      <c r="J1853" s="435"/>
      <c r="K1853" s="430">
        <f>IFERROR(HLOOKUP(B1853,[1]pp3p1m!$1:$3,3,0),0)</f>
        <v>0</v>
      </c>
      <c r="L1853" s="435"/>
      <c r="M1853" s="435"/>
      <c r="N1853" s="435"/>
      <c r="O1853" s="435"/>
      <c r="P1853" s="435">
        <f t="shared" si="314"/>
        <v>0</v>
      </c>
      <c r="Q1853" s="442"/>
      <c r="R1853" s="442"/>
      <c r="S1853" s="442"/>
      <c r="T1853" s="432">
        <f>IFERROR(HLOOKUP(B1853,[1]pp3p1m!105:107,3,0),0)</f>
        <v>0</v>
      </c>
    </row>
    <row r="1854" spans="1:20" ht="22.2" hidden="1" customHeight="1">
      <c r="A1854" s="379"/>
      <c r="B1854" s="491" t="s">
        <v>1161</v>
      </c>
      <c r="C1854" s="469" t="str">
        <f t="shared" si="316"/>
        <v xml:space="preserve"> </v>
      </c>
      <c r="D1854" s="494">
        <f t="shared" si="312"/>
        <v>0</v>
      </c>
      <c r="E1854" s="422"/>
      <c r="F1854" s="441" t="str">
        <f>VLOOKUP($B1854,[1]DG!A:D,[1]DG!$C$2,)</f>
        <v>Kẹp ép WR cỡ dây 185mm2</v>
      </c>
      <c r="G1854" s="422" t="str">
        <f>VLOOKUP($B1854,[1]DG!A:D,[1]DG!$D$2,)</f>
        <v>cái</v>
      </c>
      <c r="H1854" s="435">
        <f t="shared" si="315"/>
        <v>0</v>
      </c>
      <c r="I1854" s="435"/>
      <c r="J1854" s="435"/>
      <c r="K1854" s="430">
        <f>IFERROR(HLOOKUP(B1854,[1]pp3p1m!$1:$3,3,0),0)</f>
        <v>0</v>
      </c>
      <c r="L1854" s="435"/>
      <c r="M1854" s="435"/>
      <c r="N1854" s="435"/>
      <c r="O1854" s="435"/>
      <c r="P1854" s="435">
        <f t="shared" si="314"/>
        <v>0</v>
      </c>
      <c r="Q1854" s="442"/>
      <c r="R1854" s="442"/>
      <c r="S1854" s="442"/>
      <c r="T1854" s="432">
        <f>IFERROR(HLOOKUP(B1854,[1]pp3p1m!106:108,3,0),0)</f>
        <v>0</v>
      </c>
    </row>
    <row r="1855" spans="1:20" ht="22.2" hidden="1" customHeight="1">
      <c r="A1855" s="379"/>
      <c r="B1855" s="491" t="s">
        <v>1223</v>
      </c>
      <c r="C1855" s="469" t="str">
        <f t="shared" si="316"/>
        <v xml:space="preserve"> </v>
      </c>
      <c r="D1855" s="494">
        <f t="shared" si="312"/>
        <v>0</v>
      </c>
      <c r="E1855" s="422"/>
      <c r="F1855" s="441" t="str">
        <f>VLOOKUP($B1855,[1]DG!A:D,[1]DG!$C$2,)</f>
        <v>Kẹp ép WR cỡ dây 240mm2</v>
      </c>
      <c r="G1855" s="422" t="str">
        <f>VLOOKUP($B1855,[1]DG!A:D,[1]DG!$D$2,)</f>
        <v>cái</v>
      </c>
      <c r="H1855" s="435">
        <f t="shared" si="315"/>
        <v>0</v>
      </c>
      <c r="I1855" s="435"/>
      <c r="J1855" s="435"/>
      <c r="K1855" s="430">
        <f>IFERROR(HLOOKUP(B1855,[1]pp3p1m!$1:$3,3,0),0)</f>
        <v>0</v>
      </c>
      <c r="L1855" s="435"/>
      <c r="M1855" s="435"/>
      <c r="N1855" s="435"/>
      <c r="O1855" s="435"/>
      <c r="P1855" s="435">
        <f t="shared" si="314"/>
        <v>0</v>
      </c>
      <c r="Q1855" s="442"/>
      <c r="R1855" s="442"/>
      <c r="S1855" s="442"/>
      <c r="T1855" s="432">
        <f>IFERROR(HLOOKUP(B1855,[1]pp3p1m!107:109,3,0),0)</f>
        <v>0</v>
      </c>
    </row>
    <row r="1856" spans="1:20" ht="22.2" hidden="1" customHeight="1">
      <c r="A1856" s="379"/>
      <c r="B1856" s="491" t="s">
        <v>1156</v>
      </c>
      <c r="C1856" s="469" t="str">
        <f t="shared" si="316"/>
        <v xml:space="preserve"> </v>
      </c>
      <c r="D1856" s="494">
        <f t="shared" si="312"/>
        <v>0</v>
      </c>
      <c r="E1856" s="422"/>
      <c r="F1856" s="441" t="str">
        <f>VLOOKUP($B1856,[1]DG!A:D,[1]DG!$C$2,)</f>
        <v>Kẹp 2 rãnh (APC) cỡ dây 50mm2</v>
      </c>
      <c r="G1856" s="422" t="str">
        <f>VLOOKUP($B1856,[1]DG!A:D,[1]DG!$D$2,)</f>
        <v>cái</v>
      </c>
      <c r="H1856" s="435">
        <f t="shared" si="315"/>
        <v>0</v>
      </c>
      <c r="I1856" s="435"/>
      <c r="J1856" s="435"/>
      <c r="K1856" s="430">
        <f>IFERROR(HLOOKUP(B1856,[1]pp3p1m!$1:$3,3,0),0)</f>
        <v>0</v>
      </c>
      <c r="L1856" s="435"/>
      <c r="M1856" s="435"/>
      <c r="N1856" s="435"/>
      <c r="O1856" s="435"/>
      <c r="P1856" s="435">
        <f t="shared" si="314"/>
        <v>0</v>
      </c>
      <c r="Q1856" s="442"/>
      <c r="R1856" s="442"/>
      <c r="S1856" s="442"/>
      <c r="T1856" s="432">
        <f>IFERROR(HLOOKUP(B1856,[1]pp3p1m!108:110,3,0),0)</f>
        <v>0</v>
      </c>
    </row>
    <row r="1857" spans="1:20" ht="22.2" hidden="1" customHeight="1">
      <c r="A1857" s="379"/>
      <c r="B1857" s="491" t="s">
        <v>1157</v>
      </c>
      <c r="C1857" s="469" t="str">
        <f t="shared" si="316"/>
        <v xml:space="preserve"> </v>
      </c>
      <c r="D1857" s="494">
        <f t="shared" si="312"/>
        <v>0</v>
      </c>
      <c r="E1857" s="422"/>
      <c r="F1857" s="441" t="str">
        <f>VLOOKUP($B1857,[1]DG!A:D,[1]DG!$C$2,)</f>
        <v>Kẹp 2 rãnh (APC) cỡ dây 70mm2</v>
      </c>
      <c r="G1857" s="422" t="str">
        <f>VLOOKUP($B1857,[1]DG!A:D,[1]DG!$D$2,)</f>
        <v>cái</v>
      </c>
      <c r="H1857" s="435">
        <f t="shared" si="315"/>
        <v>0</v>
      </c>
      <c r="I1857" s="435"/>
      <c r="J1857" s="435"/>
      <c r="K1857" s="430">
        <f>IFERROR(HLOOKUP(B1857,[1]pp3p1m!$1:$3,3,0),0)</f>
        <v>0</v>
      </c>
      <c r="L1857" s="435"/>
      <c r="M1857" s="435"/>
      <c r="N1857" s="435"/>
      <c r="O1857" s="435"/>
      <c r="P1857" s="435">
        <f t="shared" si="314"/>
        <v>0</v>
      </c>
      <c r="Q1857" s="442"/>
      <c r="R1857" s="442"/>
      <c r="S1857" s="442"/>
      <c r="T1857" s="432">
        <f>IFERROR(HLOOKUP(B1857,[1]pp3p1m!109:111,3,0),0)</f>
        <v>0</v>
      </c>
    </row>
    <row r="1858" spans="1:20" ht="22.2" hidden="1" customHeight="1">
      <c r="A1858" s="379"/>
      <c r="B1858" s="491" t="s">
        <v>1158</v>
      </c>
      <c r="C1858" s="469" t="str">
        <f t="shared" si="316"/>
        <v xml:space="preserve"> </v>
      </c>
      <c r="D1858" s="494">
        <f t="shared" si="312"/>
        <v>0</v>
      </c>
      <c r="E1858" s="422"/>
      <c r="F1858" s="441" t="str">
        <f>VLOOKUP($B1858,[1]DG!A:D,[1]DG!$C$2,)</f>
        <v>Kẹp 2 rãnh (APC) cỡ dây 95mm2</v>
      </c>
      <c r="G1858" s="422" t="str">
        <f>VLOOKUP($B1858,[1]DG!A:D,[1]DG!$D$2,)</f>
        <v>cái</v>
      </c>
      <c r="H1858" s="435">
        <f t="shared" si="315"/>
        <v>0</v>
      </c>
      <c r="I1858" s="435"/>
      <c r="J1858" s="435"/>
      <c r="K1858" s="430">
        <f>IFERROR(HLOOKUP(B1858,[1]pp3p1m!$1:$3,3,0),0)</f>
        <v>0</v>
      </c>
      <c r="L1858" s="435"/>
      <c r="M1858" s="435"/>
      <c r="N1858" s="435"/>
      <c r="O1858" s="435"/>
      <c r="P1858" s="435">
        <f t="shared" si="314"/>
        <v>0</v>
      </c>
      <c r="Q1858" s="442"/>
      <c r="R1858" s="442"/>
      <c r="S1858" s="442"/>
      <c r="T1858" s="432">
        <f>IFERROR(HLOOKUP(B1858,[1]pp3p1m!110:112,3,0),0)</f>
        <v>0</v>
      </c>
    </row>
    <row r="1859" spans="1:20" ht="22.2" hidden="1" customHeight="1">
      <c r="A1859" s="379"/>
      <c r="B1859" s="491" t="s">
        <v>1253</v>
      </c>
      <c r="C1859" s="469" t="str">
        <f t="shared" si="316"/>
        <v xml:space="preserve"> </v>
      </c>
      <c r="D1859" s="494">
        <f t="shared" si="312"/>
        <v>0</v>
      </c>
      <c r="E1859" s="422"/>
      <c r="F1859" s="441" t="str">
        <f>VLOOKUP($B1859,[1]DG!A:D,[1]DG!$C$2,)</f>
        <v>Kẹp 2 rãnh (APC) cỡ dây 150mm2</v>
      </c>
      <c r="G1859" s="422" t="str">
        <f>VLOOKUP($B1859,[1]DG!A:D,[1]DG!$D$2,)</f>
        <v>cái</v>
      </c>
      <c r="H1859" s="435">
        <f t="shared" si="315"/>
        <v>0</v>
      </c>
      <c r="I1859" s="435"/>
      <c r="J1859" s="435"/>
      <c r="K1859" s="430">
        <f>IFERROR(HLOOKUP(B1859,[1]pp3p1m!$1:$3,3,0),0)</f>
        <v>0</v>
      </c>
      <c r="L1859" s="435"/>
      <c r="M1859" s="435"/>
      <c r="N1859" s="435"/>
      <c r="O1859" s="435"/>
      <c r="P1859" s="435">
        <f t="shared" si="314"/>
        <v>0</v>
      </c>
      <c r="Q1859" s="442"/>
      <c r="R1859" s="442"/>
      <c r="S1859" s="442"/>
      <c r="T1859" s="432">
        <f>IFERROR(HLOOKUP(B1859,[1]pp3p1m!111:113,3,0),0)</f>
        <v>0</v>
      </c>
    </row>
    <row r="1860" spans="1:20" ht="22.2" hidden="1" customHeight="1">
      <c r="A1860" s="379"/>
      <c r="B1860" s="491" t="s">
        <v>481</v>
      </c>
      <c r="C1860" s="469" t="str">
        <f t="shared" si="316"/>
        <v xml:space="preserve"> </v>
      </c>
      <c r="D1860" s="494">
        <f t="shared" si="312"/>
        <v>0</v>
      </c>
      <c r="E1860" s="422"/>
      <c r="F1860" s="441" t="str">
        <f>VLOOKUP($B1860,[1]DG!A:D,[1]DG!$C$2,)</f>
        <v>Kẹp 2 rãnh (APC) cỡ dây 185mm2</v>
      </c>
      <c r="G1860" s="422" t="str">
        <f>VLOOKUP($B1860,[1]DG!A:D,[1]DG!$D$2,)</f>
        <v>cái</v>
      </c>
      <c r="H1860" s="435">
        <f t="shared" si="315"/>
        <v>0</v>
      </c>
      <c r="I1860" s="435"/>
      <c r="J1860" s="435"/>
      <c r="K1860" s="430">
        <f>IFERROR(HLOOKUP(B1860,[1]pp3p1m!$1:$3,3,0),0)</f>
        <v>0</v>
      </c>
      <c r="L1860" s="435"/>
      <c r="M1860" s="435"/>
      <c r="N1860" s="435"/>
      <c r="O1860" s="435"/>
      <c r="P1860" s="435">
        <f t="shared" si="314"/>
        <v>0</v>
      </c>
      <c r="Q1860" s="442"/>
      <c r="R1860" s="442"/>
      <c r="S1860" s="442"/>
      <c r="T1860" s="432">
        <f>IFERROR(HLOOKUP(B1860,[1]pp3p1m!112:114,3,0),0)</f>
        <v>0</v>
      </c>
    </row>
    <row r="1861" spans="1:20" ht="22.2" hidden="1" customHeight="1">
      <c r="A1861" s="379"/>
      <c r="B1861" s="491" t="s">
        <v>1156</v>
      </c>
      <c r="C1861" s="469" t="str">
        <f t="shared" si="316"/>
        <v xml:space="preserve"> </v>
      </c>
      <c r="D1861" s="494">
        <f t="shared" si="312"/>
        <v>0</v>
      </c>
      <c r="E1861" s="422"/>
      <c r="F1861" s="441" t="str">
        <f>VLOOKUP($B1861,[1]DG!A:D,[1]DG!$C$2,)</f>
        <v>Kẹp 2 rãnh (APC) cỡ dây 50mm2</v>
      </c>
      <c r="G1861" s="422" t="str">
        <f>VLOOKUP($B1861,[1]DG!A:D,[1]DG!$D$2,)</f>
        <v>cái</v>
      </c>
      <c r="H1861" s="435">
        <f t="shared" si="315"/>
        <v>0</v>
      </c>
      <c r="I1861" s="435"/>
      <c r="J1861" s="435"/>
      <c r="K1861" s="430">
        <f>IFERROR(HLOOKUP(B1861,[1]pp3p1m!$1:$3,3,0),0)</f>
        <v>0</v>
      </c>
      <c r="L1861" s="435"/>
      <c r="M1861" s="435"/>
      <c r="N1861" s="435"/>
      <c r="O1861" s="435"/>
      <c r="P1861" s="435">
        <f t="shared" si="314"/>
        <v>0</v>
      </c>
      <c r="Q1861" s="442"/>
      <c r="R1861" s="442"/>
      <c r="S1861" s="442"/>
      <c r="T1861" s="432">
        <f>IFERROR(HLOOKUP(B1861,[1]pp3p1m!113:115,3,0),0)</f>
        <v>0</v>
      </c>
    </row>
    <row r="1862" spans="1:20" ht="22.2" hidden="1" customHeight="1">
      <c r="A1862" s="379"/>
      <c r="B1862" s="491" t="s">
        <v>1254</v>
      </c>
      <c r="C1862" s="469" t="str">
        <f t="shared" si="316"/>
        <v xml:space="preserve"> </v>
      </c>
      <c r="D1862" s="494">
        <f t="shared" si="312"/>
        <v>0</v>
      </c>
      <c r="E1862" s="422" t="str">
        <f>VLOOKUP($B1862,[1]DG!A:D,[1]DG!$B$2,)</f>
        <v>03.4002</v>
      </c>
      <c r="F1862" s="441" t="str">
        <f>VLOOKUP($B1862,[1]DG!A:D,[1]DG!$C$2,)</f>
        <v>Đầu cosse ép Cu-Al 50mm2</v>
      </c>
      <c r="G1862" s="422" t="str">
        <f>VLOOKUP($B1862,[1]DG!A:D,[1]DG!$D$2,)</f>
        <v>cái</v>
      </c>
      <c r="H1862" s="435">
        <f t="shared" si="315"/>
        <v>0</v>
      </c>
      <c r="I1862" s="435"/>
      <c r="J1862" s="435"/>
      <c r="K1862" s="430">
        <f>IFERROR(HLOOKUP(B1862,[1]pp3p1m!$1:$3,3,0),0)</f>
        <v>0</v>
      </c>
      <c r="L1862" s="435"/>
      <c r="M1862" s="435"/>
      <c r="N1862" s="435"/>
      <c r="O1862" s="435"/>
      <c r="P1862" s="435">
        <f t="shared" si="314"/>
        <v>0</v>
      </c>
      <c r="Q1862" s="442"/>
      <c r="R1862" s="442"/>
      <c r="S1862" s="442"/>
      <c r="T1862" s="432">
        <f>IFERROR(HLOOKUP(B1862,[1]pp3p1m!114:116,3,0),0)</f>
        <v>0</v>
      </c>
    </row>
    <row r="1863" spans="1:20" ht="22.2" hidden="1" customHeight="1">
      <c r="A1863" s="379"/>
      <c r="B1863" s="491" t="s">
        <v>1255</v>
      </c>
      <c r="C1863" s="469" t="str">
        <f t="shared" si="316"/>
        <v xml:space="preserve"> </v>
      </c>
      <c r="D1863" s="494">
        <f t="shared" si="312"/>
        <v>0</v>
      </c>
      <c r="E1863" s="422" t="str">
        <f>VLOOKUP($B1863,[1]DG!A:D,[1]DG!$B$2,)</f>
        <v>03.4004</v>
      </c>
      <c r="F1863" s="441" t="str">
        <f>VLOOKUP($B1863,[1]DG!A:D,[1]DG!$C$2,)</f>
        <v>Đầu cosse ép Cu 95mm2</v>
      </c>
      <c r="G1863" s="422" t="str">
        <f>VLOOKUP($B1863,[1]DG!A:D,[1]DG!$D$2,)</f>
        <v>cái</v>
      </c>
      <c r="H1863" s="435">
        <f t="shared" si="315"/>
        <v>0</v>
      </c>
      <c r="I1863" s="435"/>
      <c r="J1863" s="435"/>
      <c r="K1863" s="430">
        <f>IFERROR(HLOOKUP(B1863,[1]pp3p1m!$1:$3,3,0),0)</f>
        <v>0</v>
      </c>
      <c r="L1863" s="435"/>
      <c r="M1863" s="435"/>
      <c r="N1863" s="435"/>
      <c r="O1863" s="435"/>
      <c r="P1863" s="435">
        <f t="shared" si="314"/>
        <v>0</v>
      </c>
      <c r="Q1863" s="442"/>
      <c r="R1863" s="442"/>
      <c r="S1863" s="442"/>
      <c r="T1863" s="432">
        <f>IFERROR(HLOOKUP(B1863,[1]pp3p1m!115:117,3,0),0)</f>
        <v>0</v>
      </c>
    </row>
    <row r="1864" spans="1:20" ht="22.2" hidden="1" customHeight="1">
      <c r="A1864" s="379"/>
      <c r="B1864" s="491" t="s">
        <v>1256</v>
      </c>
      <c r="C1864" s="469" t="str">
        <f t="shared" si="316"/>
        <v xml:space="preserve"> </v>
      </c>
      <c r="D1864" s="494">
        <f t="shared" si="312"/>
        <v>0</v>
      </c>
      <c r="E1864" s="422" t="str">
        <f>VLOOKUP($B1864,[1]DG!A:D,[1]DG!$B$2,)</f>
        <v>03.4005</v>
      </c>
      <c r="F1864" s="441" t="str">
        <f>VLOOKUP($B1864,[1]DG!A:D,[1]DG!$C$2,)</f>
        <v>Đầu cosse ép Cu 120mm2</v>
      </c>
      <c r="G1864" s="422" t="str">
        <f>VLOOKUP($B1864,[1]DG!A:D,[1]DG!$D$2,)</f>
        <v>cái</v>
      </c>
      <c r="H1864" s="435">
        <f t="shared" si="315"/>
        <v>0</v>
      </c>
      <c r="I1864" s="435"/>
      <c r="J1864" s="435"/>
      <c r="K1864" s="430">
        <f>IFERROR(HLOOKUP(B1864,[1]pp3p1m!$1:$3,3,0),0)</f>
        <v>0</v>
      </c>
      <c r="L1864" s="435"/>
      <c r="M1864" s="435"/>
      <c r="N1864" s="435"/>
      <c r="O1864" s="435"/>
      <c r="P1864" s="435">
        <f t="shared" si="314"/>
        <v>0</v>
      </c>
      <c r="Q1864" s="442"/>
      <c r="R1864" s="442"/>
      <c r="S1864" s="442"/>
      <c r="T1864" s="432">
        <f>IFERROR(HLOOKUP(B1864,[1]pp3p1m!116:118,3,0),0)</f>
        <v>0</v>
      </c>
    </row>
    <row r="1865" spans="1:20" ht="22.2" hidden="1" customHeight="1">
      <c r="A1865" s="379"/>
      <c r="B1865" s="491" t="s">
        <v>1257</v>
      </c>
      <c r="C1865" s="469" t="str">
        <f t="shared" si="316"/>
        <v xml:space="preserve"> </v>
      </c>
      <c r="D1865" s="494">
        <f t="shared" si="312"/>
        <v>0</v>
      </c>
      <c r="E1865" s="422" t="str">
        <f>VLOOKUP($B1865,[1]DG!A:D,[1]DG!$B$2,)</f>
        <v>03.4006</v>
      </c>
      <c r="F1865" s="441" t="str">
        <f>VLOOKUP($B1865,[1]DG!A:D,[1]DG!$C$2,)</f>
        <v>Đầu cosse ép Cu 150mm2</v>
      </c>
      <c r="G1865" s="422" t="str">
        <f>VLOOKUP($B1865,[1]DG!A:D,[1]DG!$D$2,)</f>
        <v>cái</v>
      </c>
      <c r="H1865" s="435">
        <f t="shared" si="315"/>
        <v>0</v>
      </c>
      <c r="I1865" s="435"/>
      <c r="J1865" s="435"/>
      <c r="K1865" s="430">
        <f>IFERROR(HLOOKUP(B1865,[1]pp3p1m!$1:$3,3,0),0)</f>
        <v>0</v>
      </c>
      <c r="L1865" s="435"/>
      <c r="M1865" s="435"/>
      <c r="N1865" s="435"/>
      <c r="O1865" s="435"/>
      <c r="P1865" s="435">
        <f t="shared" si="314"/>
        <v>0</v>
      </c>
      <c r="Q1865" s="442"/>
      <c r="R1865" s="442"/>
      <c r="S1865" s="442"/>
      <c r="T1865" s="432">
        <f>IFERROR(HLOOKUP(B1865,[1]pp3p1m!117:119,3,0),0)</f>
        <v>0</v>
      </c>
    </row>
    <row r="1866" spans="1:20" ht="22.2" hidden="1" customHeight="1">
      <c r="A1866" s="379"/>
      <c r="B1866" s="491" t="s">
        <v>1167</v>
      </c>
      <c r="C1866" s="469" t="str">
        <f t="shared" si="316"/>
        <v xml:space="preserve"> </v>
      </c>
      <c r="D1866" s="494">
        <f t="shared" si="312"/>
        <v>0</v>
      </c>
      <c r="E1866" s="422" t="str">
        <f>VLOOKUP($B1866,[1]DG!A:D,[1]DG!$B$2,)</f>
        <v>03.4007</v>
      </c>
      <c r="F1866" s="441" t="str">
        <f>VLOOKUP($B1866,[1]DG!A:D,[1]DG!$C$2,)</f>
        <v>Đầu cosse ép Cu-Al 185mm2</v>
      </c>
      <c r="G1866" s="422" t="str">
        <f>VLOOKUP($B1866,[1]DG!A:D,[1]DG!$D$2,)</f>
        <v>cái</v>
      </c>
      <c r="H1866" s="435">
        <f t="shared" si="315"/>
        <v>0</v>
      </c>
      <c r="I1866" s="435"/>
      <c r="J1866" s="435"/>
      <c r="K1866" s="430">
        <f>IFERROR(HLOOKUP(B1866,[1]pp3p1m!$1:$3,3,0),0)</f>
        <v>0</v>
      </c>
      <c r="L1866" s="435"/>
      <c r="M1866" s="435"/>
      <c r="N1866" s="435"/>
      <c r="O1866" s="435"/>
      <c r="P1866" s="435">
        <f t="shared" si="314"/>
        <v>0</v>
      </c>
      <c r="Q1866" s="442"/>
      <c r="R1866" s="442"/>
      <c r="S1866" s="442"/>
      <c r="T1866" s="432">
        <f>IFERROR(HLOOKUP(B1866,[1]pp3p1m!118:120,3,0),0)</f>
        <v>0</v>
      </c>
    </row>
    <row r="1867" spans="1:20" ht="22.2" hidden="1" customHeight="1">
      <c r="A1867" s="379"/>
      <c r="B1867" s="491" t="s">
        <v>1168</v>
      </c>
      <c r="C1867" s="469" t="str">
        <f t="shared" si="316"/>
        <v xml:space="preserve"> </v>
      </c>
      <c r="D1867" s="494">
        <f t="shared" si="312"/>
        <v>0</v>
      </c>
      <c r="E1867" s="422" t="str">
        <f>VLOOKUP($B1867,[1]DG!A:D,[1]DG!$B$2,)</f>
        <v>03.4008</v>
      </c>
      <c r="F1867" s="441" t="str">
        <f>VLOOKUP($B1867,[1]DG!A:D,[1]DG!$C$2,)</f>
        <v>Đầu cosse ép Cu-Al 240mm2</v>
      </c>
      <c r="G1867" s="422" t="str">
        <f>VLOOKUP($B1867,[1]DG!A:D,[1]DG!$D$2,)</f>
        <v>cái</v>
      </c>
      <c r="H1867" s="435">
        <f t="shared" si="315"/>
        <v>0</v>
      </c>
      <c r="I1867" s="435"/>
      <c r="J1867" s="435"/>
      <c r="K1867" s="430">
        <f>IFERROR(HLOOKUP(B1867,[1]pp3p1m!$1:$3,3,0),0)</f>
        <v>0</v>
      </c>
      <c r="L1867" s="435"/>
      <c r="M1867" s="435"/>
      <c r="N1867" s="435"/>
      <c r="O1867" s="435"/>
      <c r="P1867" s="435">
        <f t="shared" si="314"/>
        <v>0</v>
      </c>
      <c r="Q1867" s="442"/>
      <c r="R1867" s="442"/>
      <c r="S1867" s="442"/>
      <c r="T1867" s="432">
        <f>IFERROR(HLOOKUP(B1867,[1]pp3p1m!119:121,3,0),0)</f>
        <v>0</v>
      </c>
    </row>
    <row r="1868" spans="1:20" ht="22.2" hidden="1" customHeight="1">
      <c r="A1868" s="379"/>
      <c r="B1868" s="491" t="s">
        <v>504</v>
      </c>
      <c r="C1868" s="469" t="str">
        <f t="shared" si="316"/>
        <v>x</v>
      </c>
      <c r="D1868" s="494">
        <f t="shared" si="312"/>
        <v>63</v>
      </c>
      <c r="E1868" s="422">
        <f>VLOOKUP($B1868,[1]DG!A:D,[1]DG!$B$2,)</f>
        <v>0</v>
      </c>
      <c r="F1868" s="441" t="str">
        <f>VLOOKUP($B1868,[1]DG!A:D,[1]DG!$C$2,)</f>
        <v>Dây buộc đầu sứ TTF cỡ dây 50mm2</v>
      </c>
      <c r="G1868" s="422" t="str">
        <f>VLOOKUP($B1868,[1]DG!A:D,[1]DG!$D$2,)</f>
        <v>cái</v>
      </c>
      <c r="H1868" s="435">
        <f t="shared" si="315"/>
        <v>63</v>
      </c>
      <c r="I1868" s="435"/>
      <c r="J1868" s="435"/>
      <c r="K1868" s="430">
        <f>IFERROR(HLOOKUP(B1868,[1]pp3p1m!$1:$3,3,0),0)</f>
        <v>63</v>
      </c>
      <c r="L1868" s="435"/>
      <c r="M1868" s="435"/>
      <c r="N1868" s="435"/>
      <c r="O1868" s="435"/>
      <c r="P1868" s="435">
        <f>H1868</f>
        <v>63</v>
      </c>
      <c r="Q1868" s="442"/>
      <c r="R1868" s="442"/>
      <c r="S1868" s="442"/>
      <c r="T1868" s="432">
        <f>IFERROR(HLOOKUP(B1868,[1]pp3p1m!$1:$3,3,0),0)</f>
        <v>63</v>
      </c>
    </row>
    <row r="1869" spans="1:20" ht="22.2" hidden="1" customHeight="1">
      <c r="A1869" s="379"/>
      <c r="B1869" s="491" t="s">
        <v>1258</v>
      </c>
      <c r="C1869" s="469" t="str">
        <f t="shared" si="316"/>
        <v>x</v>
      </c>
      <c r="D1869" s="494">
        <f t="shared" si="312"/>
        <v>6</v>
      </c>
      <c r="E1869" s="422">
        <f>VLOOKUP($B1869,[1]DG!A:D,[1]DG!$B$2,)</f>
        <v>0</v>
      </c>
      <c r="F1869" s="441" t="str">
        <f>VLOOKUP($B1869,[1]DG!A:D,[1]DG!$C$2,)</f>
        <v>Dây buộc cổ sứ từ tính dây 50</v>
      </c>
      <c r="G1869" s="422" t="str">
        <f>VLOOKUP($B1869,[1]DG!A:D,[1]DG!$D$2,)</f>
        <v>cái</v>
      </c>
      <c r="H1869" s="435">
        <f t="shared" si="315"/>
        <v>6</v>
      </c>
      <c r="I1869" s="435"/>
      <c r="J1869" s="435"/>
      <c r="K1869" s="430">
        <f>IFERROR(HLOOKUP(B1869,[1]pp3p1m!$1:$3,3,0),0)</f>
        <v>6</v>
      </c>
      <c r="L1869" s="435"/>
      <c r="M1869" s="435"/>
      <c r="N1869" s="435"/>
      <c r="O1869" s="435"/>
      <c r="P1869" s="435">
        <f t="shared" si="314"/>
        <v>6</v>
      </c>
      <c r="Q1869" s="442"/>
      <c r="R1869" s="442"/>
      <c r="S1869" s="442"/>
      <c r="T1869" s="432">
        <f>IFERROR(HLOOKUP(B1869,[1]pp3p1m!$1:$3,3,0),0)</f>
        <v>6</v>
      </c>
    </row>
    <row r="1870" spans="1:20" ht="22.2" hidden="1" customHeight="1">
      <c r="A1870" s="379"/>
      <c r="B1870" s="491" t="s">
        <v>535</v>
      </c>
      <c r="C1870" s="469" t="str">
        <f t="shared" si="316"/>
        <v xml:space="preserve"> </v>
      </c>
      <c r="D1870" s="494">
        <f t="shared" si="312"/>
        <v>0</v>
      </c>
      <c r="E1870" s="422">
        <f>VLOOKUP($B1870,[1]DG!A:D,[1]DG!$B$2,)</f>
        <v>0</v>
      </c>
      <c r="F1870" s="441" t="str">
        <f>VLOOKUP($B1870,[1]DG!A:D,[1]DG!$C$2,)</f>
        <v>Boulon 12x30+ 2 long đền vuông D14-50x50x3/Zn</v>
      </c>
      <c r="G1870" s="422" t="str">
        <f>VLOOKUP($B1870,[1]DG!A:D,[1]DG!$D$2,)</f>
        <v>bộ</v>
      </c>
      <c r="H1870" s="435">
        <f t="shared" si="315"/>
        <v>0</v>
      </c>
      <c r="I1870" s="435"/>
      <c r="J1870" s="435"/>
      <c r="K1870" s="430">
        <f>IFERROR(HLOOKUP(B1870,[1]pp3p1m!$1:$3,3,0),0)</f>
        <v>0</v>
      </c>
      <c r="L1870" s="435"/>
      <c r="M1870" s="435"/>
      <c r="N1870" s="435"/>
      <c r="O1870" s="435"/>
      <c r="P1870" s="435">
        <f t="shared" si="314"/>
        <v>0</v>
      </c>
      <c r="Q1870" s="442"/>
      <c r="R1870" s="442"/>
      <c r="S1870" s="442"/>
      <c r="T1870" s="432">
        <f>IFERROR(HLOOKUP(B1870,[1]pp3p1m!122:124,3,0),0)</f>
        <v>0</v>
      </c>
    </row>
    <row r="1871" spans="1:20" ht="22.2" hidden="1" customHeight="1">
      <c r="B1871" s="410" t="s">
        <v>207</v>
      </c>
      <c r="C1871" s="465" t="str">
        <f t="shared" si="316"/>
        <v>x</v>
      </c>
      <c r="D1871" s="494">
        <f>K1871</f>
        <v>6</v>
      </c>
      <c r="E1871" s="422" t="str">
        <f>VLOOKUP($B1871,[1]DG!A:D,[1]DG!$B$2,)</f>
        <v>04.3007</v>
      </c>
      <c r="F1871" s="441" t="str">
        <f>VLOOKUP($B1871,[1]DG!A:D,[1]DG!$C$2,)</f>
        <v>Kẹp quai 2/0 + chụp cách điện</v>
      </c>
      <c r="G1871" s="422" t="str">
        <f>VLOOKUP($B1871,[1]DG!A:D,[1]DG!$D$2,)</f>
        <v>bộ</v>
      </c>
      <c r="H1871" s="435">
        <f>D1871</f>
        <v>6</v>
      </c>
      <c r="I1871" s="435"/>
      <c r="J1871" s="435"/>
      <c r="K1871" s="430">
        <f>IFERROR(HLOOKUP(B1871,[1]pp3p1m!$1:$3,3,0),0)</f>
        <v>6</v>
      </c>
      <c r="L1871" s="435"/>
      <c r="M1871" s="435"/>
      <c r="N1871" s="435"/>
      <c r="O1871" s="435"/>
      <c r="P1871" s="435">
        <f>H1871</f>
        <v>6</v>
      </c>
      <c r="Q1871" s="442"/>
      <c r="R1871" s="442"/>
      <c r="S1871" s="442"/>
      <c r="T1871" s="432">
        <f>IFERROR(HLOOKUP(B1871,[1]pp3p1m!$1:$3,3,0),0)</f>
        <v>6</v>
      </c>
    </row>
    <row r="1872" spans="1:20" ht="22.2" hidden="1" customHeight="1">
      <c r="A1872" s="379"/>
      <c r="B1872" s="410" t="s">
        <v>1169</v>
      </c>
      <c r="C1872" s="469" t="str">
        <f t="shared" si="316"/>
        <v xml:space="preserve"> </v>
      </c>
      <c r="D1872" s="494">
        <f t="shared" ref="D1872:D1875" si="317">K1872</f>
        <v>0</v>
      </c>
      <c r="E1872" s="422" t="str">
        <f>VLOOKUP($B1872,[1]DG!A:D,[1]DG!$B$2,)</f>
        <v>04.3007</v>
      </c>
      <c r="F1872" s="441" t="str">
        <f>VLOOKUP($B1872,[1]DG!A:D,[1]DG!$C$2,)</f>
        <v>Kẹp quai 4/0</v>
      </c>
      <c r="G1872" s="422" t="str">
        <f>VLOOKUP($B1872,[1]DG!A:D,[1]DG!$D$2,)</f>
        <v>cái</v>
      </c>
      <c r="H1872" s="435">
        <f t="shared" ref="H1872:H1873" si="318">D1872</f>
        <v>0</v>
      </c>
      <c r="I1872" s="435"/>
      <c r="J1872" s="435"/>
      <c r="K1872" s="430">
        <f>IFERROR(HLOOKUP(B1872,[1]pp3p1m!$1:$3,3,0),0)</f>
        <v>0</v>
      </c>
      <c r="L1872" s="435"/>
      <c r="M1872" s="435"/>
      <c r="N1872" s="435"/>
      <c r="O1872" s="435"/>
      <c r="P1872" s="435">
        <f t="shared" si="314"/>
        <v>0</v>
      </c>
      <c r="Q1872" s="442"/>
      <c r="R1872" s="442"/>
      <c r="S1872" s="442"/>
      <c r="T1872" s="432">
        <f>IFERROR(HLOOKUP(B1872,[1]pp3p1m!124:126,3,0),0)</f>
        <v>0</v>
      </c>
    </row>
    <row r="1873" spans="1:20" ht="22.2" hidden="1" customHeight="1">
      <c r="B1873" s="410" t="s">
        <v>100</v>
      </c>
      <c r="C1873" s="465" t="str">
        <f t="shared" si="316"/>
        <v>x</v>
      </c>
      <c r="D1873" s="494">
        <f t="shared" si="317"/>
        <v>6</v>
      </c>
      <c r="E1873" s="422" t="str">
        <f>VLOOKUP($B1873,[1]DG!A:D,[1]DG!$B$2,)</f>
        <v>04.3007</v>
      </c>
      <c r="F1873" s="441" t="str">
        <f>VLOOKUP($B1873,[1]DG!A:D,[1]DG!$C$2,)</f>
        <v>Kẹp hotline 2/0</v>
      </c>
      <c r="G1873" s="422" t="str">
        <f>VLOOKUP($B1873,[1]DG!A:D,[1]DG!$D$2,)</f>
        <v>cái</v>
      </c>
      <c r="H1873" s="435">
        <f t="shared" si="318"/>
        <v>6</v>
      </c>
      <c r="I1873" s="435"/>
      <c r="J1873" s="435"/>
      <c r="K1873" s="430">
        <f>IFERROR(HLOOKUP(B1873,[1]pp3p1m!$1:$3,3,0),0)</f>
        <v>6</v>
      </c>
      <c r="L1873" s="435"/>
      <c r="M1873" s="435"/>
      <c r="N1873" s="435"/>
      <c r="O1873" s="435"/>
      <c r="P1873" s="435">
        <f>H1873</f>
        <v>6</v>
      </c>
      <c r="Q1873" s="442"/>
      <c r="R1873" s="442"/>
      <c r="S1873" s="442"/>
      <c r="T1873" s="432">
        <f>IFERROR(HLOOKUP(B1873,[1]pp3p1m!$1:$3,3,0),0)</f>
        <v>6</v>
      </c>
    </row>
    <row r="1874" spans="1:20" ht="22.2" hidden="1" customHeight="1">
      <c r="A1874" s="379"/>
      <c r="B1874" s="410" t="s">
        <v>1032</v>
      </c>
      <c r="C1874" s="465" t="str">
        <f t="shared" si="316"/>
        <v xml:space="preserve"> </v>
      </c>
      <c r="D1874" s="494">
        <f t="shared" si="317"/>
        <v>0</v>
      </c>
      <c r="E1874" s="422" t="str">
        <f>VLOOKUP($B1874,[1]DG!A:D,[1]DG!$B$2,)</f>
        <v>04.3007</v>
      </c>
      <c r="F1874" s="441" t="str">
        <f>VLOOKUP($B1874,[1]DG!A:D,[1]DG!$C$2,)</f>
        <v>Kẹp hotline 4/0</v>
      </c>
      <c r="G1874" s="422" t="str">
        <f>VLOOKUP($B1874,[1]DG!A:D,[1]DG!$D$2,)</f>
        <v>cái</v>
      </c>
      <c r="H1874" s="435">
        <f t="shared" si="315"/>
        <v>0</v>
      </c>
      <c r="I1874" s="435"/>
      <c r="J1874" s="435"/>
      <c r="K1874" s="430">
        <f>IFERROR(HLOOKUP(B1874,[1]pp3p1m!$1:$3,3,0),0)</f>
        <v>0</v>
      </c>
      <c r="L1874" s="435"/>
      <c r="M1874" s="435"/>
      <c r="N1874" s="435"/>
      <c r="O1874" s="435"/>
      <c r="P1874" s="435">
        <f t="shared" si="314"/>
        <v>0</v>
      </c>
      <c r="Q1874" s="442"/>
      <c r="R1874" s="442"/>
      <c r="S1874" s="442"/>
      <c r="T1874" s="432">
        <f>IFERROR(HLOOKUP(B1874,[1]pp3p1m!126:128,3,0),0)</f>
        <v>0</v>
      </c>
    </row>
    <row r="1875" spans="1:20" ht="22.2" hidden="1" customHeight="1">
      <c r="A1875" s="379"/>
      <c r="B1875" s="410" t="s">
        <v>481</v>
      </c>
      <c r="C1875" s="465" t="str">
        <f t="shared" si="316"/>
        <v xml:space="preserve"> </v>
      </c>
      <c r="D1875" s="494">
        <f t="shared" si="317"/>
        <v>0</v>
      </c>
      <c r="E1875" s="422"/>
      <c r="F1875" s="441" t="str">
        <f>VLOOKUP($B1875,[1]DG!A:D,[1]DG!$C$2,)</f>
        <v>Kẹp 2 rãnh (APC) cỡ dây 185mm2</v>
      </c>
      <c r="G1875" s="422" t="str">
        <f>VLOOKUP($B1875,[1]DG!A:D,[1]DG!$D$2,)</f>
        <v>cái</v>
      </c>
      <c r="H1875" s="435">
        <f t="shared" si="315"/>
        <v>0</v>
      </c>
      <c r="I1875" s="435"/>
      <c r="J1875" s="435"/>
      <c r="K1875" s="430">
        <f>IFERROR(HLOOKUP(B1875,[1]pp3p1m!$1:$3,3,0),0)</f>
        <v>0</v>
      </c>
      <c r="L1875" s="435"/>
      <c r="M1875" s="435"/>
      <c r="N1875" s="435"/>
      <c r="O1875" s="435"/>
      <c r="P1875" s="435">
        <f t="shared" si="314"/>
        <v>0</v>
      </c>
      <c r="Q1875" s="442"/>
      <c r="R1875" s="442"/>
      <c r="S1875" s="442"/>
      <c r="T1875" s="432">
        <f>IFERROR(HLOOKUP(B1875,[1]pp3p1m!127:129,3,0),0)</f>
        <v>0</v>
      </c>
    </row>
    <row r="1876" spans="1:20" ht="22.2" hidden="1" customHeight="1">
      <c r="A1876" s="379"/>
      <c r="B1876" s="410" t="s">
        <v>98</v>
      </c>
      <c r="C1876" s="465" t="str">
        <f t="shared" si="316"/>
        <v>x</v>
      </c>
      <c r="D1876" s="453">
        <v>9</v>
      </c>
      <c r="E1876" s="517"/>
      <c r="F1876" s="455" t="str">
        <f>VLOOKUP($B1876,[1]DG!A:D,[1]DG!$C$2,)</f>
        <v>Cáp 24KV CX-25mm2</v>
      </c>
      <c r="G1876" s="422" t="str">
        <f>VLOOKUP($B1876,[1]DG!A:D,[1]DG!$D$2,)</f>
        <v>mét</v>
      </c>
      <c r="H1876" s="435">
        <f>D1876</f>
        <v>9</v>
      </c>
      <c r="I1876" s="435"/>
      <c r="J1876" s="435"/>
      <c r="K1876" s="430">
        <f>IFERROR(HLOOKUP(B1876,[1]pp3p1m!$1:$3,3,0),0)</f>
        <v>9</v>
      </c>
      <c r="L1876" s="435"/>
      <c r="M1876" s="435"/>
      <c r="N1876" s="435"/>
      <c r="O1876" s="435"/>
      <c r="P1876" s="435">
        <f t="shared" si="314"/>
        <v>9</v>
      </c>
      <c r="Q1876" s="442"/>
      <c r="R1876" s="442"/>
      <c r="S1876" s="442"/>
      <c r="T1876" s="432">
        <f>IFERROR(HLOOKUP(B1876,[1]pp3p1m!128:130,3,0),0)</f>
        <v>0</v>
      </c>
    </row>
    <row r="1877" spans="1:20" ht="22.2" hidden="1" customHeight="1">
      <c r="B1877" s="410" t="s">
        <v>98</v>
      </c>
      <c r="C1877" s="465" t="str">
        <f t="shared" si="316"/>
        <v xml:space="preserve"> </v>
      </c>
      <c r="D1877" s="440"/>
      <c r="E1877" s="517"/>
      <c r="F1877" s="441" t="str">
        <f>VLOOKUP($B1877,[1]DG!A:D,[1]DG!$C$2,)&amp;" : đấu nối FCO"</f>
        <v>Cáp 24KV CX-25mm2 : đấu nối FCO</v>
      </c>
      <c r="G1877" s="422" t="str">
        <f>VLOOKUP($B1877,[1]DG!A:D,[1]DG!$D$2,)</f>
        <v>mét</v>
      </c>
      <c r="H1877" s="435"/>
      <c r="I1877" s="435">
        <f>H1877</f>
        <v>0</v>
      </c>
      <c r="J1877" s="435"/>
      <c r="K1877" s="430">
        <f>IFERROR(HLOOKUP(B1877,[1]pp3p1m!$1:$3,3,0),0)</f>
        <v>9</v>
      </c>
      <c r="L1877" s="435"/>
      <c r="M1877" s="435"/>
      <c r="N1877" s="435"/>
      <c r="O1877" s="435"/>
      <c r="P1877" s="435">
        <f>H1877</f>
        <v>0</v>
      </c>
      <c r="Q1877" s="442"/>
      <c r="R1877" s="442"/>
      <c r="S1877" s="442"/>
      <c r="T1877" s="432">
        <f>IFERROR(HLOOKUP(B1877,[1]pp3p1m!129:131,3,0),0)</f>
        <v>0</v>
      </c>
    </row>
    <row r="1878" spans="1:20" ht="22.2" hidden="1" customHeight="1">
      <c r="B1878" s="410" t="s">
        <v>1254</v>
      </c>
      <c r="C1878" s="465" t="str">
        <f t="shared" si="316"/>
        <v>x</v>
      </c>
      <c r="D1878" s="440">
        <v>3</v>
      </c>
      <c r="E1878" s="517"/>
      <c r="F1878" s="441" t="str">
        <f>VLOOKUP($B1878,[1]DG!A:D,[1]DG!$C$2,)</f>
        <v>Đầu cosse ép Cu-Al 50mm2</v>
      </c>
      <c r="G1878" s="422" t="str">
        <f>VLOOKUP($B1878,[1]DG!A:D,[1]DG!$D$2,)</f>
        <v>cái</v>
      </c>
      <c r="H1878" s="435">
        <f>D1878</f>
        <v>3</v>
      </c>
      <c r="I1878" s="435"/>
      <c r="J1878" s="435"/>
      <c r="K1878" s="430">
        <f>IFERROR(HLOOKUP(B1878,[1]pp3p1m!$1:$3,3,0),0)</f>
        <v>0</v>
      </c>
      <c r="L1878" s="435"/>
      <c r="M1878" s="435"/>
      <c r="N1878" s="435"/>
      <c r="O1878" s="435"/>
      <c r="P1878" s="435">
        <f t="shared" si="314"/>
        <v>3</v>
      </c>
      <c r="Q1878" s="442"/>
      <c r="R1878" s="442"/>
      <c r="S1878" s="442"/>
      <c r="T1878" s="432">
        <f>IFERROR(HLOOKUP(B1878,[1]pp3p1m!129:131,3,0),0)</f>
        <v>0</v>
      </c>
    </row>
    <row r="1879" spans="1:20" ht="22.2" hidden="1" customHeight="1">
      <c r="B1879" s="410" t="s">
        <v>135</v>
      </c>
      <c r="C1879" s="465" t="str">
        <f t="shared" si="316"/>
        <v>x</v>
      </c>
      <c r="D1879" s="440">
        <v>3</v>
      </c>
      <c r="E1879" s="517"/>
      <c r="F1879" s="441" t="str">
        <f>VLOOKUP($B1879,[1]DG!A:D,[1]DG!$C$2,)</f>
        <v>Chụp đầu cực FCO (bộ 2 cái)</v>
      </c>
      <c r="G1879" s="422" t="str">
        <f>VLOOKUP($B1879,[1]DG!A:D,[1]DG!$D$2,)</f>
        <v>bộ</v>
      </c>
      <c r="H1879" s="435">
        <f>D1879</f>
        <v>3</v>
      </c>
      <c r="I1879" s="435"/>
      <c r="J1879" s="435"/>
      <c r="K1879" s="430">
        <f>IFERROR(HLOOKUP(B1879,[1]pp3p1m!$1:$3,3,0),0)</f>
        <v>0</v>
      </c>
      <c r="L1879" s="435"/>
      <c r="M1879" s="435"/>
      <c r="N1879" s="435"/>
      <c r="O1879" s="435"/>
      <c r="P1879" s="435">
        <f t="shared" si="314"/>
        <v>3</v>
      </c>
      <c r="Q1879" s="442"/>
      <c r="R1879" s="442"/>
      <c r="S1879" s="442"/>
      <c r="T1879" s="432">
        <f>IFERROR(HLOOKUP(B1879,[1]pp3p1m!129:131,3,0),0)</f>
        <v>0</v>
      </c>
    </row>
    <row r="1880" spans="1:20" ht="22.2" hidden="1" customHeight="1">
      <c r="B1880" s="410" t="s">
        <v>1259</v>
      </c>
      <c r="C1880" s="465" t="str">
        <f t="shared" si="316"/>
        <v xml:space="preserve"> </v>
      </c>
      <c r="D1880" s="440"/>
      <c r="E1880" s="517"/>
      <c r="F1880" s="441" t="str">
        <f>VLOOKUP($B1880,[1]DG!A:D,[1]DG!$C$2,)</f>
        <v>Nắp chụp kẹp quai + hotline</v>
      </c>
      <c r="G1880" s="422" t="str">
        <f>VLOOKUP($B1880,[1]DG!A:D,[1]DG!$D$2,)</f>
        <v>bộ</v>
      </c>
      <c r="H1880" s="435">
        <f t="shared" si="315"/>
        <v>0</v>
      </c>
      <c r="I1880" s="435"/>
      <c r="J1880" s="435"/>
      <c r="K1880" s="430">
        <f>IFERROR(HLOOKUP(B1880,[1]pp3p1m!$1:$3,3,0),0)</f>
        <v>0</v>
      </c>
      <c r="L1880" s="435"/>
      <c r="M1880" s="435"/>
      <c r="N1880" s="435"/>
      <c r="O1880" s="435"/>
      <c r="P1880" s="435">
        <f t="shared" si="314"/>
        <v>0</v>
      </c>
      <c r="Q1880" s="442"/>
      <c r="R1880" s="442"/>
      <c r="S1880" s="442"/>
      <c r="T1880" s="432">
        <f>IFERROR(HLOOKUP(B1880,[1]pp3p1m!130:132,3,0),0)</f>
        <v>0</v>
      </c>
    </row>
    <row r="1881" spans="1:20" ht="22.2" hidden="1" customHeight="1">
      <c r="A1881" s="379"/>
      <c r="B1881" s="410" t="s">
        <v>1170</v>
      </c>
      <c r="C1881" s="469" t="str">
        <f t="shared" si="316"/>
        <v xml:space="preserve"> </v>
      </c>
      <c r="D1881" s="440">
        <f>ROUND((E1756)*1.02/2000,0)*12</f>
        <v>0</v>
      </c>
      <c r="E1881" s="422"/>
      <c r="F1881" s="441" t="str">
        <f>VLOOKUP($B1881,[1]DG!A:D,[1]DG!$C$2,)</f>
        <v>Ống nối dây cỡ 50mm2</v>
      </c>
      <c r="G1881" s="422" t="str">
        <f>VLOOKUP($B1881,[1]DG!A:D,[1]DG!$D$2,)</f>
        <v>cái</v>
      </c>
      <c r="H1881" s="435">
        <f>D1881</f>
        <v>0</v>
      </c>
      <c r="I1881" s="435"/>
      <c r="J1881" s="435"/>
      <c r="K1881" s="430">
        <f>IFERROR(HLOOKUP(B1881,[1]pp3p1m!$1:$3,3,0),0)</f>
        <v>0</v>
      </c>
      <c r="L1881" s="435"/>
      <c r="M1881" s="435"/>
      <c r="N1881" s="435"/>
      <c r="O1881" s="435"/>
      <c r="P1881" s="435">
        <f t="shared" si="314"/>
        <v>0</v>
      </c>
      <c r="Q1881" s="442"/>
      <c r="R1881" s="442"/>
      <c r="S1881" s="442"/>
      <c r="T1881" s="432">
        <f>IFERROR(HLOOKUP(B1881,[1]pp3p1m!$1:$3,3,0),0)</f>
        <v>0</v>
      </c>
    </row>
    <row r="1882" spans="1:20" ht="22.2" hidden="1" customHeight="1">
      <c r="A1882" s="379"/>
      <c r="B1882" s="410" t="s">
        <v>1171</v>
      </c>
      <c r="C1882" s="469" t="str">
        <f t="shared" si="316"/>
        <v xml:space="preserve"> </v>
      </c>
      <c r="D1882" s="440">
        <f>ROUND((E1755+E1767)*1.03/1400,0)</f>
        <v>0</v>
      </c>
      <c r="E1882" s="422"/>
      <c r="F1882" s="441" t="str">
        <f>VLOOKUP($B1882,[1]DG!A:D,[1]DG!$C$2,)</f>
        <v>Ống nối dây cỡ 70mm2</v>
      </c>
      <c r="G1882" s="422" t="str">
        <f>VLOOKUP($B1882,[1]DG!A:D,[1]DG!$D$2,)</f>
        <v>cái</v>
      </c>
      <c r="H1882" s="435">
        <f t="shared" si="315"/>
        <v>0</v>
      </c>
      <c r="I1882" s="435"/>
      <c r="J1882" s="435"/>
      <c r="K1882" s="430">
        <f>IFERROR(HLOOKUP(B1882,[1]pp3p1m!$1:$3,3,0),0)</f>
        <v>0</v>
      </c>
      <c r="L1882" s="435"/>
      <c r="M1882" s="435"/>
      <c r="N1882" s="435"/>
      <c r="O1882" s="435"/>
      <c r="P1882" s="435">
        <f t="shared" si="314"/>
        <v>0</v>
      </c>
      <c r="Q1882" s="442"/>
      <c r="R1882" s="442"/>
      <c r="S1882" s="442"/>
      <c r="T1882" s="432">
        <f>IFERROR(HLOOKUP(B1882,[1]pp3p1m!132:134,3,0),0)</f>
        <v>0</v>
      </c>
    </row>
    <row r="1883" spans="1:20" ht="22.2" hidden="1" customHeight="1">
      <c r="A1883" s="379"/>
      <c r="B1883" s="410" t="s">
        <v>1172</v>
      </c>
      <c r="C1883" s="469" t="str">
        <f t="shared" si="316"/>
        <v xml:space="preserve"> </v>
      </c>
      <c r="D1883" s="440">
        <f>ROUND((E1754+E1762)*1.03/1200,0)</f>
        <v>0</v>
      </c>
      <c r="E1883" s="422"/>
      <c r="F1883" s="441" t="str">
        <f>VLOOKUP($B1883,[1]DG!A:D,[1]DG!$C$2,)</f>
        <v>Ống nối dây cỡ 95mm2</v>
      </c>
      <c r="G1883" s="422" t="str">
        <f>VLOOKUP($B1883,[1]DG!A:D,[1]DG!$D$2,)</f>
        <v>cái</v>
      </c>
      <c r="H1883" s="435">
        <f t="shared" si="315"/>
        <v>0</v>
      </c>
      <c r="I1883" s="435"/>
      <c r="J1883" s="435"/>
      <c r="K1883" s="430">
        <f>IFERROR(HLOOKUP(B1883,[1]pp3p1m!$1:$3,3,0),0)</f>
        <v>0</v>
      </c>
      <c r="L1883" s="435"/>
      <c r="M1883" s="435"/>
      <c r="N1883" s="435"/>
      <c r="O1883" s="435"/>
      <c r="P1883" s="435">
        <f t="shared" si="314"/>
        <v>0</v>
      </c>
      <c r="Q1883" s="442"/>
      <c r="R1883" s="442"/>
      <c r="S1883" s="442"/>
      <c r="T1883" s="432">
        <f>IFERROR(HLOOKUP(B1883,[1]pp3p1m!133:135,3,0),0)</f>
        <v>0</v>
      </c>
    </row>
    <row r="1884" spans="1:20" ht="22.2" hidden="1" customHeight="1">
      <c r="A1884" s="379"/>
      <c r="B1884" s="410" t="s">
        <v>1173</v>
      </c>
      <c r="C1884" s="469" t="str">
        <f t="shared" si="316"/>
        <v xml:space="preserve"> </v>
      </c>
      <c r="D1884" s="440">
        <f>ROUND((E1753+E1761)*1.03/1200,0)</f>
        <v>0</v>
      </c>
      <c r="E1884" s="422"/>
      <c r="F1884" s="441" t="str">
        <f>VLOOKUP($B1884,[1]DG!A:D,[1]DG!$C$2,)</f>
        <v>Ống nối dây cỡ 120mm2</v>
      </c>
      <c r="G1884" s="422" t="str">
        <f>VLOOKUP($B1884,[1]DG!A:D,[1]DG!$D$2,)</f>
        <v>cái</v>
      </c>
      <c r="H1884" s="435">
        <f t="shared" si="315"/>
        <v>0</v>
      </c>
      <c r="I1884" s="435"/>
      <c r="J1884" s="435"/>
      <c r="K1884" s="430">
        <f>IFERROR(HLOOKUP(B1884,[1]pp3p1m!$1:$3,3,0),0)</f>
        <v>0</v>
      </c>
      <c r="L1884" s="435"/>
      <c r="M1884" s="435"/>
      <c r="N1884" s="435"/>
      <c r="O1884" s="435"/>
      <c r="P1884" s="435">
        <f t="shared" si="314"/>
        <v>0</v>
      </c>
      <c r="Q1884" s="442"/>
      <c r="R1884" s="442"/>
      <c r="S1884" s="442"/>
      <c r="T1884" s="432">
        <f>IFERROR(HLOOKUP(B1884,[1]pp3p1m!134:136,3,0),0)</f>
        <v>0</v>
      </c>
    </row>
    <row r="1885" spans="1:20" ht="22.2" hidden="1" customHeight="1">
      <c r="A1885" s="379"/>
      <c r="B1885" s="410" t="s">
        <v>1174</v>
      </c>
      <c r="C1885" s="469" t="str">
        <f t="shared" si="316"/>
        <v xml:space="preserve"> </v>
      </c>
      <c r="D1885" s="440">
        <f>ROUND((E1752+E1760)*1.03/1200,0)</f>
        <v>0</v>
      </c>
      <c r="E1885" s="422"/>
      <c r="F1885" s="441" t="str">
        <f>VLOOKUP($B1885,[1]DG!A:D,[1]DG!$C$2,)</f>
        <v>Ống nối dây cỡ 150mm2</v>
      </c>
      <c r="G1885" s="422" t="str">
        <f>VLOOKUP($B1885,[1]DG!A:D,[1]DG!$D$2,)</f>
        <v>cái</v>
      </c>
      <c r="H1885" s="435">
        <f t="shared" si="315"/>
        <v>0</v>
      </c>
      <c r="I1885" s="435"/>
      <c r="J1885" s="435"/>
      <c r="K1885" s="430">
        <f>IFERROR(HLOOKUP(B1885,[1]pp3p1m!$1:$3,3,0),0)</f>
        <v>0</v>
      </c>
      <c r="L1885" s="435"/>
      <c r="M1885" s="435"/>
      <c r="N1885" s="435"/>
      <c r="O1885" s="435"/>
      <c r="P1885" s="435">
        <f t="shared" si="314"/>
        <v>0</v>
      </c>
      <c r="Q1885" s="442"/>
      <c r="R1885" s="442"/>
      <c r="S1885" s="442"/>
      <c r="T1885" s="432">
        <f>IFERROR(HLOOKUP(B1885,[1]pp3p1m!135:137,3,0),0)</f>
        <v>0</v>
      </c>
    </row>
    <row r="1886" spans="1:20" ht="22.2" hidden="1" customHeight="1">
      <c r="A1886" s="379"/>
      <c r="B1886" s="410" t="s">
        <v>1175</v>
      </c>
      <c r="C1886" s="469" t="str">
        <f t="shared" si="316"/>
        <v xml:space="preserve"> </v>
      </c>
      <c r="D1886" s="440">
        <f>ROUND((E1751+E1759)*1.03/1200,0)</f>
        <v>0</v>
      </c>
      <c r="E1886" s="422"/>
      <c r="F1886" s="441" t="str">
        <f>VLOOKUP($B1886,[1]DG!A:D,[1]DG!$C$2,)</f>
        <v>Ống nối dây cỡ 185mm2</v>
      </c>
      <c r="G1886" s="422" t="str">
        <f>VLOOKUP($B1886,[1]DG!A:D,[1]DG!$D$2,)</f>
        <v>cái</v>
      </c>
      <c r="H1886" s="435">
        <f t="shared" si="315"/>
        <v>0</v>
      </c>
      <c r="I1886" s="435"/>
      <c r="J1886" s="435"/>
      <c r="K1886" s="430">
        <f>IFERROR(HLOOKUP(B1886,[1]pp3p1m!$1:$3,3,0),0)</f>
        <v>0</v>
      </c>
      <c r="L1886" s="435"/>
      <c r="M1886" s="435"/>
      <c r="N1886" s="435"/>
      <c r="O1886" s="435"/>
      <c r="P1886" s="435">
        <f t="shared" si="314"/>
        <v>0</v>
      </c>
      <c r="Q1886" s="442"/>
      <c r="R1886" s="442"/>
      <c r="S1886" s="442"/>
      <c r="T1886" s="432">
        <f>IFERROR(HLOOKUP(B1886,[1]pp3p1m!136:138,3,0),0)</f>
        <v>0</v>
      </c>
    </row>
    <row r="1887" spans="1:20" ht="22.2" hidden="1" customHeight="1">
      <c r="A1887" s="379"/>
      <c r="B1887" s="410" t="s">
        <v>1176</v>
      </c>
      <c r="C1887" s="469" t="str">
        <f t="shared" si="316"/>
        <v xml:space="preserve"> </v>
      </c>
      <c r="D1887" s="440">
        <f>ROUND((E1750+E1758)*1.03/1200,0)</f>
        <v>0</v>
      </c>
      <c r="E1887" s="422"/>
      <c r="F1887" s="441" t="str">
        <f>VLOOKUP($B1887,[1]DG!A:D,[1]DG!$C$2,)</f>
        <v>Ống nối dây cỡ 240mm2</v>
      </c>
      <c r="G1887" s="422" t="str">
        <f>VLOOKUP($B1887,[1]DG!A:D,[1]DG!$D$2,)</f>
        <v>cái</v>
      </c>
      <c r="H1887" s="435">
        <f t="shared" si="315"/>
        <v>0</v>
      </c>
      <c r="I1887" s="435"/>
      <c r="J1887" s="435"/>
      <c r="K1887" s="430">
        <f>IFERROR(HLOOKUP(B1887,[1]pp3p1m!$1:$3,3,0),0)</f>
        <v>0</v>
      </c>
      <c r="L1887" s="435"/>
      <c r="M1887" s="435"/>
      <c r="N1887" s="435"/>
      <c r="O1887" s="435"/>
      <c r="P1887" s="435">
        <f t="shared" si="314"/>
        <v>0</v>
      </c>
      <c r="Q1887" s="442"/>
      <c r="R1887" s="442"/>
      <c r="S1887" s="442"/>
      <c r="T1887" s="432">
        <f>IFERROR(HLOOKUP(B1887,[1]pp3p1m!137:139,3,0),0)</f>
        <v>0</v>
      </c>
    </row>
    <row r="1888" spans="1:20" ht="22.2" hidden="1" customHeight="1">
      <c r="A1888" s="379"/>
      <c r="B1888" s="410" t="s">
        <v>1260</v>
      </c>
      <c r="C1888" s="469" t="str">
        <f t="shared" si="316"/>
        <v xml:space="preserve"> </v>
      </c>
      <c r="D1888" s="518"/>
      <c r="E1888" s="422"/>
      <c r="F1888" s="441" t="str">
        <f>VLOOKUP($B1888,[1]DG!A:D,[1]DG!$C$2,)</f>
        <v>Cổ dê trụ đôi bắt sứ treo</v>
      </c>
      <c r="G1888" s="422" t="str">
        <f>VLOOKUP($B1888,[1]DG!A:D,[1]DG!$D$2,)</f>
        <v>bộ</v>
      </c>
      <c r="H1888" s="435">
        <f t="shared" si="315"/>
        <v>0</v>
      </c>
      <c r="I1888" s="435"/>
      <c r="J1888" s="435"/>
      <c r="K1888" s="430">
        <f>IFERROR(HLOOKUP(B1888,[1]pp3p1m!$1:$3,3,0),0)</f>
        <v>0</v>
      </c>
      <c r="L1888" s="435"/>
      <c r="M1888" s="435"/>
      <c r="N1888" s="435"/>
      <c r="O1888" s="435"/>
      <c r="P1888" s="435">
        <f t="shared" si="314"/>
        <v>0</v>
      </c>
      <c r="Q1888" s="442"/>
      <c r="R1888" s="442"/>
      <c r="S1888" s="442"/>
      <c r="T1888" s="432">
        <f>IFERROR(HLOOKUP(B1888,[1]pp3p1m!138:140,3,0),0)</f>
        <v>0</v>
      </c>
    </row>
    <row r="1889" spans="1:20" ht="22.2" hidden="1" customHeight="1">
      <c r="A1889" s="379"/>
      <c r="B1889" s="410" t="s">
        <v>736</v>
      </c>
      <c r="C1889" s="469" t="str">
        <f t="shared" si="316"/>
        <v xml:space="preserve"> </v>
      </c>
      <c r="D1889" s="518"/>
      <c r="E1889" s="422"/>
      <c r="F1889" s="441" t="str">
        <f>VLOOKUP($B1889,[1]DG!A:D,[1]DG!$C$2,)&amp;": bắt xà trụ ghép"</f>
        <v>Boulon 16x600VRS+ 4 long đền vuông D18-50x50x3/Zn: bắt xà trụ ghép</v>
      </c>
      <c r="G1889" s="422" t="str">
        <f>VLOOKUP($B1889,[1]DG!A:D,[1]DG!$D$2,)</f>
        <v>bộ</v>
      </c>
      <c r="H1889" s="435">
        <f t="shared" si="315"/>
        <v>0</v>
      </c>
      <c r="I1889" s="435"/>
      <c r="J1889" s="435"/>
      <c r="K1889" s="430">
        <f>IFERROR(HLOOKUP(B1889,[1]pp3p1m!$1:$3,3,0),0)</f>
        <v>0</v>
      </c>
      <c r="L1889" s="435"/>
      <c r="M1889" s="435"/>
      <c r="N1889" s="435"/>
      <c r="O1889" s="435"/>
      <c r="P1889" s="435">
        <f t="shared" si="314"/>
        <v>0</v>
      </c>
      <c r="Q1889" s="442"/>
      <c r="R1889" s="442"/>
      <c r="S1889" s="442"/>
      <c r="T1889" s="432">
        <f>IFERROR(HLOOKUP(B1889,[1]pp3p1m!139:141,3,0),0)</f>
        <v>0</v>
      </c>
    </row>
    <row r="1890" spans="1:20" ht="22.2" hidden="1" customHeight="1">
      <c r="A1890" s="379"/>
      <c r="B1890" s="410" t="s">
        <v>734</v>
      </c>
      <c r="C1890" s="469" t="str">
        <f t="shared" si="316"/>
        <v xml:space="preserve"> </v>
      </c>
      <c r="D1890" s="494"/>
      <c r="E1890" s="422"/>
      <c r="F1890" s="519" t="str">
        <f>VLOOKUP($B1890,[1]DG!A:D,[1]DG!$C$2,)&amp;": bắt trụ đôi"</f>
        <v>Boulon 16x450VRS+ 4 long đền vuông D18-50x50x3/Zn: bắt trụ đôi</v>
      </c>
      <c r="G1890" s="422" t="str">
        <f>VLOOKUP($B1890,[1]DG!A:D,[1]DG!$D$2,)</f>
        <v>bộ</v>
      </c>
      <c r="H1890" s="435">
        <f>D1890</f>
        <v>0</v>
      </c>
      <c r="I1890" s="435"/>
      <c r="J1890" s="435"/>
      <c r="K1890" s="430">
        <f>IFERROR(HLOOKUP(B1890,[1]pp3p1m!$1:$3,3,0),0)</f>
        <v>0</v>
      </c>
      <c r="L1890" s="435"/>
      <c r="M1890" s="435"/>
      <c r="N1890" s="435"/>
      <c r="O1890" s="435"/>
      <c r="P1890" s="435">
        <f t="shared" si="314"/>
        <v>0</v>
      </c>
      <c r="Q1890" s="442"/>
      <c r="R1890" s="442"/>
      <c r="S1890" s="442"/>
      <c r="T1890" s="432">
        <f>IFERROR(HLOOKUP(B1890,[1]pp3p1m!140:142,3,0),0)</f>
        <v>0</v>
      </c>
    </row>
    <row r="1891" spans="1:20" ht="22.2" hidden="1" customHeight="1">
      <c r="A1891" s="379"/>
      <c r="B1891" s="410" t="s">
        <v>735</v>
      </c>
      <c r="C1891" s="469" t="str">
        <f t="shared" si="316"/>
        <v xml:space="preserve"> </v>
      </c>
      <c r="D1891" s="494"/>
      <c r="E1891" s="422"/>
      <c r="F1891" s="519" t="str">
        <f>VLOOKUP($B1891,[1]DG!A:D,[1]DG!$C$2,)&amp;": bắt trụ đôi"</f>
        <v>Boulon 16x550VRS+ 4 long đền vuông D18-50x50x3/Zn: bắt trụ đôi</v>
      </c>
      <c r="G1891" s="422" t="str">
        <f>VLOOKUP($B1891,[1]DG!A:D,[1]DG!$D$2,)</f>
        <v>bộ</v>
      </c>
      <c r="H1891" s="435">
        <f t="shared" ref="H1891:H1892" si="319">D1891</f>
        <v>0</v>
      </c>
      <c r="I1891" s="435"/>
      <c r="J1891" s="435"/>
      <c r="K1891" s="430">
        <f>IFERROR(HLOOKUP(B1891,[1]pp3p1m!$1:$3,3,0),0)</f>
        <v>0</v>
      </c>
      <c r="L1891" s="435"/>
      <c r="M1891" s="435"/>
      <c r="N1891" s="435"/>
      <c r="O1891" s="435"/>
      <c r="P1891" s="435">
        <f t="shared" si="314"/>
        <v>0</v>
      </c>
      <c r="Q1891" s="442"/>
      <c r="R1891" s="442"/>
      <c r="S1891" s="442"/>
      <c r="T1891" s="432">
        <f>IFERROR(HLOOKUP(B1891,[1]pp3p1m!141:143,3,0),0)</f>
        <v>0</v>
      </c>
    </row>
    <row r="1892" spans="1:20" ht="22.2" hidden="1" customHeight="1">
      <c r="A1892" s="379"/>
      <c r="B1892" s="410" t="s">
        <v>736</v>
      </c>
      <c r="C1892" s="469" t="str">
        <f t="shared" si="316"/>
        <v xml:space="preserve"> </v>
      </c>
      <c r="D1892" s="494"/>
      <c r="E1892" s="422"/>
      <c r="F1892" s="519" t="str">
        <f>VLOOKUP($B1892,[1]DG!A:D,[1]DG!$C$2,)&amp;": bắt trụ đôi"</f>
        <v>Boulon 16x600VRS+ 4 long đền vuông D18-50x50x3/Zn: bắt trụ đôi</v>
      </c>
      <c r="G1892" s="422" t="str">
        <f>VLOOKUP($B1892,[1]DG!A:D,[1]DG!$D$2,)</f>
        <v>bộ</v>
      </c>
      <c r="H1892" s="435">
        <f t="shared" si="319"/>
        <v>0</v>
      </c>
      <c r="I1892" s="435"/>
      <c r="J1892" s="435"/>
      <c r="K1892" s="430">
        <f>IFERROR(HLOOKUP(B1892,[1]pp3p1m!$1:$3,3,0),0)</f>
        <v>0</v>
      </c>
      <c r="L1892" s="435"/>
      <c r="M1892" s="435"/>
      <c r="N1892" s="435"/>
      <c r="O1892" s="435"/>
      <c r="P1892" s="435">
        <f t="shared" si="314"/>
        <v>0</v>
      </c>
      <c r="Q1892" s="442"/>
      <c r="R1892" s="442"/>
      <c r="S1892" s="442"/>
      <c r="T1892" s="432">
        <f>IFERROR(HLOOKUP(B1892,[1]pp3p1m!142:144,3,0),0)</f>
        <v>0</v>
      </c>
    </row>
    <row r="1893" spans="1:20" ht="22.2" hidden="1" customHeight="1">
      <c r="A1893" s="379"/>
      <c r="B1893" s="410" t="s">
        <v>482</v>
      </c>
      <c r="C1893" s="469" t="str">
        <f t="shared" si="316"/>
        <v xml:space="preserve"> </v>
      </c>
      <c r="D1893" s="494"/>
      <c r="E1893" s="422"/>
      <c r="F1893" s="519" t="str">
        <f>VLOOKUP($B1893,[1]DG!A:D,[1]DG!$C$2,)&amp;": baét söù treo Polymer truï TBA 11"</f>
        <v>Boulon mắt 16x250+ 2 long đền vuông D18-50x50x3/Zn: baét söù treo Polymer truï TBA 11</v>
      </c>
      <c r="G1893" s="422" t="str">
        <f>VLOOKUP($B1893,[1]DG!A:D,[1]DG!$D$2,)</f>
        <v>bộ</v>
      </c>
      <c r="H1893" s="435">
        <f t="shared" si="315"/>
        <v>0</v>
      </c>
      <c r="I1893" s="435"/>
      <c r="J1893" s="435"/>
      <c r="K1893" s="430">
        <f>IFERROR(HLOOKUP(B1893,[1]pp3p1m!$1:$3,3,0),0)</f>
        <v>0</v>
      </c>
      <c r="L1893" s="435"/>
      <c r="M1893" s="435"/>
      <c r="N1893" s="435"/>
      <c r="O1893" s="435"/>
      <c r="P1893" s="435">
        <f t="shared" si="314"/>
        <v>0</v>
      </c>
      <c r="Q1893" s="442"/>
      <c r="R1893" s="442"/>
      <c r="S1893" s="442"/>
      <c r="T1893" s="432">
        <f>IFERROR(HLOOKUP(B1893,[1]pp3p1m!143:145,3,0),0)</f>
        <v>0</v>
      </c>
    </row>
    <row r="1894" spans="1:20" ht="22.2" hidden="1" customHeight="1">
      <c r="A1894" s="379"/>
      <c r="B1894" s="410" t="s">
        <v>1261</v>
      </c>
      <c r="C1894" s="469" t="str">
        <f t="shared" si="316"/>
        <v xml:space="preserve"> </v>
      </c>
      <c r="D1894" s="439"/>
      <c r="E1894" s="422"/>
      <c r="F1894" s="441" t="str">
        <f>VLOOKUP($B1894,[1]DG!A:D,[1]DG!$C$2,)&amp;" + bulon"</f>
        <v>Rack 2 sứ + sứ ống chỉ + bulon</v>
      </c>
      <c r="G1894" s="422" t="str">
        <f>VLOOKUP($B1894,[1]DG!A:D,[1]DG!$D$2,)</f>
        <v>bộ</v>
      </c>
      <c r="H1894" s="435">
        <f t="shared" si="315"/>
        <v>0</v>
      </c>
      <c r="I1894" s="435"/>
      <c r="J1894" s="435"/>
      <c r="K1894" s="430">
        <f>IFERROR(HLOOKUP(B1894,[1]pp3p1m!$1:$3,3,0),0)</f>
        <v>0</v>
      </c>
      <c r="L1894" s="435"/>
      <c r="M1894" s="435"/>
      <c r="N1894" s="435"/>
      <c r="O1894" s="435"/>
      <c r="P1894" s="435">
        <f t="shared" si="314"/>
        <v>0</v>
      </c>
      <c r="Q1894" s="457"/>
      <c r="R1894" s="457"/>
      <c r="S1894" s="457"/>
      <c r="T1894" s="432">
        <f>IFERROR(HLOOKUP(B1894,[1]pp3p1m!144:146,3,0),0)</f>
        <v>0</v>
      </c>
    </row>
    <row r="1895" spans="1:20" ht="22.2" hidden="1" customHeight="1">
      <c r="A1895" s="379"/>
      <c r="B1895" s="410" t="s">
        <v>1262</v>
      </c>
      <c r="C1895" s="469" t="str">
        <f t="shared" si="316"/>
        <v xml:space="preserve"> </v>
      </c>
      <c r="D1895" s="439"/>
      <c r="E1895" s="422"/>
      <c r="F1895" s="441" t="str">
        <f>VLOOKUP($B1895,[1]DG!A:D,[1]DG!$C$2,)&amp;" + bulon"</f>
        <v>Rack 3 sứ + sứ ống chỉ + bulon</v>
      </c>
      <c r="G1895" s="422" t="str">
        <f>VLOOKUP($B1895,[1]DG!A:D,[1]DG!$D$2,)</f>
        <v>bộ</v>
      </c>
      <c r="H1895" s="435">
        <f t="shared" si="315"/>
        <v>0</v>
      </c>
      <c r="I1895" s="435"/>
      <c r="J1895" s="435"/>
      <c r="K1895" s="430">
        <f>IFERROR(HLOOKUP(B1895,[1]pp3p1m!$1:$3,3,0),0)</f>
        <v>0</v>
      </c>
      <c r="L1895" s="435"/>
      <c r="M1895" s="435"/>
      <c r="N1895" s="435"/>
      <c r="O1895" s="435"/>
      <c r="P1895" s="435">
        <f t="shared" si="314"/>
        <v>0</v>
      </c>
      <c r="Q1895" s="457"/>
      <c r="R1895" s="457"/>
      <c r="S1895" s="457"/>
      <c r="T1895" s="432">
        <f>IFERROR(HLOOKUP(B1895,[1]pp3p1m!145:147,3,0),0)</f>
        <v>0</v>
      </c>
    </row>
    <row r="1896" spans="1:20" ht="22.2" hidden="1" customHeight="1">
      <c r="A1896" s="379"/>
      <c r="B1896" s="410" t="s">
        <v>1263</v>
      </c>
      <c r="C1896" s="469" t="str">
        <f t="shared" si="316"/>
        <v xml:space="preserve"> </v>
      </c>
      <c r="D1896" s="439"/>
      <c r="E1896" s="422"/>
      <c r="F1896" s="441" t="str">
        <f>VLOOKUP($B1896,[1]DG!A:D,[1]DG!$C$2,)&amp;" + bulon"</f>
        <v>Rack 4 + bulon</v>
      </c>
      <c r="G1896" s="422" t="str">
        <f>VLOOKUP($B1896,[1]DG!A:D,[1]DG!$D$2,)</f>
        <v>cái</v>
      </c>
      <c r="H1896" s="435">
        <f t="shared" si="315"/>
        <v>0</v>
      </c>
      <c r="I1896" s="435"/>
      <c r="J1896" s="435"/>
      <c r="K1896" s="430">
        <f>IFERROR(HLOOKUP(B1896,[1]pp3p1m!$1:$3,3,0),0)</f>
        <v>0</v>
      </c>
      <c r="L1896" s="435"/>
      <c r="M1896" s="435"/>
      <c r="N1896" s="435"/>
      <c r="O1896" s="435"/>
      <c r="P1896" s="435">
        <f t="shared" ref="P1896:P1928" si="320">P$1831*$D1896</f>
        <v>0</v>
      </c>
      <c r="Q1896" s="457"/>
      <c r="R1896" s="457"/>
      <c r="S1896" s="457"/>
      <c r="T1896" s="432">
        <f>IFERROR(HLOOKUP(B1896,[1]pp3p1m!146:148,3,0),0)</f>
        <v>0</v>
      </c>
    </row>
    <row r="1897" spans="1:20" ht="22.2" hidden="1" customHeight="1">
      <c r="A1897" s="379"/>
      <c r="B1897" s="410" t="s">
        <v>1264</v>
      </c>
      <c r="C1897" s="469" t="str">
        <f t="shared" si="316"/>
        <v xml:space="preserve"> </v>
      </c>
      <c r="D1897" s="439"/>
      <c r="E1897" s="422"/>
      <c r="F1897" s="441" t="str">
        <f>VLOOKUP($B1897,[1]DG!A:D,[1]DG!$C$2,)</f>
        <v>Boulon 16x350+ 2 long đền vuông D18-50x50x3/Zn</v>
      </c>
      <c r="G1897" s="422" t="str">
        <f>VLOOKUP($B1897,[1]DG!A:D,[1]DG!$D$2,)</f>
        <v>bộ</v>
      </c>
      <c r="H1897" s="435">
        <f t="shared" si="315"/>
        <v>0</v>
      </c>
      <c r="I1897" s="435"/>
      <c r="J1897" s="435"/>
      <c r="K1897" s="430">
        <f>IFERROR(HLOOKUP(B1897,[1]pp3p1m!$1:$3,3,0),0)</f>
        <v>0</v>
      </c>
      <c r="L1897" s="435"/>
      <c r="M1897" s="435"/>
      <c r="N1897" s="435"/>
      <c r="O1897" s="435"/>
      <c r="P1897" s="435">
        <f t="shared" si="320"/>
        <v>0</v>
      </c>
      <c r="Q1897" s="457"/>
      <c r="R1897" s="457"/>
      <c r="S1897" s="457"/>
      <c r="T1897" s="432">
        <f>IFERROR(HLOOKUP(B1897,[1]pp3p1m!147:149,3,0),0)</f>
        <v>0</v>
      </c>
    </row>
    <row r="1898" spans="1:20" ht="22.2" hidden="1" customHeight="1">
      <c r="A1898" s="379"/>
      <c r="B1898" s="410" t="s">
        <v>421</v>
      </c>
      <c r="C1898" s="465" t="str">
        <f t="shared" si="316"/>
        <v xml:space="preserve"> </v>
      </c>
      <c r="D1898" s="439"/>
      <c r="E1898" s="422"/>
      <c r="F1898" s="441" t="str">
        <f>VLOOKUP($B1898,[1]DG!A:D,[1]DG!$C$2,)</f>
        <v>Bass LI bắt FCO</v>
      </c>
      <c r="G1898" s="422" t="str">
        <f>VLOOKUP($B1898,[1]DG!A:D,[1]DG!$D$2,)</f>
        <v>Bộ</v>
      </c>
      <c r="H1898" s="435">
        <f t="shared" si="315"/>
        <v>0</v>
      </c>
      <c r="I1898" s="435"/>
      <c r="J1898" s="435"/>
      <c r="K1898" s="430">
        <f>IFERROR(HLOOKUP(B1898,[1]pp3p1m!$1:$3,3,0),0)</f>
        <v>0</v>
      </c>
      <c r="L1898" s="435"/>
      <c r="M1898" s="435"/>
      <c r="N1898" s="435"/>
      <c r="O1898" s="435"/>
      <c r="P1898" s="435">
        <f>T1898</f>
        <v>0</v>
      </c>
      <c r="Q1898" s="442"/>
      <c r="R1898" s="442"/>
      <c r="S1898" s="442"/>
      <c r="T1898" s="432">
        <f>IFERROR(HLOOKUP(B1898,[1]pp3p1m!$1:$3,3,0),0)</f>
        <v>0</v>
      </c>
    </row>
    <row r="1899" spans="1:20" ht="22.2" hidden="1" customHeight="1">
      <c r="A1899" s="379"/>
      <c r="B1899" s="410" t="s">
        <v>1265</v>
      </c>
      <c r="C1899" s="469" t="str">
        <f t="shared" si="316"/>
        <v xml:space="preserve"> </v>
      </c>
      <c r="D1899" s="439"/>
      <c r="E1899" s="422"/>
      <c r="F1899" s="441" t="str">
        <f>VLOOKUP($B1899,[1]DG!A:D,[1]DG!$C$2,)</f>
        <v>Bass LI bắt LA</v>
      </c>
      <c r="G1899" s="422" t="str">
        <f>VLOOKUP($B1899,[1]DG!A:D,[1]DG!$D$2,)</f>
        <v>Bộ</v>
      </c>
      <c r="H1899" s="435">
        <f t="shared" ref="H1899:H1953" si="321">K1899</f>
        <v>0</v>
      </c>
      <c r="I1899" s="435"/>
      <c r="J1899" s="435"/>
      <c r="K1899" s="430">
        <f>IFERROR(HLOOKUP(B1899,[1]pp3p1m!$1:$3,3,0),0)</f>
        <v>0</v>
      </c>
      <c r="L1899" s="435"/>
      <c r="M1899" s="435"/>
      <c r="N1899" s="435"/>
      <c r="O1899" s="435"/>
      <c r="P1899" s="435">
        <f t="shared" si="320"/>
        <v>0</v>
      </c>
      <c r="Q1899" s="457"/>
      <c r="R1899" s="457"/>
      <c r="S1899" s="457"/>
      <c r="T1899" s="432">
        <f>IFERROR(HLOOKUP(B1899,[1]pp3p1m!149:151,3,0),0)</f>
        <v>0</v>
      </c>
    </row>
    <row r="1900" spans="1:20" ht="22.2" hidden="1" customHeight="1">
      <c r="B1900" s="406" t="s">
        <v>1266</v>
      </c>
      <c r="C1900" s="465" t="str">
        <f t="shared" si="316"/>
        <v xml:space="preserve"> </v>
      </c>
      <c r="D1900" s="439"/>
      <c r="E1900" s="422"/>
      <c r="F1900" s="441" t="str">
        <f>VLOOKUP($B1900,[1]DG!A:D,[1]DG!$C$2,)</f>
        <v>Cáp nhôm A-70: buộc cổ sứ</v>
      </c>
      <c r="G1900" s="422" t="str">
        <f>VLOOKUP($B1900,[1]DG!A:D,[1]DG!$D$2,)</f>
        <v>kg</v>
      </c>
      <c r="H1900" s="435">
        <f t="shared" si="321"/>
        <v>0</v>
      </c>
      <c r="I1900" s="435"/>
      <c r="J1900" s="435"/>
      <c r="K1900" s="430">
        <f>IFERROR(HLOOKUP(B1900,[1]pp3p1m!$1:$3,3,0),0)</f>
        <v>0</v>
      </c>
      <c r="L1900" s="435"/>
      <c r="M1900" s="435"/>
      <c r="N1900" s="435"/>
      <c r="O1900" s="435"/>
      <c r="P1900" s="435">
        <f t="shared" si="320"/>
        <v>0</v>
      </c>
      <c r="Q1900" s="457"/>
      <c r="R1900" s="457"/>
      <c r="S1900" s="457"/>
      <c r="T1900" s="432">
        <f>IFERROR(HLOOKUP(B1900,[1]pp3p1m!150:152,3,0),0)</f>
        <v>0</v>
      </c>
    </row>
    <row r="1901" spans="1:20" ht="22.2" hidden="1" customHeight="1">
      <c r="A1901" s="379"/>
      <c r="B1901" s="410" t="s">
        <v>208</v>
      </c>
      <c r="C1901" s="465" t="str">
        <f t="shared" si="316"/>
        <v xml:space="preserve"> </v>
      </c>
      <c r="D1901" s="440"/>
      <c r="E1901" s="422"/>
      <c r="F1901" s="441" t="str">
        <f>VLOOKUP($B1901,[1]DG!A:D,[1]DG!$C$2,)</f>
        <v>Chụp cách điện đầu cực FCO (trên + dưới)</v>
      </c>
      <c r="G1901" s="422" t="str">
        <f>VLOOKUP($B1901,[1]DG!A:D,[1]DG!$D$2,)</f>
        <v>bộ</v>
      </c>
      <c r="H1901" s="435">
        <f t="shared" si="321"/>
        <v>0</v>
      </c>
      <c r="I1901" s="435"/>
      <c r="J1901" s="435"/>
      <c r="K1901" s="430">
        <f>IFERROR(HLOOKUP(B1901,[1]pp3p1m!$1:$3,3,0),0)</f>
        <v>0</v>
      </c>
      <c r="L1901" s="435"/>
      <c r="M1901" s="435"/>
      <c r="N1901" s="435"/>
      <c r="O1901" s="435"/>
      <c r="P1901" s="435">
        <f>T1901</f>
        <v>0</v>
      </c>
      <c r="Q1901" s="442"/>
      <c r="R1901" s="457"/>
      <c r="S1901" s="457"/>
      <c r="T1901" s="432">
        <f>IFERROR(HLOOKUP(B1901,[1]pp3p1m!$1:$3,3,0),0)</f>
        <v>0</v>
      </c>
    </row>
    <row r="1902" spans="1:20" ht="22.2" hidden="1" customHeight="1">
      <c r="A1902" s="379"/>
      <c r="B1902" s="406" t="s">
        <v>1178</v>
      </c>
      <c r="C1902" s="469" t="str">
        <f t="shared" si="316"/>
        <v xml:space="preserve"> </v>
      </c>
      <c r="D1902" s="440"/>
      <c r="E1902" s="422"/>
      <c r="F1902" s="441" t="str">
        <f>VLOOKUP($B1902,[1]DG!A:D,[1]DG!$C$2,)</f>
        <v>Biển số - Bảng nguy hiểm</v>
      </c>
      <c r="G1902" s="422" t="str">
        <f>VLOOKUP($B1902,[1]DG!A:D,[1]DG!$D$2,)</f>
        <v>cái</v>
      </c>
      <c r="H1902" s="435">
        <f>D1902</f>
        <v>0</v>
      </c>
      <c r="I1902" s="435"/>
      <c r="J1902" s="435"/>
      <c r="K1902" s="430">
        <f>IFERROR(HLOOKUP(B1902,[1]pp3p1m!$1:$3,3,0),0)</f>
        <v>0</v>
      </c>
      <c r="L1902" s="435"/>
      <c r="M1902" s="435"/>
      <c r="N1902" s="435"/>
      <c r="O1902" s="435"/>
      <c r="P1902" s="435">
        <f t="shared" si="320"/>
        <v>0</v>
      </c>
      <c r="Q1902" s="442"/>
      <c r="R1902" s="442"/>
      <c r="S1902" s="442"/>
      <c r="T1902" s="432">
        <f>IFERROR(HLOOKUP(B1902,[1]pp3p1m!$1:$3,3,0),0)</f>
        <v>0</v>
      </c>
    </row>
    <row r="1903" spans="1:20" ht="22.2" hidden="1" customHeight="1">
      <c r="A1903" s="379"/>
      <c r="B1903" s="406" t="s">
        <v>1179</v>
      </c>
      <c r="C1903" s="465" t="str">
        <f t="shared" si="316"/>
        <v>x</v>
      </c>
      <c r="D1903" s="433">
        <f>(E1756)/1000</f>
        <v>0.75570000000000004</v>
      </c>
      <c r="E1903" s="422" t="str">
        <f>VLOOKUP($B1903,[1]DG!A:D,[1]DG!$B$2,)</f>
        <v>06.6114</v>
      </c>
      <c r="F1903" s="434" t="str">
        <f>VLOOKUP($B1903,[1]DG!A:D,[1]DG!$C$2,)</f>
        <v>Kéo dây nhôm lõi thép cỡ dây 50mm2</v>
      </c>
      <c r="G1903" s="422" t="str">
        <f>VLOOKUP($B1903,[1]DG!A:D,[1]DG!$D$2,)</f>
        <v>km</v>
      </c>
      <c r="H1903" s="435">
        <f>D1903</f>
        <v>0.75570000000000004</v>
      </c>
      <c r="I1903" s="435"/>
      <c r="J1903" s="435"/>
      <c r="K1903" s="430">
        <f>IFERROR(HLOOKUP(B1903,[1]pp3p1m!$1:$3,3,0),0)</f>
        <v>0</v>
      </c>
      <c r="L1903" s="435"/>
      <c r="M1903" s="435"/>
      <c r="N1903" s="435"/>
      <c r="O1903" s="435"/>
      <c r="P1903" s="435">
        <f>H1903</f>
        <v>0.75570000000000004</v>
      </c>
      <c r="Q1903" s="442"/>
      <c r="R1903" s="442"/>
      <c r="S1903" s="442"/>
      <c r="T1903" s="432">
        <f>IFERROR(HLOOKUP(B1903,[1]pp3p1m!153:155,3,0),0)</f>
        <v>0</v>
      </c>
    </row>
    <row r="1904" spans="1:20" ht="22.2" hidden="1" customHeight="1">
      <c r="A1904" s="379"/>
      <c r="B1904" s="410" t="s">
        <v>1181</v>
      </c>
      <c r="C1904" s="469" t="str">
        <f t="shared" si="316"/>
        <v xml:space="preserve"> </v>
      </c>
      <c r="D1904" s="433">
        <f>(E1755)/1000</f>
        <v>0</v>
      </c>
      <c r="E1904" s="422" t="str">
        <f>VLOOKUP($B1904,[1]DG!A:D,[1]DG!$B$2,)</f>
        <v>06.6105</v>
      </c>
      <c r="F1904" s="434" t="str">
        <f>VLOOKUP($B1904,[1]DG!A:D,[1]DG!$C$2,)</f>
        <v>Kéo dây nhôm lõi thép cỡ dây 70mm2</v>
      </c>
      <c r="G1904" s="422" t="str">
        <f>VLOOKUP($B1904,[1]DG!A:D,[1]DG!$D$2,)</f>
        <v>km</v>
      </c>
      <c r="H1904" s="520">
        <f t="shared" ref="H1904:H1930" si="322">D1904</f>
        <v>0</v>
      </c>
      <c r="I1904" s="435"/>
      <c r="J1904" s="435"/>
      <c r="K1904" s="430">
        <f>IFERROR(HLOOKUP(B1904,[1]pp3p1m!$1:$3,3,0),0)</f>
        <v>0</v>
      </c>
      <c r="L1904" s="435"/>
      <c r="M1904" s="435"/>
      <c r="N1904" s="435"/>
      <c r="O1904" s="435"/>
      <c r="P1904" s="435">
        <f t="shared" si="320"/>
        <v>0</v>
      </c>
      <c r="Q1904" s="442"/>
      <c r="R1904" s="442"/>
      <c r="S1904" s="442"/>
      <c r="T1904" s="432">
        <f>IFERROR(HLOOKUP(B1904,[1]pp3p1m!154:156,3,0),0)</f>
        <v>0</v>
      </c>
    </row>
    <row r="1905" spans="1:20" ht="22.2" hidden="1" customHeight="1">
      <c r="A1905" s="379"/>
      <c r="B1905" s="410" t="s">
        <v>1182</v>
      </c>
      <c r="C1905" s="469" t="str">
        <f t="shared" si="316"/>
        <v xml:space="preserve"> </v>
      </c>
      <c r="D1905" s="433">
        <f>(E1754)/1000</f>
        <v>0</v>
      </c>
      <c r="E1905" s="422" t="str">
        <f>VLOOKUP($B1905,[1]DG!A:D,[1]DG!$B$2,)</f>
        <v>06.6106</v>
      </c>
      <c r="F1905" s="434" t="str">
        <f>VLOOKUP($B1905,[1]DG!A:D,[1]DG!$C$2,)</f>
        <v>Kéo dây nhôm lõi thép cỡ dây 95mm2</v>
      </c>
      <c r="G1905" s="422" t="str">
        <f>VLOOKUP($B1905,[1]DG!A:D,[1]DG!$D$2,)</f>
        <v>km</v>
      </c>
      <c r="H1905" s="520">
        <f t="shared" si="322"/>
        <v>0</v>
      </c>
      <c r="I1905" s="435"/>
      <c r="J1905" s="435"/>
      <c r="K1905" s="430">
        <f>IFERROR(HLOOKUP(B1905,[1]pp3p1m!$1:$3,3,0),0)</f>
        <v>0</v>
      </c>
      <c r="L1905" s="435"/>
      <c r="M1905" s="435"/>
      <c r="N1905" s="435"/>
      <c r="O1905" s="435"/>
      <c r="P1905" s="435">
        <f t="shared" si="320"/>
        <v>0</v>
      </c>
      <c r="Q1905" s="442"/>
      <c r="R1905" s="442"/>
      <c r="S1905" s="442"/>
      <c r="T1905" s="432">
        <f>IFERROR(HLOOKUP(B1905,[1]pp3p1m!155:157,3,0),0)</f>
        <v>0</v>
      </c>
    </row>
    <row r="1906" spans="1:20" ht="22.2" hidden="1" customHeight="1">
      <c r="A1906" s="379"/>
      <c r="B1906" s="410" t="s">
        <v>1183</v>
      </c>
      <c r="C1906" s="469" t="str">
        <f t="shared" si="316"/>
        <v xml:space="preserve"> </v>
      </c>
      <c r="D1906" s="433">
        <f>(E1753)/1000</f>
        <v>0</v>
      </c>
      <c r="E1906" s="422" t="str">
        <f>VLOOKUP($B1906,[1]DG!A:D,[1]DG!$B$2,)</f>
        <v>06.6107</v>
      </c>
      <c r="F1906" s="434" t="str">
        <f>VLOOKUP($B1906,[1]DG!A:D,[1]DG!$C$2,)</f>
        <v>Kéo dây nhôm lõi thép cỡ dây 120mm2</v>
      </c>
      <c r="G1906" s="422" t="str">
        <f>VLOOKUP($B1906,[1]DG!A:D,[1]DG!$D$2,)</f>
        <v>km</v>
      </c>
      <c r="H1906" s="520">
        <f t="shared" si="322"/>
        <v>0</v>
      </c>
      <c r="I1906" s="435"/>
      <c r="J1906" s="435"/>
      <c r="K1906" s="430">
        <f>IFERROR(HLOOKUP(B1906,[1]pp3p1m!$1:$3,3,0),0)</f>
        <v>0</v>
      </c>
      <c r="L1906" s="435"/>
      <c r="M1906" s="435"/>
      <c r="N1906" s="435"/>
      <c r="O1906" s="435"/>
      <c r="P1906" s="435">
        <f t="shared" si="320"/>
        <v>0</v>
      </c>
      <c r="Q1906" s="442"/>
      <c r="R1906" s="442"/>
      <c r="S1906" s="442"/>
      <c r="T1906" s="432">
        <f>IFERROR(HLOOKUP(B1906,[1]pp3p1m!156:158,3,0),0)</f>
        <v>0</v>
      </c>
    </row>
    <row r="1907" spans="1:20" ht="22.2" hidden="1" customHeight="1">
      <c r="A1907" s="379"/>
      <c r="B1907" s="410" t="s">
        <v>1184</v>
      </c>
      <c r="C1907" s="469" t="str">
        <f t="shared" si="316"/>
        <v xml:space="preserve"> </v>
      </c>
      <c r="D1907" s="433">
        <f>(E1752)/1000</f>
        <v>0</v>
      </c>
      <c r="E1907" s="422" t="str">
        <f>VLOOKUP($B1907,[1]DG!A:D,[1]DG!$B$2,)</f>
        <v>06.6108</v>
      </c>
      <c r="F1907" s="434" t="str">
        <f>VLOOKUP($B1907,[1]DG!A:D,[1]DG!$C$2,)</f>
        <v>Kéo dây nhôm lõi thép cỡ dây 150mm2</v>
      </c>
      <c r="G1907" s="422" t="str">
        <f>VLOOKUP($B1907,[1]DG!A:D,[1]DG!$D$2,)</f>
        <v>km</v>
      </c>
      <c r="H1907" s="520">
        <f t="shared" si="322"/>
        <v>0</v>
      </c>
      <c r="I1907" s="435"/>
      <c r="J1907" s="435"/>
      <c r="K1907" s="430">
        <f>IFERROR(HLOOKUP(B1907,[1]pp3p1m!$1:$3,3,0),0)</f>
        <v>0</v>
      </c>
      <c r="L1907" s="435"/>
      <c r="M1907" s="435"/>
      <c r="N1907" s="435"/>
      <c r="O1907" s="435"/>
      <c r="P1907" s="435">
        <f t="shared" si="320"/>
        <v>0</v>
      </c>
      <c r="Q1907" s="442"/>
      <c r="R1907" s="442"/>
      <c r="S1907" s="442"/>
      <c r="T1907" s="432">
        <f>IFERROR(HLOOKUP(B1907,[1]pp3p1m!157:159,3,0),0)</f>
        <v>0</v>
      </c>
    </row>
    <row r="1908" spans="1:20" ht="22.2" hidden="1" customHeight="1">
      <c r="A1908" s="379"/>
      <c r="B1908" s="410" t="s">
        <v>1186</v>
      </c>
      <c r="C1908" s="469" t="str">
        <f t="shared" si="316"/>
        <v xml:space="preserve"> </v>
      </c>
      <c r="D1908" s="433">
        <f>(E1751)/1000</f>
        <v>0</v>
      </c>
      <c r="E1908" s="422" t="str">
        <f>VLOOKUP($B1908,[1]DG!A:D,[1]DG!$B$2,)</f>
        <v>06.6109</v>
      </c>
      <c r="F1908" s="434" t="str">
        <f>VLOOKUP($B1908,[1]DG!A:D,[1]DG!$C$2,)</f>
        <v>Kéo dây nhôm lõi thép cỡ dây 185mm2</v>
      </c>
      <c r="G1908" s="422" t="str">
        <f>VLOOKUP($B1908,[1]DG!A:D,[1]DG!$D$2,)</f>
        <v>km</v>
      </c>
      <c r="H1908" s="520">
        <f t="shared" si="322"/>
        <v>0</v>
      </c>
      <c r="I1908" s="435"/>
      <c r="J1908" s="435"/>
      <c r="K1908" s="430">
        <f>IFERROR(HLOOKUP(B1908,[1]pp3p1m!$1:$3,3,0),0)</f>
        <v>0</v>
      </c>
      <c r="L1908" s="435"/>
      <c r="M1908" s="435"/>
      <c r="N1908" s="435"/>
      <c r="O1908" s="435"/>
      <c r="P1908" s="435">
        <f t="shared" si="320"/>
        <v>0</v>
      </c>
      <c r="Q1908" s="442"/>
      <c r="R1908" s="442"/>
      <c r="S1908" s="442"/>
      <c r="T1908" s="432">
        <f>IFERROR(HLOOKUP(B1908,[1]pp3p1m!158:160,3,0),0)</f>
        <v>0</v>
      </c>
    </row>
    <row r="1909" spans="1:20" ht="22.2" hidden="1" customHeight="1">
      <c r="A1909" s="379"/>
      <c r="B1909" s="410" t="s">
        <v>1187</v>
      </c>
      <c r="C1909" s="469" t="str">
        <f t="shared" si="316"/>
        <v xml:space="preserve"> </v>
      </c>
      <c r="D1909" s="433">
        <f>(E1750)/1000</f>
        <v>0</v>
      </c>
      <c r="E1909" s="422" t="str">
        <f>VLOOKUP($B1909,[1]DG!A:D,[1]DG!$B$2,)</f>
        <v>06.6110</v>
      </c>
      <c r="F1909" s="434" t="str">
        <f>VLOOKUP($B1909,[1]DG!A:D,[1]DG!$C$2,)</f>
        <v>Kéo dây nhôm lõi thép cỡ dây 240mm2</v>
      </c>
      <c r="G1909" s="422" t="str">
        <f>VLOOKUP($B1909,[1]DG!A:D,[1]DG!$D$2,)</f>
        <v>km</v>
      </c>
      <c r="H1909" s="520">
        <f t="shared" si="322"/>
        <v>0</v>
      </c>
      <c r="I1909" s="435"/>
      <c r="J1909" s="435"/>
      <c r="K1909" s="430">
        <f>IFERROR(HLOOKUP(B1909,[1]pp3p1m!$1:$3,3,0),0)</f>
        <v>0</v>
      </c>
      <c r="L1909" s="435"/>
      <c r="M1909" s="435"/>
      <c r="N1909" s="435"/>
      <c r="O1909" s="435"/>
      <c r="P1909" s="435">
        <f t="shared" si="320"/>
        <v>0</v>
      </c>
      <c r="Q1909" s="442"/>
      <c r="R1909" s="442"/>
      <c r="S1909" s="442"/>
      <c r="T1909" s="432">
        <f>IFERROR(HLOOKUP(B1909,[1]pp3p1m!159:161,3,0),0)</f>
        <v>0</v>
      </c>
    </row>
    <row r="1910" spans="1:20" ht="22.2" hidden="1" customHeight="1">
      <c r="A1910" s="379"/>
      <c r="B1910" s="406" t="s">
        <v>1185</v>
      </c>
      <c r="C1910" s="465" t="str">
        <f t="shared" si="316"/>
        <v>x</v>
      </c>
      <c r="D1910" s="433">
        <f>E1757/1000</f>
        <v>2.2679999999999998</v>
      </c>
      <c r="E1910" s="422" t="str">
        <f>VLOOKUP($B1910,[1]DG!A:D,[1]DG!$B$2,)</f>
        <v>06.6114</v>
      </c>
      <c r="F1910" s="434" t="str">
        <f>VLOOKUP($B1910,[1]DG!A:D,[1]DG!$C$2,)</f>
        <v>Kéo dây nhôm bọc cỡ dây 50mm2</v>
      </c>
      <c r="G1910" s="422" t="str">
        <f>VLOOKUP($B1910,[1]DG!A:D,[1]DG!$D$2,)</f>
        <v>km</v>
      </c>
      <c r="H1910" s="435">
        <f t="shared" si="322"/>
        <v>2.2679999999999998</v>
      </c>
      <c r="I1910" s="435"/>
      <c r="J1910" s="435"/>
      <c r="K1910" s="430">
        <f>IFERROR(HLOOKUP(B1910,[1]pp3p1m!$1:$3,3,0),0)</f>
        <v>0</v>
      </c>
      <c r="L1910" s="435"/>
      <c r="M1910" s="435"/>
      <c r="N1910" s="435"/>
      <c r="O1910" s="435"/>
      <c r="P1910" s="435">
        <f>H1910</f>
        <v>2.2679999999999998</v>
      </c>
      <c r="Q1910" s="442"/>
      <c r="R1910" s="442"/>
      <c r="S1910" s="442"/>
      <c r="T1910" s="432">
        <f>IFERROR(HLOOKUP(B1910,[1]pp3p1m!160:162,3,0),0)</f>
        <v>0</v>
      </c>
    </row>
    <row r="1911" spans="1:20" ht="22.2" hidden="1" customHeight="1">
      <c r="A1911" s="379"/>
      <c r="B1911" s="410" t="s">
        <v>1267</v>
      </c>
      <c r="C1911" s="469" t="str">
        <f t="shared" si="316"/>
        <v xml:space="preserve"> </v>
      </c>
      <c r="D1911" s="433">
        <f>E1767/1000</f>
        <v>0</v>
      </c>
      <c r="E1911" s="422" t="str">
        <f>VLOOKUP($B1911,[1]DG!A:D,[1]DG!$B$2,)</f>
        <v>06.6142</v>
      </c>
      <c r="F1911" s="434" t="str">
        <f>VLOOKUP($B1911,[1]DG!A:D,[1]DG!$C$2,)</f>
        <v>Kéo dây đồng trần 25mm2</v>
      </c>
      <c r="G1911" s="422" t="str">
        <f>VLOOKUP($B1911,[1]DG!A:D,[1]DG!$D$2,)</f>
        <v>km</v>
      </c>
      <c r="H1911" s="520">
        <f t="shared" si="322"/>
        <v>0</v>
      </c>
      <c r="I1911" s="435"/>
      <c r="J1911" s="435"/>
      <c r="K1911" s="430">
        <f>IFERROR(HLOOKUP(B1911,[1]pp3p1m!$1:$3,3,0),0)</f>
        <v>0</v>
      </c>
      <c r="L1911" s="435"/>
      <c r="M1911" s="435"/>
      <c r="N1911" s="435"/>
      <c r="O1911" s="435"/>
      <c r="P1911" s="435">
        <f t="shared" si="320"/>
        <v>0</v>
      </c>
      <c r="Q1911" s="521"/>
      <c r="R1911" s="521"/>
      <c r="S1911" s="521"/>
      <c r="T1911" s="432">
        <f>IFERROR(HLOOKUP(B1911,[1]pp3p1m!161:163,3,0),0)</f>
        <v>0</v>
      </c>
    </row>
    <row r="1912" spans="1:20" ht="22.2" hidden="1" customHeight="1">
      <c r="A1912" s="379"/>
      <c r="B1912" s="410" t="s">
        <v>1268</v>
      </c>
      <c r="C1912" s="469" t="str">
        <f t="shared" si="316"/>
        <v xml:space="preserve"> </v>
      </c>
      <c r="D1912" s="433">
        <f>E1765/1000</f>
        <v>0</v>
      </c>
      <c r="E1912" s="422" t="str">
        <f>VLOOKUP($B1912,[1]DG!A:D,[1]DG!$B$2,)</f>
        <v>06.6142</v>
      </c>
      <c r="F1912" s="434" t="str">
        <f>VLOOKUP($B1912,[1]DG!A:D,[1]DG!$C$2,)</f>
        <v>Kéo dây đồng bọc 25mm2</v>
      </c>
      <c r="G1912" s="422" t="str">
        <f>VLOOKUP($B1912,[1]DG!A:D,[1]DG!$D$2,)</f>
        <v>km</v>
      </c>
      <c r="H1912" s="520">
        <f t="shared" si="322"/>
        <v>0</v>
      </c>
      <c r="I1912" s="435"/>
      <c r="J1912" s="435"/>
      <c r="K1912" s="430">
        <f>IFERROR(HLOOKUP(B1912,[1]pp3p1m!$1:$3,3,0),0)</f>
        <v>0</v>
      </c>
      <c r="L1912" s="435"/>
      <c r="M1912" s="435"/>
      <c r="N1912" s="435"/>
      <c r="O1912" s="435"/>
      <c r="P1912" s="435">
        <f t="shared" si="320"/>
        <v>0</v>
      </c>
      <c r="Q1912" s="521"/>
      <c r="R1912" s="521"/>
      <c r="S1912" s="521"/>
      <c r="T1912" s="432">
        <f>IFERROR(HLOOKUP(B1912,[1]pp3p1m!162:164,3,0),0)</f>
        <v>0</v>
      </c>
    </row>
    <row r="1913" spans="1:20" ht="22.2" hidden="1" customHeight="1">
      <c r="A1913" s="379"/>
      <c r="B1913" s="410" t="s">
        <v>1269</v>
      </c>
      <c r="C1913" s="469" t="str">
        <f t="shared" si="316"/>
        <v xml:space="preserve"> </v>
      </c>
      <c r="D1913" s="433">
        <f>E1766/1000</f>
        <v>0</v>
      </c>
      <c r="E1913" s="422" t="str">
        <f>VLOOKUP($B1913,[1]DG!A:D,[1]DG!$B$2,)</f>
        <v>06.6144</v>
      </c>
      <c r="F1913" s="434" t="str">
        <f>VLOOKUP($B1913,[1]DG!A:D,[1]DG!$C$2,)</f>
        <v>Kéo dây đồng bọc 50mm3</v>
      </c>
      <c r="G1913" s="422" t="str">
        <f>VLOOKUP($B1913,[1]DG!A:D,[1]DG!$D$2,)</f>
        <v>km</v>
      </c>
      <c r="H1913" s="520">
        <f t="shared" si="322"/>
        <v>0</v>
      </c>
      <c r="I1913" s="435"/>
      <c r="J1913" s="435"/>
      <c r="K1913" s="430">
        <f>IFERROR(HLOOKUP(B1913,[1]pp3p1m!$1:$3,3,0),0)</f>
        <v>0</v>
      </c>
      <c r="L1913" s="435"/>
      <c r="M1913" s="435"/>
      <c r="N1913" s="435"/>
      <c r="O1913" s="435"/>
      <c r="P1913" s="435">
        <f t="shared" si="320"/>
        <v>0</v>
      </c>
      <c r="Q1913" s="521"/>
      <c r="R1913" s="521"/>
      <c r="S1913" s="521"/>
      <c r="T1913" s="432">
        <f>IFERROR(HLOOKUP(B1913,[1]pp3p1m!163:165,3,0),0)</f>
        <v>0</v>
      </c>
    </row>
    <row r="1914" spans="1:20" ht="22.2" hidden="1" customHeight="1">
      <c r="A1914" s="379"/>
      <c r="B1914" s="491" t="s">
        <v>1270</v>
      </c>
      <c r="C1914" s="469" t="str">
        <f t="shared" si="316"/>
        <v xml:space="preserve"> </v>
      </c>
      <c r="D1914" s="433">
        <f>E1764/1000</f>
        <v>0</v>
      </c>
      <c r="E1914" s="422" t="str">
        <f>VLOOKUP($B1914,[1]DG!A:D,[1]DG!$B$2,)</f>
        <v>06.6124</v>
      </c>
      <c r="F1914" s="434" t="str">
        <f>VLOOKUP($B1914,[1]DG!A:D,[1]DG!$C$2,)</f>
        <v>Kéo dây nhôm bọc 50mm2</v>
      </c>
      <c r="G1914" s="422" t="str">
        <f>VLOOKUP($B1914,[1]DG!A:D,[1]DG!$D$2,)</f>
        <v>km</v>
      </c>
      <c r="H1914" s="520">
        <f t="shared" si="322"/>
        <v>0</v>
      </c>
      <c r="I1914" s="435"/>
      <c r="J1914" s="435"/>
      <c r="K1914" s="430">
        <f>IFERROR(HLOOKUP(B1914,[1]pp3p1m!$1:$3,3,0),0)</f>
        <v>0</v>
      </c>
      <c r="L1914" s="435"/>
      <c r="M1914" s="435"/>
      <c r="N1914" s="435"/>
      <c r="O1914" s="435"/>
      <c r="P1914" s="435">
        <f t="shared" si="320"/>
        <v>0</v>
      </c>
      <c r="Q1914" s="521"/>
      <c r="R1914" s="521"/>
      <c r="S1914" s="521"/>
      <c r="T1914" s="432">
        <f>IFERROR(HLOOKUP(B1914,[1]pp3p1m!164:166,3,0),0)</f>
        <v>0</v>
      </c>
    </row>
    <row r="1915" spans="1:20" ht="22.2" hidden="1" customHeight="1">
      <c r="A1915" s="379"/>
      <c r="B1915" s="491" t="s">
        <v>1188</v>
      </c>
      <c r="C1915" s="469" t="str">
        <f t="shared" si="316"/>
        <v xml:space="preserve"> </v>
      </c>
      <c r="D1915" s="433">
        <f>E1763/1000</f>
        <v>0</v>
      </c>
      <c r="E1915" s="422" t="str">
        <f>VLOOKUP($B1915,[1]DG!A:D,[1]DG!$B$2,)</f>
        <v>06.6105</v>
      </c>
      <c r="F1915" s="434" t="str">
        <f>VLOOKUP($B1915,[1]DG!A:D,[1]DG!$C$2,)</f>
        <v>Kéo dây nhôm bọc 70mm2</v>
      </c>
      <c r="G1915" s="422" t="str">
        <f>VLOOKUP($B1915,[1]DG!A:D,[1]DG!$D$2,)</f>
        <v>km</v>
      </c>
      <c r="H1915" s="520">
        <f t="shared" si="322"/>
        <v>0</v>
      </c>
      <c r="I1915" s="435"/>
      <c r="J1915" s="435"/>
      <c r="K1915" s="430">
        <f>IFERROR(HLOOKUP(B1915,[1]pp3p1m!$1:$3,3,0),0)</f>
        <v>0</v>
      </c>
      <c r="L1915" s="435"/>
      <c r="M1915" s="435"/>
      <c r="N1915" s="435"/>
      <c r="O1915" s="435"/>
      <c r="P1915" s="435">
        <f t="shared" si="320"/>
        <v>0</v>
      </c>
      <c r="Q1915" s="442"/>
      <c r="R1915" s="442"/>
      <c r="S1915" s="442"/>
      <c r="T1915" s="432">
        <f>IFERROR(HLOOKUP(B1915,[1]pp3p1m!165:167,3,0),0)</f>
        <v>0</v>
      </c>
    </row>
    <row r="1916" spans="1:20" ht="22.2" hidden="1" customHeight="1">
      <c r="A1916" s="379"/>
      <c r="B1916" s="491" t="s">
        <v>1189</v>
      </c>
      <c r="C1916" s="469" t="str">
        <f t="shared" si="316"/>
        <v xml:space="preserve"> </v>
      </c>
      <c r="D1916" s="433">
        <f>E1762/1000</f>
        <v>0</v>
      </c>
      <c r="E1916" s="422" t="str">
        <f>VLOOKUP($B1916,[1]DG!A:D,[1]DG!$B$2,)</f>
        <v>06.6106</v>
      </c>
      <c r="F1916" s="434" t="str">
        <f>VLOOKUP($B1916,[1]DG!A:D,[1]DG!$C$2,)</f>
        <v>Kéo dây nhôm bọc 95mm2</v>
      </c>
      <c r="G1916" s="422" t="str">
        <f>VLOOKUP($B1916,[1]DG!A:D,[1]DG!$D$2,)</f>
        <v>km</v>
      </c>
      <c r="H1916" s="520">
        <f t="shared" si="322"/>
        <v>0</v>
      </c>
      <c r="I1916" s="435"/>
      <c r="J1916" s="435"/>
      <c r="K1916" s="430">
        <f>IFERROR(HLOOKUP(B1916,[1]pp3p1m!$1:$3,3,0),0)</f>
        <v>0</v>
      </c>
      <c r="L1916" s="435"/>
      <c r="M1916" s="435"/>
      <c r="N1916" s="435"/>
      <c r="O1916" s="435"/>
      <c r="P1916" s="435">
        <f t="shared" si="320"/>
        <v>0</v>
      </c>
      <c r="Q1916" s="442"/>
      <c r="R1916" s="442"/>
      <c r="S1916" s="442"/>
      <c r="T1916" s="432">
        <f>IFERROR(HLOOKUP(B1916,[1]pp3p1m!166:168,3,0),0)</f>
        <v>0</v>
      </c>
    </row>
    <row r="1917" spans="1:20" ht="22.2" hidden="1" customHeight="1">
      <c r="A1917" s="379"/>
      <c r="B1917" s="491" t="s">
        <v>1190</v>
      </c>
      <c r="C1917" s="469" t="str">
        <f t="shared" si="316"/>
        <v xml:space="preserve"> </v>
      </c>
      <c r="D1917" s="433">
        <f>E1761/1000</f>
        <v>0</v>
      </c>
      <c r="E1917" s="422" t="str">
        <f>VLOOKUP($B1917,[1]DG!A:D,[1]DG!$B$2,)</f>
        <v>06.6107</v>
      </c>
      <c r="F1917" s="434" t="str">
        <f>VLOOKUP($B1917,[1]DG!A:D,[1]DG!$C$2,)</f>
        <v>Kéo dây nhôm bọc 120mm2</v>
      </c>
      <c r="G1917" s="422" t="str">
        <f>VLOOKUP($B1917,[1]DG!A:D,[1]DG!$D$2,)</f>
        <v>km</v>
      </c>
      <c r="H1917" s="520">
        <f t="shared" si="322"/>
        <v>0</v>
      </c>
      <c r="I1917" s="435"/>
      <c r="J1917" s="435"/>
      <c r="K1917" s="430">
        <f>IFERROR(HLOOKUP(B1917,[1]pp3p1m!$1:$3,3,0),0)</f>
        <v>0</v>
      </c>
      <c r="L1917" s="435"/>
      <c r="M1917" s="435"/>
      <c r="N1917" s="435"/>
      <c r="O1917" s="435"/>
      <c r="P1917" s="435">
        <f t="shared" si="320"/>
        <v>0</v>
      </c>
      <c r="Q1917" s="442"/>
      <c r="R1917" s="442"/>
      <c r="S1917" s="442"/>
      <c r="T1917" s="432">
        <f>IFERROR(HLOOKUP(B1917,[1]pp3p1m!167:169,3,0),0)</f>
        <v>0</v>
      </c>
    </row>
    <row r="1918" spans="1:20" ht="22.2" hidden="1" customHeight="1">
      <c r="A1918" s="379"/>
      <c r="B1918" s="491" t="s">
        <v>1191</v>
      </c>
      <c r="C1918" s="469" t="str">
        <f t="shared" si="316"/>
        <v xml:space="preserve"> </v>
      </c>
      <c r="D1918" s="433">
        <f>E1760/1000</f>
        <v>0</v>
      </c>
      <c r="E1918" s="422" t="str">
        <f>VLOOKUP($B1918,[1]DG!A:D,[1]DG!$B$2,)</f>
        <v>06.6108</v>
      </c>
      <c r="F1918" s="434" t="str">
        <f>VLOOKUP($B1918,[1]DG!A:D,[1]DG!$C$2,)</f>
        <v>Kéo dây nhôm bọc 150mm2</v>
      </c>
      <c r="G1918" s="422" t="str">
        <f>VLOOKUP($B1918,[1]DG!A:D,[1]DG!$D$2,)</f>
        <v>km</v>
      </c>
      <c r="H1918" s="520">
        <f t="shared" si="322"/>
        <v>0</v>
      </c>
      <c r="I1918" s="435"/>
      <c r="J1918" s="435"/>
      <c r="K1918" s="430">
        <f>IFERROR(HLOOKUP(B1918,[1]pp3p1m!$1:$3,3,0),0)</f>
        <v>0</v>
      </c>
      <c r="L1918" s="435"/>
      <c r="M1918" s="435"/>
      <c r="N1918" s="435"/>
      <c r="O1918" s="435"/>
      <c r="P1918" s="435">
        <f t="shared" si="320"/>
        <v>0</v>
      </c>
      <c r="Q1918" s="442"/>
      <c r="R1918" s="442"/>
      <c r="S1918" s="442"/>
      <c r="T1918" s="432">
        <f>IFERROR(HLOOKUP(B1918,[1]pp3p1m!168:170,3,0),0)</f>
        <v>0</v>
      </c>
    </row>
    <row r="1919" spans="1:20" ht="22.2" hidden="1" customHeight="1">
      <c r="A1919" s="379"/>
      <c r="B1919" s="491" t="s">
        <v>1192</v>
      </c>
      <c r="C1919" s="469" t="str">
        <f t="shared" ref="C1919:C1984" si="323">IF(OR(P1919&lt;&gt;0,H1919&lt;&gt;0),"x"," ")</f>
        <v xml:space="preserve"> </v>
      </c>
      <c r="D1919" s="433">
        <f>E1759/1000</f>
        <v>0</v>
      </c>
      <c r="E1919" s="422" t="str">
        <f>VLOOKUP($B1919,[1]DG!A:D,[1]DG!$B$2,)</f>
        <v>06.6109</v>
      </c>
      <c r="F1919" s="434" t="str">
        <f>VLOOKUP($B1919,[1]DG!A:D,[1]DG!$C$2,)</f>
        <v>Kéo dây nhôm bọc 185mm2</v>
      </c>
      <c r="G1919" s="422" t="str">
        <f>VLOOKUP($B1919,[1]DG!A:D,[1]DG!$D$2,)</f>
        <v>km</v>
      </c>
      <c r="H1919" s="520">
        <f t="shared" si="322"/>
        <v>0</v>
      </c>
      <c r="I1919" s="435"/>
      <c r="J1919" s="435"/>
      <c r="K1919" s="430">
        <f>IFERROR(HLOOKUP(B1919,[1]pp3p1m!$1:$3,3,0),0)</f>
        <v>0</v>
      </c>
      <c r="L1919" s="435"/>
      <c r="M1919" s="435"/>
      <c r="N1919" s="435"/>
      <c r="O1919" s="435"/>
      <c r="P1919" s="435">
        <f t="shared" si="320"/>
        <v>0</v>
      </c>
      <c r="Q1919" s="442"/>
      <c r="R1919" s="442"/>
      <c r="S1919" s="442"/>
      <c r="T1919" s="432">
        <f>IFERROR(HLOOKUP(B1919,[1]pp3p1m!169:171,3,0),0)</f>
        <v>0</v>
      </c>
    </row>
    <row r="1920" spans="1:20" ht="22.2" hidden="1" customHeight="1">
      <c r="A1920" s="379"/>
      <c r="B1920" s="491" t="s">
        <v>1193</v>
      </c>
      <c r="C1920" s="469" t="str">
        <f t="shared" si="323"/>
        <v xml:space="preserve"> </v>
      </c>
      <c r="D1920" s="433">
        <f>E1758/1000</f>
        <v>0</v>
      </c>
      <c r="E1920" s="422" t="str">
        <f>VLOOKUP($B1920,[1]DG!A:D,[1]DG!$B$2,)</f>
        <v>06.6110</v>
      </c>
      <c r="F1920" s="434" t="str">
        <f>VLOOKUP($B1920,[1]DG!A:D,[1]DG!$C$2,)</f>
        <v>Kéo dây nhôm bọc 240mm2</v>
      </c>
      <c r="G1920" s="422" t="str">
        <f>VLOOKUP($B1920,[1]DG!A:D,[1]DG!$D$2,)</f>
        <v>km</v>
      </c>
      <c r="H1920" s="520">
        <f t="shared" si="322"/>
        <v>0</v>
      </c>
      <c r="I1920" s="435"/>
      <c r="J1920" s="435"/>
      <c r="K1920" s="430">
        <f>IFERROR(HLOOKUP(B1920,[1]pp3p1m!$1:$3,3,0),0)</f>
        <v>0</v>
      </c>
      <c r="L1920" s="435"/>
      <c r="M1920" s="435"/>
      <c r="N1920" s="435"/>
      <c r="O1920" s="435"/>
      <c r="P1920" s="435">
        <f t="shared" si="320"/>
        <v>0</v>
      </c>
      <c r="Q1920" s="442"/>
      <c r="R1920" s="442"/>
      <c r="S1920" s="442"/>
      <c r="T1920" s="432">
        <f>IFERROR(HLOOKUP(B1920,[1]pp3p1m!170:172,3,0),0)</f>
        <v>0</v>
      </c>
    </row>
    <row r="1921" spans="1:20" ht="22.2" hidden="1" customHeight="1">
      <c r="A1921" s="379"/>
      <c r="B1921" s="410" t="s">
        <v>425</v>
      </c>
      <c r="C1921" s="469" t="str">
        <f t="shared" si="323"/>
        <v xml:space="preserve"> </v>
      </c>
      <c r="D1921" s="440"/>
      <c r="E1921" s="422" t="str">
        <f>VLOOKUP($B1921,[1]DG!A:D,[1]DG!$B$2,)</f>
        <v>06.2201</v>
      </c>
      <c r="F1921" s="434" t="s">
        <v>1271</v>
      </c>
      <c r="G1921" s="422" t="str">
        <f>VLOOKUP($B1921,[1]DG!A:D,[1]DG!$D$2,)</f>
        <v>chuỗi</v>
      </c>
      <c r="H1921" s="520">
        <f t="shared" si="322"/>
        <v>0</v>
      </c>
      <c r="I1921" s="435"/>
      <c r="J1921" s="435"/>
      <c r="K1921" s="430">
        <f>IFERROR(HLOOKUP(B1921,[1]pp3p1m!$1:$3,3,0),0)</f>
        <v>0</v>
      </c>
      <c r="L1921" s="435"/>
      <c r="M1921" s="435"/>
      <c r="N1921" s="435"/>
      <c r="O1921" s="435"/>
      <c r="P1921" s="435">
        <f t="shared" si="320"/>
        <v>0</v>
      </c>
      <c r="Q1921" s="437"/>
      <c r="R1921" s="437"/>
      <c r="S1921" s="437"/>
      <c r="T1921" s="432">
        <f>IFERROR(HLOOKUP(B1921,[1]pp3p1m!171:173,3,0),0)</f>
        <v>0</v>
      </c>
    </row>
    <row r="1922" spans="1:20" ht="22.2" hidden="1" customHeight="1">
      <c r="A1922" s="379"/>
      <c r="B1922" s="410" t="s">
        <v>140</v>
      </c>
      <c r="C1922" s="469" t="str">
        <f t="shared" si="323"/>
        <v xml:space="preserve"> </v>
      </c>
      <c r="D1922" s="440"/>
      <c r="E1922" s="422" t="str">
        <f>VLOOKUP($B1922,[1]DG!A:D,[1]DG!$B$2,)</f>
        <v>06.1115</v>
      </c>
      <c r="F1922" s="434" t="s">
        <v>1272</v>
      </c>
      <c r="G1922" s="422" t="str">
        <f>VLOOKUP($B1922,[1]DG!A:D,[1]DG!$D$2,)</f>
        <v>bộ</v>
      </c>
      <c r="H1922" s="520">
        <f t="shared" si="322"/>
        <v>0</v>
      </c>
      <c r="I1922" s="435"/>
      <c r="J1922" s="435"/>
      <c r="K1922" s="430">
        <f>IFERROR(HLOOKUP(B1922,[1]pp3p1m!$1:$3,3,0),0)</f>
        <v>0</v>
      </c>
      <c r="L1922" s="435"/>
      <c r="M1922" s="435"/>
      <c r="N1922" s="435"/>
      <c r="O1922" s="435"/>
      <c r="P1922" s="435">
        <f t="shared" si="320"/>
        <v>0</v>
      </c>
      <c r="Q1922" s="442"/>
      <c r="R1922" s="442"/>
      <c r="S1922" s="442"/>
      <c r="T1922" s="432">
        <f>IFERROR(HLOOKUP(B1922,[1]pp3p1m!172:174,3,0),0)</f>
        <v>0</v>
      </c>
    </row>
    <row r="1923" spans="1:20" ht="22.2" hidden="1" customHeight="1">
      <c r="A1923" s="379"/>
      <c r="B1923" s="406" t="s">
        <v>140</v>
      </c>
      <c r="C1923" s="465" t="str">
        <f t="shared" ca="1" si="323"/>
        <v>x</v>
      </c>
      <c r="D1923" s="440">
        <f ca="1">SUMIF([1]pp3p1m!1:3,[1]pp3p1m!DE1,[1]pp3p1m!3:3)</f>
        <v>69</v>
      </c>
      <c r="E1923" s="422" t="str">
        <f>VLOOKUP($B1923,[1]DG!A:D,[1]DG!$B$2,)</f>
        <v>06.1115</v>
      </c>
      <c r="F1923" s="434" t="str">
        <f>VLOOKUP($B1923,[1]DG!A:D,[1]DG!$C$2,)</f>
        <v>Lắp sứ đứng 24KV</v>
      </c>
      <c r="G1923" s="422" t="str">
        <f>VLOOKUP($B1923,[1]DG!A:D,[1]DG!$D$2,)</f>
        <v>bộ</v>
      </c>
      <c r="H1923" s="435">
        <f t="shared" ca="1" si="322"/>
        <v>69</v>
      </c>
      <c r="I1923" s="435"/>
      <c r="J1923" s="435"/>
      <c r="K1923" s="430">
        <f>IFERROR(HLOOKUP(B1923,[1]pp3p1m!$1:$3,3,0),0)</f>
        <v>0</v>
      </c>
      <c r="L1923" s="435"/>
      <c r="M1923" s="435"/>
      <c r="N1923" s="435"/>
      <c r="O1923" s="435"/>
      <c r="P1923" s="435">
        <f ca="1">H1923</f>
        <v>69</v>
      </c>
      <c r="Q1923" s="442"/>
      <c r="R1923" s="442"/>
      <c r="S1923" s="442"/>
      <c r="T1923" s="432">
        <f>IFERROR(HLOOKUP(B1923,[1]pp3p1m!173:175,3,0),0)</f>
        <v>0</v>
      </c>
    </row>
    <row r="1924" spans="1:20" ht="22.2" hidden="1" customHeight="1">
      <c r="A1924" s="379"/>
      <c r="B1924" s="410" t="s">
        <v>1273</v>
      </c>
      <c r="C1924" s="469" t="str">
        <f t="shared" si="323"/>
        <v xml:space="preserve"> </v>
      </c>
      <c r="D1924" s="440">
        <f>D1795*0</f>
        <v>0</v>
      </c>
      <c r="E1924" s="422" t="str">
        <f>VLOOKUP($B1924,[1]DG!A:D,[1]DG!$B$2,)</f>
        <v>06.1115</v>
      </c>
      <c r="F1924" s="434" t="str">
        <f>VLOOKUP($B1924,[1]DG!A:D,[1]DG!$C$2,)</f>
        <v>Tháo sứ đứng 24KV</v>
      </c>
      <c r="G1924" s="422" t="str">
        <f>VLOOKUP($B1924,[1]DG!A:D,[1]DG!$D$2,)</f>
        <v>bộ</v>
      </c>
      <c r="H1924" s="520">
        <f t="shared" si="322"/>
        <v>0</v>
      </c>
      <c r="I1924" s="435"/>
      <c r="J1924" s="435"/>
      <c r="K1924" s="430">
        <f>IFERROR(HLOOKUP(B1924,[1]pp3p1m!$1:$3,3,0),0)</f>
        <v>0</v>
      </c>
      <c r="L1924" s="435"/>
      <c r="M1924" s="435"/>
      <c r="N1924" s="435"/>
      <c r="O1924" s="435"/>
      <c r="P1924" s="435">
        <f t="shared" si="320"/>
        <v>0</v>
      </c>
      <c r="Q1924" s="442"/>
      <c r="R1924" s="442"/>
      <c r="S1924" s="442"/>
      <c r="T1924" s="432">
        <f>IFERROR(HLOOKUP(B1924,[1]pp3p1m!174:176,3,0),0)</f>
        <v>0</v>
      </c>
    </row>
    <row r="1925" spans="1:20" ht="22.2" hidden="1" customHeight="1">
      <c r="A1925" s="379"/>
      <c r="B1925" s="410" t="s">
        <v>1225</v>
      </c>
      <c r="C1925" s="469" t="str">
        <f t="shared" si="323"/>
        <v xml:space="preserve"> </v>
      </c>
      <c r="D1925" s="440">
        <f>D1797+D1801*2</f>
        <v>0</v>
      </c>
      <c r="E1925" s="422" t="str">
        <f>VLOOKUP($B1925,[1]DG!A:D,[1]DG!$B$2,)</f>
        <v>06.3231</v>
      </c>
      <c r="F1925" s="434" t="str">
        <f>VLOOKUP($B1925,[1]DG!A:D,[1]DG!$C$2,)</f>
        <v>Lắp chân sứ đỉnh</v>
      </c>
      <c r="G1925" s="422" t="str">
        <f>VLOOKUP($B1925,[1]DG!A:D,[1]DG!$D$2,)</f>
        <v>cái</v>
      </c>
      <c r="H1925" s="435">
        <f t="shared" si="322"/>
        <v>0</v>
      </c>
      <c r="I1925" s="435"/>
      <c r="J1925" s="435"/>
      <c r="K1925" s="430">
        <f>IFERROR(HLOOKUP(B1925,[1]pp3p1m!$1:$3,3,0),0)</f>
        <v>0</v>
      </c>
      <c r="L1925" s="435"/>
      <c r="M1925" s="435"/>
      <c r="N1925" s="435"/>
      <c r="O1925" s="435"/>
      <c r="P1925" s="435">
        <f>H1925</f>
        <v>0</v>
      </c>
      <c r="Q1925" s="442"/>
      <c r="R1925" s="442"/>
      <c r="S1925" s="442"/>
      <c r="T1925" s="432">
        <f>IFERROR(HLOOKUP(B1925,[1]pp3p1m!175:177,3,0),0)</f>
        <v>0</v>
      </c>
    </row>
    <row r="1926" spans="1:20" ht="22.2" hidden="1" customHeight="1">
      <c r="A1926" s="379"/>
      <c r="B1926" s="410" t="s">
        <v>1194</v>
      </c>
      <c r="C1926" s="469" t="str">
        <f t="shared" si="323"/>
        <v xml:space="preserve"> </v>
      </c>
      <c r="D1926" s="440">
        <f>-SUM(D1832:D1832)</f>
        <v>0</v>
      </c>
      <c r="E1926" s="422" t="str">
        <f>VLOOKUP($B1926,[1]DG!A:D,[1]DG!$B$2,)</f>
        <v>06.1410</v>
      </c>
      <c r="F1926" s="434" t="str">
        <f>VLOOKUP($B1926,[1]DG!A:D,[1]DG!$C$2,)</f>
        <v>Lắp chuỗi sứ đỡ 2 bát/chuỗi</v>
      </c>
      <c r="G1926" s="422" t="str">
        <f>VLOOKUP($B1926,[1]DG!A:D,[1]DG!$D$2,)</f>
        <v>chuỗi</v>
      </c>
      <c r="H1926" s="520">
        <f t="shared" si="322"/>
        <v>0</v>
      </c>
      <c r="I1926" s="435"/>
      <c r="J1926" s="435"/>
      <c r="K1926" s="430">
        <f>IFERROR(HLOOKUP(B1926,[1]pp3p1m!$1:$3,3,0),0)</f>
        <v>0</v>
      </c>
      <c r="L1926" s="435"/>
      <c r="M1926" s="435"/>
      <c r="N1926" s="435"/>
      <c r="O1926" s="435"/>
      <c r="P1926" s="435">
        <f t="shared" si="320"/>
        <v>0</v>
      </c>
      <c r="Q1926" s="442"/>
      <c r="R1926" s="442"/>
      <c r="S1926" s="442"/>
      <c r="T1926" s="432">
        <f>IFERROR(HLOOKUP(B1926,[1]pp3p1m!176:178,3,0),0)</f>
        <v>0</v>
      </c>
    </row>
    <row r="1927" spans="1:20" ht="22.2" hidden="1" customHeight="1">
      <c r="A1927" s="379"/>
      <c r="B1927" s="410" t="s">
        <v>1195</v>
      </c>
      <c r="C1927" s="469" t="str">
        <f t="shared" si="323"/>
        <v xml:space="preserve"> </v>
      </c>
      <c r="D1927" s="440"/>
      <c r="E1927" s="422" t="str">
        <f>VLOOKUP($B1927,[1]DG!A:D,[1]DG!$B$2,)</f>
        <v>06.1511</v>
      </c>
      <c r="F1927" s="434" t="s">
        <v>1274</v>
      </c>
      <c r="G1927" s="422" t="str">
        <f>VLOOKUP($B1927,[1]DG!A:D,[1]DG!$D$2,)</f>
        <v>chuỗi</v>
      </c>
      <c r="H1927" s="520">
        <f t="shared" si="322"/>
        <v>0</v>
      </c>
      <c r="I1927" s="435"/>
      <c r="J1927" s="435"/>
      <c r="K1927" s="430">
        <f>IFERROR(HLOOKUP(B1927,[1]pp3p1m!$1:$3,3,0),0)</f>
        <v>0</v>
      </c>
      <c r="L1927" s="435"/>
      <c r="M1927" s="435"/>
      <c r="N1927" s="435"/>
      <c r="O1927" s="435"/>
      <c r="P1927" s="435">
        <f t="shared" si="320"/>
        <v>0</v>
      </c>
      <c r="Q1927" s="442"/>
      <c r="R1927" s="442"/>
      <c r="S1927" s="442"/>
      <c r="T1927" s="432">
        <f>IFERROR(HLOOKUP(B1927,[1]pp3p1m!177:179,3,0),0)</f>
        <v>0</v>
      </c>
    </row>
    <row r="1928" spans="1:20" ht="22.2" hidden="1" customHeight="1">
      <c r="A1928" s="379"/>
      <c r="B1928" s="410" t="s">
        <v>1195</v>
      </c>
      <c r="C1928" s="469" t="str">
        <f t="shared" si="323"/>
        <v xml:space="preserve"> </v>
      </c>
      <c r="D1928" s="440"/>
      <c r="E1928" s="422" t="str">
        <f>VLOOKUP($B1928,[1]DG!A:D,[1]DG!$B$2,)</f>
        <v>06.1511</v>
      </c>
      <c r="F1928" s="434" t="str">
        <f>VLOOKUP($B1928,[1]DG!A:D,[1]DG!$C$2,)</f>
        <v>Lắp chuỗi sứ néo 2 bát/chuỗi</v>
      </c>
      <c r="G1928" s="422" t="str">
        <f>VLOOKUP($B1928,[1]DG!A:D,[1]DG!$D$2,)</f>
        <v>chuỗi</v>
      </c>
      <c r="H1928" s="520">
        <f t="shared" si="322"/>
        <v>0</v>
      </c>
      <c r="I1928" s="435"/>
      <c r="J1928" s="435"/>
      <c r="K1928" s="430">
        <f>IFERROR(HLOOKUP(B1928,[1]pp3p1m!$1:$3,3,0),0)</f>
        <v>0</v>
      </c>
      <c r="L1928" s="435"/>
      <c r="M1928" s="435"/>
      <c r="N1928" s="435"/>
      <c r="O1928" s="435"/>
      <c r="P1928" s="435">
        <f t="shared" si="320"/>
        <v>0</v>
      </c>
      <c r="Q1928" s="437"/>
      <c r="R1928" s="437"/>
      <c r="S1928" s="437"/>
      <c r="T1928" s="432">
        <f>IFERROR(HLOOKUP(B1928,[1]pp3p1m!178:180,3,0),0)</f>
        <v>0</v>
      </c>
    </row>
    <row r="1929" spans="1:20" ht="22.2" hidden="1" customHeight="1">
      <c r="A1929" s="379"/>
      <c r="B1929" s="406" t="s">
        <v>425</v>
      </c>
      <c r="C1929" s="465" t="str">
        <f t="shared" si="323"/>
        <v>x</v>
      </c>
      <c r="D1929" s="440">
        <f>+D1814+D1921-D2235*3+D1821</f>
        <v>24</v>
      </c>
      <c r="E1929" s="422" t="str">
        <f>VLOOKUP($B1929,[1]DG!A:D,[1]DG!$B$2,)</f>
        <v>06.2201</v>
      </c>
      <c r="F1929" s="434" t="str">
        <f>VLOOKUP($B1929,[1]DG!A:D,[1]DG!$C$2,)</f>
        <v>Lắp chuỗi sứ néo Polymer</v>
      </c>
      <c r="G1929" s="422" t="str">
        <f>VLOOKUP($B1929,[1]DG!A:D,[1]DG!$D$2,)</f>
        <v>chuỗi</v>
      </c>
      <c r="H1929" s="435">
        <f t="shared" si="322"/>
        <v>24</v>
      </c>
      <c r="I1929" s="435"/>
      <c r="J1929" s="435"/>
      <c r="K1929" s="430">
        <f>IFERROR(HLOOKUP(B1929,[1]pp3p1m!$1:$3,3,0),0)</f>
        <v>0</v>
      </c>
      <c r="L1929" s="435"/>
      <c r="M1929" s="435"/>
      <c r="N1929" s="435"/>
      <c r="O1929" s="435"/>
      <c r="P1929" s="435">
        <f>H1929</f>
        <v>24</v>
      </c>
      <c r="Q1929" s="437"/>
      <c r="R1929" s="437"/>
      <c r="S1929" s="437"/>
      <c r="T1929" s="432">
        <f>IFERROR(HLOOKUP(B1929,[1]pp3p1m!179:181,3,0),0)</f>
        <v>0</v>
      </c>
    </row>
    <row r="1930" spans="1:20" ht="22.2" hidden="1" customHeight="1">
      <c r="A1930" s="379"/>
      <c r="B1930" s="410" t="s">
        <v>56</v>
      </c>
      <c r="C1930" s="469" t="str">
        <f t="shared" si="323"/>
        <v xml:space="preserve"> </v>
      </c>
      <c r="D1930" s="440"/>
      <c r="E1930" s="422" t="str">
        <f>VLOOKUP($B1930,[1]DG!A:D,[1]DG!$B$2,)</f>
        <v>02.3155</v>
      </c>
      <c r="F1930" s="441" t="str">
        <f>"Tháo "&amp;VLOOKUP($B1930,[1]DG!A:D,[1]DG!$C$2,)&amp;" hiện hữu sử dụng lại"</f>
        <v>Tháo FCO 27kV - 100A hiện hữu sử dụng lại</v>
      </c>
      <c r="G1930" s="422" t="str">
        <f>VLOOKUP($B1930,[1]DG!A:D,[1]DG!$D$2,)</f>
        <v>cái</v>
      </c>
      <c r="H1930" s="520">
        <f t="shared" si="322"/>
        <v>0</v>
      </c>
      <c r="I1930" s="435"/>
      <c r="J1930" s="435"/>
      <c r="K1930" s="430">
        <f>IFERROR(HLOOKUP(B1930,[1]pp3p1m!$1:$3,3,0),0)</f>
        <v>3</v>
      </c>
      <c r="L1930" s="435"/>
      <c r="M1930" s="435"/>
      <c r="N1930" s="435"/>
      <c r="O1930" s="435"/>
      <c r="P1930" s="435">
        <f t="shared" ref="P1930:P1953" si="324">P$1831*$D1930</f>
        <v>0</v>
      </c>
      <c r="Q1930" s="437"/>
      <c r="R1930" s="437"/>
      <c r="S1930" s="437"/>
      <c r="T1930" s="432">
        <f>IFERROR(HLOOKUP(B1930,[1]pp3p1m!180:182,3,0),0)</f>
        <v>0</v>
      </c>
    </row>
    <row r="1931" spans="1:20" ht="22.2" hidden="1" customHeight="1">
      <c r="A1931" s="379"/>
      <c r="B1931" s="410" t="s">
        <v>1275</v>
      </c>
      <c r="C1931" s="469" t="str">
        <f t="shared" si="323"/>
        <v xml:space="preserve"> </v>
      </c>
      <c r="D1931" s="440"/>
      <c r="E1931" s="422" t="str">
        <f>VLOOKUP($B1931,[1]DG!A:D,[1]DG!$B$2,)</f>
        <v>02.5114</v>
      </c>
      <c r="F1931" s="441" t="str">
        <f>"Thaùo "&amp;VLOOKUP($B1931,[1]DG!A:D,[1]DG!$C$2,)</f>
        <v>Thaùo Chống sét van LA-18KV-10KA</v>
      </c>
      <c r="G1931" s="422" t="str">
        <f>VLOOKUP($B1931,[1]DG!A:D,[1]DG!$D$2,)</f>
        <v>cái</v>
      </c>
      <c r="H1931" s="435">
        <f t="shared" si="321"/>
        <v>0</v>
      </c>
      <c r="I1931" s="435"/>
      <c r="J1931" s="435"/>
      <c r="K1931" s="430">
        <f>IFERROR(HLOOKUP(B1931,[1]pp3p1m!$1:$3,3,0),0)</f>
        <v>0</v>
      </c>
      <c r="L1931" s="435"/>
      <c r="M1931" s="435"/>
      <c r="N1931" s="435"/>
      <c r="O1931" s="435"/>
      <c r="P1931" s="435">
        <f t="shared" si="324"/>
        <v>0</v>
      </c>
      <c r="Q1931" s="437"/>
      <c r="R1931" s="437"/>
      <c r="S1931" s="437"/>
      <c r="T1931" s="432">
        <f>IFERROR(HLOOKUP(B1931,[1]pp3p1m!181:183,3,0),0)</f>
        <v>0</v>
      </c>
    </row>
    <row r="1932" spans="1:20" ht="22.2" hidden="1" customHeight="1">
      <c r="A1932" s="379"/>
      <c r="B1932" s="410" t="s">
        <v>56</v>
      </c>
      <c r="C1932" s="469" t="str">
        <f t="shared" si="323"/>
        <v xml:space="preserve"> </v>
      </c>
      <c r="D1932" s="440"/>
      <c r="E1932" s="422" t="str">
        <f>VLOOKUP($B1932,[1]DG!A:D,[1]DG!$B$2,)</f>
        <v>02.3155</v>
      </c>
      <c r="F1932" s="441" t="str">
        <f>"Lắp "&amp;VLOOKUP($B1932,[1]DG!A:D,[1]DG!$C$2,)</f>
        <v>Lắp FCO 27kV - 100A</v>
      </c>
      <c r="G1932" s="422" t="str">
        <f>VLOOKUP($B1932,[1]DG!A:D,[1]DG!$D$2,)</f>
        <v>cái</v>
      </c>
      <c r="H1932" s="435"/>
      <c r="I1932" s="435"/>
      <c r="J1932" s="435"/>
      <c r="K1932" s="430">
        <f>IFERROR(HLOOKUP(B1932,[1]pp3p1m!$1:$3,3,0),0)</f>
        <v>3</v>
      </c>
      <c r="L1932" s="435"/>
      <c r="M1932" s="435"/>
      <c r="N1932" s="435"/>
      <c r="O1932" s="435"/>
      <c r="P1932" s="435">
        <f t="shared" si="324"/>
        <v>0</v>
      </c>
      <c r="Q1932" s="437"/>
      <c r="R1932" s="437"/>
      <c r="S1932" s="437"/>
      <c r="T1932" s="432">
        <f>IFERROR(HLOOKUP(B1932,[1]pp3p1m!182:184,3,0),0)</f>
        <v>0</v>
      </c>
    </row>
    <row r="1933" spans="1:20" ht="22.2" hidden="1" customHeight="1">
      <c r="A1933" s="379"/>
      <c r="B1933" s="410" t="s">
        <v>1276</v>
      </c>
      <c r="C1933" s="469" t="str">
        <f t="shared" si="323"/>
        <v xml:space="preserve"> </v>
      </c>
      <c r="D1933" s="440"/>
      <c r="E1933" s="422">
        <f>VLOOKUP($B1933,[1]DG!A:D,[1]DG!$B$2,)</f>
        <v>0</v>
      </c>
      <c r="F1933" s="441" t="str">
        <f>"Lắp "&amp;VLOOKUP($B1933,[1]DG!A:D,[1]DG!$C$2,)</f>
        <v>Lắp Kẹp ngừng cáp ABC4x95mm2</v>
      </c>
      <c r="G1933" s="422" t="str">
        <f>VLOOKUP($B1933,[1]DG!A:D,[1]DG!$D$2,)</f>
        <v>cái</v>
      </c>
      <c r="H1933" s="435">
        <f t="shared" si="321"/>
        <v>0</v>
      </c>
      <c r="I1933" s="435"/>
      <c r="J1933" s="435"/>
      <c r="K1933" s="430">
        <f>IFERROR(HLOOKUP(B1933,[1]pp3p1m!$1:$3,3,0),0)</f>
        <v>0</v>
      </c>
      <c r="L1933" s="435"/>
      <c r="M1933" s="435"/>
      <c r="N1933" s="435"/>
      <c r="O1933" s="435"/>
      <c r="P1933" s="435">
        <f>H1933</f>
        <v>0</v>
      </c>
      <c r="Q1933" s="437"/>
      <c r="R1933" s="437"/>
      <c r="S1933" s="437"/>
      <c r="T1933" s="432">
        <f>IFERROR(HLOOKUP(B1933,[1]pp3p1m!183:185,3,0),0)</f>
        <v>0</v>
      </c>
    </row>
    <row r="1934" spans="1:20" ht="22.2" hidden="1" customHeight="1">
      <c r="A1934" s="379"/>
      <c r="B1934" s="410" t="s">
        <v>1277</v>
      </c>
      <c r="C1934" s="469" t="str">
        <f t="shared" si="323"/>
        <v xml:space="preserve"> </v>
      </c>
      <c r="D1934" s="440"/>
      <c r="E1934" s="422">
        <f>VLOOKUP($B1934,[1]DG!A:D,[1]DG!$B$2,)</f>
        <v>0</v>
      </c>
      <c r="F1934" s="441" t="str">
        <f>"Lắp "&amp;VLOOKUP($B1934,[1]DG!A:D,[1]DG!$C$2,)</f>
        <v>Lắp Boulon móc 16x300+ long đền vuông D18-50x50x3/Zn</v>
      </c>
      <c r="G1934" s="422" t="str">
        <f>VLOOKUP($B1934,[1]DG!A:D,[1]DG!$D$2,)</f>
        <v>bộ</v>
      </c>
      <c r="H1934" s="435">
        <f t="shared" si="321"/>
        <v>0</v>
      </c>
      <c r="I1934" s="435"/>
      <c r="J1934" s="435"/>
      <c r="K1934" s="430">
        <f>IFERROR(HLOOKUP(B1934,[1]pp3p1m!$1:$3,3,0),0)</f>
        <v>0</v>
      </c>
      <c r="L1934" s="435"/>
      <c r="M1934" s="435"/>
      <c r="N1934" s="435"/>
      <c r="O1934" s="435"/>
      <c r="P1934" s="435">
        <f>H1934</f>
        <v>0</v>
      </c>
      <c r="Q1934" s="437"/>
      <c r="R1934" s="437"/>
      <c r="S1934" s="437"/>
      <c r="T1934" s="432">
        <f>IFERROR(HLOOKUP(B1934,[1]pp3p1m!184:186,3,0),0)</f>
        <v>0</v>
      </c>
    </row>
    <row r="1935" spans="1:20" ht="22.2" hidden="1" customHeight="1">
      <c r="A1935" s="379"/>
      <c r="B1935" s="410" t="s">
        <v>1275</v>
      </c>
      <c r="C1935" s="469" t="str">
        <f t="shared" si="323"/>
        <v xml:space="preserve"> </v>
      </c>
      <c r="D1935" s="440"/>
      <c r="E1935" s="422" t="str">
        <f>VLOOKUP($B1935,[1]DG!A:D,[1]DG!$B$2,)</f>
        <v>02.5114</v>
      </c>
      <c r="F1935" s="441" t="str">
        <f>"Lắp "&amp;VLOOKUP($B1935,[1]DG!A:D,[1]DG!$C$2,)</f>
        <v>Lắp Chống sét van LA-18KV-10KA</v>
      </c>
      <c r="G1935" s="422" t="str">
        <f>VLOOKUP($B1935,[1]DG!A:D,[1]DG!$D$2,)</f>
        <v>cái</v>
      </c>
      <c r="H1935" s="435">
        <f t="shared" si="321"/>
        <v>0</v>
      </c>
      <c r="I1935" s="435"/>
      <c r="J1935" s="435"/>
      <c r="K1935" s="430">
        <f>IFERROR(HLOOKUP(B1935,[1]pp3p1m!$1:$3,3,0),0)</f>
        <v>0</v>
      </c>
      <c r="L1935" s="435"/>
      <c r="M1935" s="435"/>
      <c r="N1935" s="435"/>
      <c r="O1935" s="435"/>
      <c r="P1935" s="435">
        <f t="shared" si="324"/>
        <v>0</v>
      </c>
      <c r="Q1935" s="437"/>
      <c r="R1935" s="437"/>
      <c r="S1935" s="437"/>
      <c r="T1935" s="432">
        <f>IFERROR(HLOOKUP(B1935,[1]pp3p1m!185:187,3,0),0)</f>
        <v>0</v>
      </c>
    </row>
    <row r="1936" spans="1:20" ht="22.2" hidden="1" customHeight="1">
      <c r="A1936" s="379"/>
      <c r="B1936" s="410" t="s">
        <v>1278</v>
      </c>
      <c r="C1936" s="469" t="str">
        <f t="shared" si="323"/>
        <v xml:space="preserve"> </v>
      </c>
      <c r="D1936" s="440"/>
      <c r="E1936" s="422" t="str">
        <f>VLOOKUP($B1936,[1]DG!A:D,[1]DG!$B$2,)</f>
        <v>05.6001</v>
      </c>
      <c r="F1936" s="434" t="s">
        <v>1279</v>
      </c>
      <c r="G1936" s="422" t="str">
        <f>VLOOKUP($B1936,[1]DG!A:D,[1]DG!$D$2,)</f>
        <v>Kg</v>
      </c>
      <c r="H1936" s="435">
        <f t="shared" si="321"/>
        <v>0</v>
      </c>
      <c r="I1936" s="435"/>
      <c r="J1936" s="435"/>
      <c r="K1936" s="430">
        <f>IFERROR(HLOOKUP(B1936,[1]pp3p1m!$1:$3,3,0),0)</f>
        <v>0</v>
      </c>
      <c r="L1936" s="435"/>
      <c r="M1936" s="435"/>
      <c r="N1936" s="435"/>
      <c r="O1936" s="435"/>
      <c r="P1936" s="435">
        <f t="shared" si="324"/>
        <v>0</v>
      </c>
      <c r="Q1936" s="442"/>
      <c r="R1936" s="442"/>
      <c r="S1936" s="442"/>
      <c r="T1936" s="432">
        <f>IFERROR(HLOOKUP(B1936,[1]pp3p1m!186:188,3,0),0)</f>
        <v>0</v>
      </c>
    </row>
    <row r="1937" spans="1:20" ht="22.2" hidden="1" customHeight="1">
      <c r="A1937" s="379"/>
      <c r="B1937" s="410" t="s">
        <v>1280</v>
      </c>
      <c r="C1937" s="469" t="str">
        <f t="shared" si="323"/>
        <v xml:space="preserve"> </v>
      </c>
      <c r="D1937" s="440"/>
      <c r="E1937" s="422" t="str">
        <f>VLOOKUP($B1937,[1]DG!A:D,[1]DG!$B$2,)</f>
        <v>05.6100</v>
      </c>
      <c r="F1937" s="434" t="str">
        <f>"Lắp "&amp;VLOOKUP($B1937,[1]DG!A:D,[1]DG!$C$2,)</f>
        <v>Lắp Giá U 80x600 lắp FCO</v>
      </c>
      <c r="G1937" s="422" t="str">
        <f>VLOOKUP($B1937,[1]DG!A:D,[1]DG!$D$2,)</f>
        <v>bộ</v>
      </c>
      <c r="H1937" s="435">
        <f t="shared" si="321"/>
        <v>0</v>
      </c>
      <c r="I1937" s="435"/>
      <c r="J1937" s="435"/>
      <c r="K1937" s="430">
        <f>IFERROR(HLOOKUP(B1937,[1]pp3p1m!$1:$3,3,0),0)</f>
        <v>0</v>
      </c>
      <c r="L1937" s="435"/>
      <c r="M1937" s="435"/>
      <c r="N1937" s="435"/>
      <c r="O1937" s="435"/>
      <c r="P1937" s="435">
        <f t="shared" si="324"/>
        <v>0</v>
      </c>
      <c r="Q1937" s="442"/>
      <c r="R1937" s="442"/>
      <c r="S1937" s="442"/>
      <c r="T1937" s="432">
        <f>IFERROR(HLOOKUP(B1937,[1]pp3p1m!187:189,3,0),0)</f>
        <v>0</v>
      </c>
    </row>
    <row r="1938" spans="1:20" ht="22.2" hidden="1" customHeight="1">
      <c r="A1938" s="379"/>
      <c r="B1938" s="410" t="s">
        <v>1225</v>
      </c>
      <c r="C1938" s="469" t="str">
        <f t="shared" si="323"/>
        <v xml:space="preserve"> </v>
      </c>
      <c r="D1938" s="440"/>
      <c r="E1938" s="422" t="str">
        <f>VLOOKUP($B1938,[1]DG!A:D,[1]DG!$B$2,)</f>
        <v>06.3231</v>
      </c>
      <c r="F1938" s="434" t="s">
        <v>1281</v>
      </c>
      <c r="G1938" s="422" t="str">
        <f>VLOOKUP($B1938,[1]DG!A:D,[1]DG!$D$2,)</f>
        <v>cái</v>
      </c>
      <c r="H1938" s="435">
        <f t="shared" si="321"/>
        <v>0</v>
      </c>
      <c r="I1938" s="435"/>
      <c r="J1938" s="435"/>
      <c r="K1938" s="430">
        <f>IFERROR(HLOOKUP(B1938,[1]pp3p1m!$1:$3,3,0),0)</f>
        <v>0</v>
      </c>
      <c r="L1938" s="435"/>
      <c r="M1938" s="435"/>
      <c r="N1938" s="435"/>
      <c r="O1938" s="435"/>
      <c r="P1938" s="435">
        <f t="shared" si="324"/>
        <v>0</v>
      </c>
      <c r="Q1938" s="442"/>
      <c r="R1938" s="442"/>
      <c r="S1938" s="442"/>
      <c r="T1938" s="432">
        <f>IFERROR(HLOOKUP(B1938,[1]pp3p1m!188:190,3,0),0)</f>
        <v>0</v>
      </c>
    </row>
    <row r="1939" spans="1:20" ht="22.2" hidden="1" customHeight="1">
      <c r="A1939" s="379"/>
      <c r="B1939" s="410" t="s">
        <v>454</v>
      </c>
      <c r="C1939" s="469" t="str">
        <f t="shared" si="323"/>
        <v xml:space="preserve"> </v>
      </c>
      <c r="D1939" s="440"/>
      <c r="E1939" s="422" t="str">
        <f>VLOOKUP($B1939,[1]DG!A:D,[1]DG!$B$2,)</f>
        <v>05.6011</v>
      </c>
      <c r="F1939" s="434" t="s">
        <v>1282</v>
      </c>
      <c r="G1939" s="422" t="str">
        <f>VLOOKUP($B1939,[1]DG!A:D,[1]DG!$D$2,)</f>
        <v>bộ</v>
      </c>
      <c r="H1939" s="435">
        <f t="shared" si="321"/>
        <v>0</v>
      </c>
      <c r="I1939" s="435"/>
      <c r="J1939" s="435"/>
      <c r="K1939" s="430">
        <f>IFERROR(HLOOKUP(B1939,[1]pp3p1m!$1:$3,3,0),0)</f>
        <v>0</v>
      </c>
      <c r="L1939" s="435"/>
      <c r="M1939" s="435"/>
      <c r="N1939" s="435"/>
      <c r="O1939" s="435"/>
      <c r="P1939" s="435">
        <f t="shared" si="324"/>
        <v>0</v>
      </c>
      <c r="Q1939" s="442"/>
      <c r="R1939" s="442"/>
      <c r="S1939" s="442"/>
      <c r="T1939" s="432">
        <f>IFERROR(HLOOKUP(B1939,[1]pp3p1m!189:191,3,0),0)</f>
        <v>0</v>
      </c>
    </row>
    <row r="1940" spans="1:20" ht="22.2" hidden="1" customHeight="1">
      <c r="A1940" s="379"/>
      <c r="B1940" s="410" t="s">
        <v>1198</v>
      </c>
      <c r="C1940" s="469" t="str">
        <f t="shared" si="323"/>
        <v xml:space="preserve"> </v>
      </c>
      <c r="D1940" s="440"/>
      <c r="E1940" s="422" t="str">
        <f>VLOOKUP($B1940,[1]DG!A:D,[1]DG!$B$2,)</f>
        <v>06.1211</v>
      </c>
      <c r="F1940" s="434" t="s">
        <v>1283</v>
      </c>
      <c r="G1940" s="422" t="str">
        <f>VLOOKUP($B1940,[1]DG!A:D,[1]DG!$D$2,)</f>
        <v>bộ</v>
      </c>
      <c r="H1940" s="435">
        <f t="shared" si="321"/>
        <v>0</v>
      </c>
      <c r="I1940" s="435"/>
      <c r="J1940" s="435"/>
      <c r="K1940" s="430">
        <f>IFERROR(HLOOKUP(B1940,[1]pp3p1m!$1:$3,3,0),0)</f>
        <v>0</v>
      </c>
      <c r="L1940" s="435"/>
      <c r="M1940" s="435"/>
      <c r="N1940" s="435"/>
      <c r="O1940" s="435"/>
      <c r="P1940" s="435">
        <f t="shared" si="324"/>
        <v>0</v>
      </c>
      <c r="Q1940" s="442"/>
      <c r="R1940" s="442"/>
      <c r="S1940" s="442"/>
      <c r="T1940" s="432">
        <f>IFERROR(HLOOKUP(B1940,[1]pp3p1m!190:192,3,0),0)</f>
        <v>0</v>
      </c>
    </row>
    <row r="1941" spans="1:20" ht="22.2" hidden="1" customHeight="1">
      <c r="A1941" s="379"/>
      <c r="B1941" s="406" t="s">
        <v>1198</v>
      </c>
      <c r="C1941" s="469" t="str">
        <f t="shared" si="323"/>
        <v>x</v>
      </c>
      <c r="D1941" s="522">
        <v>17</v>
      </c>
      <c r="E1941" s="422" t="str">
        <f>VLOOKUP($B1941,[1]DG!A:D,[1]DG!$B$2,)</f>
        <v>06.1211</v>
      </c>
      <c r="F1941" s="434" t="str">
        <f>VLOOKUP($B1941,[1]DG!A:D,[1]DG!$C$2,)</f>
        <v>Lắp rack sứ + sứ ống chỉ</v>
      </c>
      <c r="G1941" s="422" t="str">
        <f>VLOOKUP($B1941,[1]DG!A:D,[1]DG!$D$2,)</f>
        <v>bộ</v>
      </c>
      <c r="H1941" s="435">
        <f>D1941</f>
        <v>17</v>
      </c>
      <c r="I1941" s="435"/>
      <c r="J1941" s="435"/>
      <c r="K1941" s="430">
        <f>IFERROR(HLOOKUP(B1941,[1]pp3p1m!$1:$3,3,0),0)</f>
        <v>0</v>
      </c>
      <c r="L1941" s="435"/>
      <c r="M1941" s="435"/>
      <c r="N1941" s="435"/>
      <c r="O1941" s="435"/>
      <c r="P1941" s="435">
        <f>H1941</f>
        <v>17</v>
      </c>
      <c r="Q1941" s="442"/>
      <c r="R1941" s="442"/>
      <c r="S1941" s="442"/>
      <c r="T1941" s="432">
        <f>IFERROR(HLOOKUP(B1941,[1]pp3p1m!191:193,3,0),0)</f>
        <v>0</v>
      </c>
    </row>
    <row r="1942" spans="1:20" ht="22.2" hidden="1" customHeight="1">
      <c r="A1942" s="379"/>
      <c r="B1942" s="410" t="s">
        <v>1284</v>
      </c>
      <c r="C1942" s="469" t="str">
        <f t="shared" si="323"/>
        <v xml:space="preserve"> </v>
      </c>
      <c r="D1942" s="440">
        <f>D1894</f>
        <v>0</v>
      </c>
      <c r="E1942" s="422" t="str">
        <f>VLOOKUP($B1942,[1]DG!A:D,[1]DG!$B$2,)</f>
        <v>06.1213</v>
      </c>
      <c r="F1942" s="434" t="str">
        <f>VLOOKUP($B1942,[1]DG!A:D,[1]DG!$C$2,)</f>
        <v>Lắp rack 2 sứ + sứ ống chỉ</v>
      </c>
      <c r="G1942" s="422" t="str">
        <f>VLOOKUP($B1942,[1]DG!A:D,[1]DG!$D$2,)</f>
        <v>bộ</v>
      </c>
      <c r="H1942" s="435">
        <f t="shared" si="321"/>
        <v>0</v>
      </c>
      <c r="I1942" s="435"/>
      <c r="J1942" s="435"/>
      <c r="K1942" s="430">
        <f>IFERROR(HLOOKUP(B1942,[1]pp3p1m!$1:$3,3,0),0)</f>
        <v>0</v>
      </c>
      <c r="L1942" s="435"/>
      <c r="M1942" s="435"/>
      <c r="N1942" s="435"/>
      <c r="O1942" s="435"/>
      <c r="P1942" s="435">
        <f t="shared" si="324"/>
        <v>0</v>
      </c>
      <c r="Q1942" s="442"/>
      <c r="R1942" s="442"/>
      <c r="S1942" s="442"/>
      <c r="T1942" s="432">
        <f>IFERROR(HLOOKUP(B1942,[1]pp3p1m!192:194,3,0),0)</f>
        <v>0</v>
      </c>
    </row>
    <row r="1943" spans="1:20" ht="22.2" hidden="1" customHeight="1">
      <c r="A1943" s="379"/>
      <c r="B1943" s="410" t="s">
        <v>1285</v>
      </c>
      <c r="C1943" s="469" t="str">
        <f t="shared" si="323"/>
        <v xml:space="preserve"> </v>
      </c>
      <c r="D1943" s="440"/>
      <c r="E1943" s="422" t="str">
        <f>VLOOKUP($B1943,[1]DG!A:D,[1]DG!$B$2,)</f>
        <v>06.1214</v>
      </c>
      <c r="F1943" s="434" t="s">
        <v>1286</v>
      </c>
      <c r="G1943" s="422" t="str">
        <f>VLOOKUP($B1943,[1]DG!A:D,[1]DG!$D$2,)</f>
        <v>bộ</v>
      </c>
      <c r="H1943" s="435">
        <f t="shared" si="321"/>
        <v>0</v>
      </c>
      <c r="I1943" s="435"/>
      <c r="J1943" s="435"/>
      <c r="K1943" s="430">
        <f>IFERROR(HLOOKUP(B1943,[1]pp3p1m!$1:$3,3,0),0)</f>
        <v>0</v>
      </c>
      <c r="L1943" s="435"/>
      <c r="M1943" s="435"/>
      <c r="N1943" s="435"/>
      <c r="O1943" s="435"/>
      <c r="P1943" s="435">
        <f t="shared" si="324"/>
        <v>0</v>
      </c>
      <c r="Q1943" s="442"/>
      <c r="R1943" s="442"/>
      <c r="S1943" s="442"/>
      <c r="T1943" s="432">
        <f>IFERROR(HLOOKUP(B1943,[1]pp3p1m!193:195,3,0),0)</f>
        <v>0</v>
      </c>
    </row>
    <row r="1944" spans="1:20" ht="22.2" hidden="1" customHeight="1">
      <c r="A1944" s="379"/>
      <c r="B1944" s="410" t="s">
        <v>1287</v>
      </c>
      <c r="C1944" s="469" t="str">
        <f t="shared" si="323"/>
        <v xml:space="preserve"> </v>
      </c>
      <c r="D1944" s="440"/>
      <c r="E1944" s="422" t="str">
        <f>VLOOKUP($B1944,[1]DG!A:D,[1]DG!$B$2,)</f>
        <v>06.1214</v>
      </c>
      <c r="F1944" s="434" t="str">
        <f>VLOOKUP($B1944,[1]DG!A:D,[1]DG!$C$2,)</f>
        <v>Lắp rack 3 sứ + sứ ống chỉ</v>
      </c>
      <c r="G1944" s="422" t="str">
        <f>VLOOKUP($B1944,[1]DG!A:D,[1]DG!$D$2,)</f>
        <v>bộ</v>
      </c>
      <c r="H1944" s="435">
        <f t="shared" si="321"/>
        <v>0</v>
      </c>
      <c r="I1944" s="435"/>
      <c r="J1944" s="435"/>
      <c r="K1944" s="430">
        <f>IFERROR(HLOOKUP(B1944,[1]pp3p1m!$1:$3,3,0),0)</f>
        <v>0</v>
      </c>
      <c r="L1944" s="435"/>
      <c r="M1944" s="435"/>
      <c r="N1944" s="435"/>
      <c r="O1944" s="435"/>
      <c r="P1944" s="435">
        <f t="shared" si="324"/>
        <v>0</v>
      </c>
      <c r="Q1944" s="442"/>
      <c r="R1944" s="442"/>
      <c r="S1944" s="442"/>
      <c r="T1944" s="432">
        <f>IFERROR(HLOOKUP(B1944,[1]pp3p1m!194:196,3,0),0)</f>
        <v>0</v>
      </c>
    </row>
    <row r="1945" spans="1:20" ht="22.2" hidden="1" customHeight="1">
      <c r="A1945" s="379"/>
      <c r="B1945" s="410" t="s">
        <v>1288</v>
      </c>
      <c r="C1945" s="469" t="str">
        <f t="shared" si="323"/>
        <v xml:space="preserve"> </v>
      </c>
      <c r="D1945" s="440"/>
      <c r="E1945" s="422" t="str">
        <f>VLOOKUP($B1945,[1]DG!A:D,[1]DG!$B$2,)</f>
        <v>06.1215</v>
      </c>
      <c r="F1945" s="434" t="s">
        <v>1289</v>
      </c>
      <c r="G1945" s="422" t="str">
        <f>VLOOKUP($B1945,[1]DG!A:D,[1]DG!$D$2,)</f>
        <v>bộ</v>
      </c>
      <c r="H1945" s="435">
        <f t="shared" si="321"/>
        <v>0</v>
      </c>
      <c r="I1945" s="435"/>
      <c r="J1945" s="435"/>
      <c r="K1945" s="430">
        <f>IFERROR(HLOOKUP(B1945,[1]pp3p1m!$1:$3,3,0),0)</f>
        <v>0</v>
      </c>
      <c r="L1945" s="435"/>
      <c r="M1945" s="435"/>
      <c r="N1945" s="435"/>
      <c r="O1945" s="435"/>
      <c r="P1945" s="435">
        <f t="shared" si="324"/>
        <v>0</v>
      </c>
      <c r="Q1945" s="442"/>
      <c r="R1945" s="442"/>
      <c r="S1945" s="442"/>
      <c r="T1945" s="432">
        <f>IFERROR(HLOOKUP(B1945,[1]pp3p1m!195:197,3,0),0)</f>
        <v>0</v>
      </c>
    </row>
    <row r="1946" spans="1:20" ht="22.2" hidden="1" customHeight="1">
      <c r="A1946" s="379"/>
      <c r="B1946" s="410" t="s">
        <v>1290</v>
      </c>
      <c r="C1946" s="469" t="str">
        <f t="shared" si="323"/>
        <v xml:space="preserve"> </v>
      </c>
      <c r="D1946" s="440"/>
      <c r="E1946" s="422" t="str">
        <f>VLOOKUP($B1946,[1]DG!A:D,[1]DG!$B$2,)</f>
        <v>06.1215</v>
      </c>
      <c r="F1946" s="434" t="str">
        <f>VLOOKUP($B1946,[1]DG!A:D,[1]DG!$C$2,)</f>
        <v>Lắp rack 4 sứ + sứ ống chỉ</v>
      </c>
      <c r="G1946" s="422" t="str">
        <f>VLOOKUP($B1946,[1]DG!A:D,[1]DG!$D$2,)</f>
        <v>bộ</v>
      </c>
      <c r="H1946" s="435">
        <f t="shared" si="321"/>
        <v>0</v>
      </c>
      <c r="I1946" s="435"/>
      <c r="J1946" s="435"/>
      <c r="K1946" s="430">
        <f>IFERROR(HLOOKUP(B1946,[1]pp3p1m!$1:$3,3,0),0)</f>
        <v>0</v>
      </c>
      <c r="L1946" s="435"/>
      <c r="M1946" s="435"/>
      <c r="N1946" s="435"/>
      <c r="O1946" s="435"/>
      <c r="P1946" s="435">
        <f t="shared" si="324"/>
        <v>0</v>
      </c>
      <c r="Q1946" s="442"/>
      <c r="R1946" s="442"/>
      <c r="S1946" s="442"/>
      <c r="T1946" s="432">
        <f>IFERROR(HLOOKUP(B1946,[1]pp3p1m!196:198,3,0),0)</f>
        <v>0</v>
      </c>
    </row>
    <row r="1947" spans="1:20" ht="22.2" hidden="1" customHeight="1">
      <c r="A1947" s="379"/>
      <c r="B1947" s="410" t="s">
        <v>1209</v>
      </c>
      <c r="C1947" s="469" t="str">
        <f t="shared" si="323"/>
        <v xml:space="preserve"> </v>
      </c>
      <c r="D1947" s="523"/>
      <c r="E1947" s="473" t="str">
        <f>VLOOKUP($B1947,[1]DG!A:D,[1]DG!$B$2,)</f>
        <v>06.5072</v>
      </c>
      <c r="F1947" s="434" t="str">
        <f>VLOOKUP($B1947,[1]DG!A:D,[1]DG!$C$2,)</f>
        <v xml:space="preserve">Kéo dây qua vị trí bẻ góc dây </v>
      </c>
      <c r="G1947" s="473" t="str">
        <f>VLOOKUP($B1947,[1]DG!A:D,[1]DG!$D$2,)</f>
        <v>vị trí</v>
      </c>
      <c r="H1947" s="435">
        <f t="shared" si="321"/>
        <v>0</v>
      </c>
      <c r="I1947" s="435"/>
      <c r="J1947" s="435"/>
      <c r="K1947" s="430">
        <f>IFERROR(HLOOKUP(B1947,[1]pp3p1m!$1:$3,3,0),0)</f>
        <v>0</v>
      </c>
      <c r="L1947" s="435"/>
      <c r="M1947" s="435"/>
      <c r="N1947" s="435"/>
      <c r="O1947" s="435"/>
      <c r="P1947" s="435">
        <f t="shared" si="324"/>
        <v>0</v>
      </c>
      <c r="Q1947" s="437"/>
      <c r="R1947" s="437"/>
      <c r="S1947" s="437"/>
      <c r="T1947" s="432">
        <f>IFERROR(HLOOKUP(B1947,[1]pp3p1m!197:199,3,0),0)</f>
        <v>0</v>
      </c>
    </row>
    <row r="1948" spans="1:20" ht="22.2" hidden="1" customHeight="1">
      <c r="A1948" s="379"/>
      <c r="B1948" s="410" t="s">
        <v>1210</v>
      </c>
      <c r="C1948" s="469" t="str">
        <f t="shared" si="323"/>
        <v xml:space="preserve"> </v>
      </c>
      <c r="D1948" s="426"/>
      <c r="E1948" s="422" t="str">
        <f>VLOOKUP($B1948,[1]DG!A:D,[1]DG!$B$2,)</f>
        <v>06.5082</v>
      </c>
      <c r="F1948" s="434" t="str">
        <f>VLOOKUP($B1948,[1]DG!A:D,[1]DG!$C$2,)</f>
        <v>Kéo dây qua sông ( S&lt;=300)</v>
      </c>
      <c r="G1948" s="422" t="str">
        <f>VLOOKUP($B1948,[1]DG!A:D,[1]DG!$D$2,)</f>
        <v>vị trí</v>
      </c>
      <c r="H1948" s="435">
        <f t="shared" si="321"/>
        <v>0</v>
      </c>
      <c r="I1948" s="435"/>
      <c r="J1948" s="435"/>
      <c r="K1948" s="430">
        <f>IFERROR(HLOOKUP(B1948,[1]pp3p1m!$1:$3,3,0),0)</f>
        <v>0</v>
      </c>
      <c r="L1948" s="435"/>
      <c r="M1948" s="435"/>
      <c r="N1948" s="435"/>
      <c r="O1948" s="435"/>
      <c r="P1948" s="435">
        <f t="shared" si="324"/>
        <v>0</v>
      </c>
      <c r="Q1948" s="437"/>
      <c r="R1948" s="437"/>
      <c r="S1948" s="437"/>
      <c r="T1948" s="432">
        <f>IFERROR(HLOOKUP(B1948,[1]pp3p1m!198:200,3,0),0)</f>
        <v>0</v>
      </c>
    </row>
    <row r="1949" spans="1:20" ht="22.2" hidden="1" customHeight="1">
      <c r="A1949" s="379"/>
      <c r="B1949" s="410" t="s">
        <v>1211</v>
      </c>
      <c r="C1949" s="469" t="str">
        <f t="shared" si="323"/>
        <v xml:space="preserve"> </v>
      </c>
      <c r="D1949" s="439"/>
      <c r="E1949" s="422" t="str">
        <f>VLOOKUP($B1949,[1]DG!A:D,[1]DG!$B$2,)</f>
        <v>02.1122</v>
      </c>
      <c r="F1949" s="434" t="str">
        <f>VLOOKUP($B1949,[1]DG!A:D,[1]DG!$C$2,)</f>
        <v>Bốc dỡ dây</v>
      </c>
      <c r="G1949" s="422" t="str">
        <f>VLOOKUP($B1949,[1]DG!A:D,[1]DG!$D$2,)</f>
        <v>tấn</v>
      </c>
      <c r="H1949" s="435">
        <f t="shared" si="321"/>
        <v>0</v>
      </c>
      <c r="I1949" s="435"/>
      <c r="J1949" s="435"/>
      <c r="K1949" s="430">
        <f>IFERROR(HLOOKUP(B1949,[1]pp3p1m!$1:$3,3,0),0)</f>
        <v>0</v>
      </c>
      <c r="L1949" s="435"/>
      <c r="M1949" s="435"/>
      <c r="N1949" s="435"/>
      <c r="O1949" s="435"/>
      <c r="P1949" s="435">
        <f t="shared" si="324"/>
        <v>0</v>
      </c>
      <c r="Q1949" s="437"/>
      <c r="R1949" s="437"/>
      <c r="S1949" s="437"/>
      <c r="T1949" s="432">
        <f>IFERROR(HLOOKUP(B1949,[1]pp3p1m!199:201,3,0),0)</f>
        <v>0</v>
      </c>
    </row>
    <row r="1950" spans="1:20" ht="22.2" hidden="1" customHeight="1">
      <c r="A1950" s="379"/>
      <c r="B1950" s="410" t="s">
        <v>796</v>
      </c>
      <c r="C1950" s="469" t="str">
        <f t="shared" si="323"/>
        <v xml:space="preserve"> </v>
      </c>
      <c r="D1950" s="439"/>
      <c r="E1950" s="422" t="str">
        <f>VLOOKUP($B1950,[1]DG!A:D,[1]DG!$B$2,)</f>
        <v>02.1120</v>
      </c>
      <c r="F1950" s="434" t="str">
        <f>VLOOKUP($B1950,[1]DG!A:D,[1]DG!$C$2,)</f>
        <v>Bốc dỡ phụ kiện</v>
      </c>
      <c r="G1950" s="422" t="str">
        <f>VLOOKUP($B1950,[1]DG!A:D,[1]DG!$D$2,)</f>
        <v>tấn</v>
      </c>
      <c r="H1950" s="435">
        <f t="shared" si="321"/>
        <v>0</v>
      </c>
      <c r="I1950" s="435"/>
      <c r="J1950" s="435"/>
      <c r="K1950" s="430">
        <f>IFERROR(HLOOKUP(B1950,[1]pp3p1m!$1:$3,3,0),0)</f>
        <v>0</v>
      </c>
      <c r="L1950" s="435"/>
      <c r="M1950" s="435"/>
      <c r="N1950" s="435"/>
      <c r="O1950" s="435"/>
      <c r="P1950" s="435">
        <f t="shared" si="324"/>
        <v>0</v>
      </c>
      <c r="Q1950" s="437"/>
      <c r="R1950" s="437"/>
      <c r="S1950" s="437"/>
      <c r="T1950" s="432">
        <f>IFERROR(HLOOKUP(B1950,[1]pp3p1m!200:202,3,0),0)</f>
        <v>0</v>
      </c>
    </row>
    <row r="1951" spans="1:20" ht="22.2" hidden="1" customHeight="1">
      <c r="A1951" s="379"/>
      <c r="B1951" s="380" t="s">
        <v>993</v>
      </c>
      <c r="C1951" s="469" t="str">
        <f t="shared" si="323"/>
        <v xml:space="preserve"> </v>
      </c>
      <c r="D1951" s="501"/>
      <c r="E1951" s="422" t="str">
        <f>VLOOKUP($B1951,[1]DG!A:D,[1]DG!$B$2,)</f>
        <v>02.1421</v>
      </c>
      <c r="F1951" s="434" t="str">
        <f>VLOOKUP($B1951,[1]DG!A:D,[1]DG!$C$2,)</f>
        <v>V/c phụ kiện vào vị trí (cự ly &lt;=100m)</v>
      </c>
      <c r="G1951" s="422" t="str">
        <f>VLOOKUP($B1951,[1]DG!A:D,[1]DG!$D$2,)</f>
        <v>tấn</v>
      </c>
      <c r="H1951" s="435">
        <f t="shared" si="321"/>
        <v>0</v>
      </c>
      <c r="I1951" s="435"/>
      <c r="J1951" s="435"/>
      <c r="K1951" s="430">
        <f>IFERROR(HLOOKUP(B1951,[1]pp3p1m!$1:$3,3,0),0)</f>
        <v>0</v>
      </c>
      <c r="L1951" s="435"/>
      <c r="M1951" s="435"/>
      <c r="N1951" s="435"/>
      <c r="O1951" s="435"/>
      <c r="P1951" s="435">
        <f t="shared" si="324"/>
        <v>0</v>
      </c>
      <c r="Q1951" s="437"/>
      <c r="R1951" s="437"/>
      <c r="S1951" s="437"/>
      <c r="T1951" s="432">
        <f>IFERROR(HLOOKUP(B1951,[1]pp3p1m!201:203,3,0),0)</f>
        <v>0</v>
      </c>
    </row>
    <row r="1952" spans="1:20" ht="22.2" hidden="1" customHeight="1">
      <c r="A1952" s="379"/>
      <c r="B1952" s="380" t="s">
        <v>1212</v>
      </c>
      <c r="C1952" s="469" t="str">
        <f t="shared" si="323"/>
        <v xml:space="preserve"> </v>
      </c>
      <c r="D1952" s="501"/>
      <c r="E1952" s="422" t="str">
        <f>VLOOKUP($B1952,[1]DG!A:D,[1]DG!$B$2,)</f>
        <v>02.1441</v>
      </c>
      <c r="F1952" s="434" t="str">
        <f>VLOOKUP($B1952,[1]DG!A:D,[1]DG!$C$2,)</f>
        <v>V/c dây vào vị trí (cự ly &lt;=100m)</v>
      </c>
      <c r="G1952" s="422" t="str">
        <f>VLOOKUP($B1952,[1]DG!A:D,[1]DG!$D$2,)</f>
        <v>tấn</v>
      </c>
      <c r="H1952" s="435">
        <f t="shared" si="321"/>
        <v>0</v>
      </c>
      <c r="I1952" s="435"/>
      <c r="J1952" s="435"/>
      <c r="K1952" s="430">
        <f>IFERROR(HLOOKUP(B1952,[1]pp3p1m!$1:$3,3,0),0)</f>
        <v>0</v>
      </c>
      <c r="L1952" s="435"/>
      <c r="M1952" s="435"/>
      <c r="N1952" s="435"/>
      <c r="O1952" s="435"/>
      <c r="P1952" s="435">
        <f t="shared" si="324"/>
        <v>0</v>
      </c>
      <c r="Q1952" s="437"/>
      <c r="R1952" s="437"/>
      <c r="S1952" s="437"/>
      <c r="T1952" s="432">
        <f>IFERROR(HLOOKUP(B1952,[1]pp3p1m!202:204,3,0),0)</f>
        <v>0</v>
      </c>
    </row>
    <row r="1953" spans="1:20" ht="22.2" hidden="1" customHeight="1">
      <c r="A1953" s="379"/>
      <c r="B1953" s="438" t="s">
        <v>1065</v>
      </c>
      <c r="C1953" s="469" t="str">
        <f t="shared" si="323"/>
        <v xml:space="preserve"> </v>
      </c>
      <c r="D1953" s="501"/>
      <c r="E1953" s="422" t="str">
        <f>VLOOKUP($B1953,[1]DG!A:D,[1]DG!$B$2,)</f>
        <v>02.1482</v>
      </c>
      <c r="F1953" s="434" t="str">
        <f>VLOOKUP($B1953,[1]DG!A:D,[1]DG!$C$2,)</f>
        <v>V/c dụng cụ thi công vào vị trí (cự ly &lt;=100m)</v>
      </c>
      <c r="G1953" s="422" t="str">
        <f>VLOOKUP($B1953,[1]DG!A:D,[1]DG!$D$2,)</f>
        <v>tấn</v>
      </c>
      <c r="H1953" s="435">
        <f t="shared" si="321"/>
        <v>0</v>
      </c>
      <c r="I1953" s="435"/>
      <c r="J1953" s="435"/>
      <c r="K1953" s="430">
        <f>IFERROR(HLOOKUP(B1953,[1]pp3p1m!$1:$3,3,0),0)</f>
        <v>0</v>
      </c>
      <c r="L1953" s="435"/>
      <c r="M1953" s="435"/>
      <c r="N1953" s="435"/>
      <c r="O1953" s="435"/>
      <c r="P1953" s="435">
        <f t="shared" si="324"/>
        <v>0</v>
      </c>
      <c r="Q1953" s="437"/>
      <c r="R1953" s="437"/>
      <c r="S1953" s="437"/>
      <c r="T1953" s="432">
        <f>IFERROR(HLOOKUP(B1953,[1]pp3p1m!203:205,3,0),0)</f>
        <v>0</v>
      </c>
    </row>
    <row r="1954" spans="1:20" ht="22.2" hidden="1" customHeight="1">
      <c r="A1954" s="423" t="s">
        <v>1291</v>
      </c>
      <c r="B1954" s="424" t="s">
        <v>1291</v>
      </c>
      <c r="C1954" s="469" t="str">
        <f t="shared" si="323"/>
        <v xml:space="preserve"> </v>
      </c>
      <c r="D1954" s="426"/>
      <c r="E1954" s="349" t="s">
        <v>1096</v>
      </c>
      <c r="F1954" s="428" t="s">
        <v>1292</v>
      </c>
      <c r="G1954" s="349" t="s">
        <v>1098</v>
      </c>
      <c r="H1954" s="429">
        <f>SUM(I1954:O1954)</f>
        <v>0</v>
      </c>
      <c r="I1954" s="430"/>
      <c r="J1954" s="430"/>
      <c r="K1954" s="430"/>
      <c r="L1954" s="430">
        <f>IF(SUM(L1955:L1957)&gt;0,1,0)</f>
        <v>0</v>
      </c>
      <c r="M1954" s="430"/>
      <c r="N1954" s="430"/>
      <c r="O1954" s="430"/>
      <c r="P1954" s="430"/>
      <c r="Q1954" s="431"/>
      <c r="R1954" s="431"/>
      <c r="S1954" s="431"/>
      <c r="T1954" s="432">
        <f>IFERROR(HLOOKUP(B1954,[1]pp1p!$1:$3,3,0),0)</f>
        <v>0</v>
      </c>
    </row>
    <row r="1955" spans="1:20" ht="22.2" hidden="1" customHeight="1">
      <c r="A1955" s="379"/>
      <c r="B1955" s="410" t="s">
        <v>1104</v>
      </c>
      <c r="C1955" s="469" t="str">
        <f t="shared" si="323"/>
        <v xml:space="preserve"> </v>
      </c>
      <c r="D1955" s="440">
        <f>ROUND(E1955*1.03*0.276,2)</f>
        <v>0</v>
      </c>
      <c r="E1955" s="484">
        <f>[1]pp1p!C97</f>
        <v>0</v>
      </c>
      <c r="F1955" s="441" t="str">
        <f>VLOOKUP($B1955,[1]DG!A:D,[1]DG!$C$2,)</f>
        <v>Cáp nhôm lõi thép AC-70/11</v>
      </c>
      <c r="G1955" s="422" t="str">
        <f>VLOOKUP($B1955,[1]DG!A:D,[1]DG!$D$2,)</f>
        <v>kg</v>
      </c>
      <c r="H1955" s="435">
        <f>L1955</f>
        <v>0</v>
      </c>
      <c r="I1955" s="435"/>
      <c r="J1955" s="435"/>
      <c r="K1955" s="435">
        <f>D1955</f>
        <v>0</v>
      </c>
      <c r="L1955" s="430">
        <f>IFERROR(HLOOKUP(chitiet!B1955,[1]pp1p!$1:$3,3,0),0)</f>
        <v>0</v>
      </c>
      <c r="M1955" s="435"/>
      <c r="N1955" s="435"/>
      <c r="O1955" s="435"/>
      <c r="P1955" s="435">
        <f t="shared" ref="P1955:P2018" si="325">H1955+Q1955-R1955</f>
        <v>0</v>
      </c>
      <c r="Q1955" s="442"/>
      <c r="R1955" s="442"/>
      <c r="S1955" s="442"/>
      <c r="T1955" s="432">
        <f>IFERROR(HLOOKUP(B1955,[1]pp1p!$1:$3,3,0),0)</f>
        <v>0</v>
      </c>
    </row>
    <row r="1956" spans="1:20" ht="22.2" hidden="1" customHeight="1">
      <c r="A1956" s="379"/>
      <c r="B1956" s="410" t="s">
        <v>1105</v>
      </c>
      <c r="C1956" s="469" t="str">
        <f t="shared" si="323"/>
        <v xml:space="preserve"> </v>
      </c>
      <c r="D1956" s="453">
        <f>ROUND(E1956*1.02*0.195,2)</f>
        <v>0</v>
      </c>
      <c r="E1956" s="484">
        <f>[1]pp1p!C98</f>
        <v>0</v>
      </c>
      <c r="F1956" s="441" t="str">
        <f>VLOOKUP($B1956,[1]DG!A:D,[1]DG!$C$2,)</f>
        <v>Cáp nhôm lõi thép AC-50/8</v>
      </c>
      <c r="G1956" s="422" t="str">
        <f>VLOOKUP($B1956,[1]DG!A:D,[1]DG!$D$2,)</f>
        <v>kg</v>
      </c>
      <c r="H1956" s="509">
        <f>D1956</f>
        <v>0</v>
      </c>
      <c r="I1956" s="507"/>
      <c r="J1956" s="507"/>
      <c r="K1956" s="507"/>
      <c r="L1956" s="524">
        <f>IFERROR(HLOOKUP(chitiet!B1956,[1]pp1p!$1:$3,3,0),0)</f>
        <v>0</v>
      </c>
      <c r="M1956" s="507"/>
      <c r="N1956" s="507"/>
      <c r="O1956" s="507"/>
      <c r="P1956" s="509">
        <f t="shared" si="325"/>
        <v>0</v>
      </c>
      <c r="Q1956" s="442"/>
      <c r="R1956" s="442"/>
      <c r="S1956" s="442"/>
      <c r="T1956" s="432">
        <f>IFERROR(HLOOKUP(B1956,[1]pp1p!$1:$3,3,0),0)</f>
        <v>0</v>
      </c>
    </row>
    <row r="1957" spans="1:20" ht="22.2" hidden="1" customHeight="1">
      <c r="A1957" s="379"/>
      <c r="B1957" s="410" t="s">
        <v>1106</v>
      </c>
      <c r="C1957" s="469" t="str">
        <f t="shared" si="323"/>
        <v xml:space="preserve"> </v>
      </c>
      <c r="D1957" s="440">
        <f>ROUND(E1957*1.03,2)</f>
        <v>0</v>
      </c>
      <c r="E1957" s="484">
        <f>[1]pp1p!C101</f>
        <v>0</v>
      </c>
      <c r="F1957" s="441" t="str">
        <f>VLOOKUP($B1957,[1]DG!A:D,[1]DG!$C$2,)</f>
        <v>Cáp 24KV ACX 50mm2</v>
      </c>
      <c r="G1957" s="422" t="str">
        <f>VLOOKUP($B1957,[1]DG!A:D,[1]DG!$D$2,)</f>
        <v>mét</v>
      </c>
      <c r="H1957" s="509">
        <f>D1957</f>
        <v>0</v>
      </c>
      <c r="I1957" s="507"/>
      <c r="J1957" s="507"/>
      <c r="K1957" s="507"/>
      <c r="L1957" s="524">
        <f>IFERROR(HLOOKUP(chitiet!B1957,[1]pp1p!$1:$3,3,0),0)</f>
        <v>0</v>
      </c>
      <c r="M1957" s="507"/>
      <c r="N1957" s="507"/>
      <c r="O1957" s="507"/>
      <c r="P1957" s="509">
        <f t="shared" si="325"/>
        <v>0</v>
      </c>
      <c r="Q1957" s="442"/>
      <c r="R1957" s="442"/>
      <c r="S1957" s="442"/>
      <c r="T1957" s="432">
        <f>IFERROR(HLOOKUP(B1957,[1]pp1p!$1:$3,3,0),0)</f>
        <v>0</v>
      </c>
    </row>
    <row r="1958" spans="1:20" ht="22.2" hidden="1" customHeight="1">
      <c r="A1958" s="379"/>
      <c r="B1958" s="485" t="s">
        <v>1113</v>
      </c>
      <c r="C1958" s="469" t="str">
        <f t="shared" si="323"/>
        <v xml:space="preserve"> </v>
      </c>
      <c r="D1958" s="494">
        <f>[1]pp1p!BX94</f>
        <v>0</v>
      </c>
      <c r="E1958" s="422"/>
      <c r="F1958" s="486" t="s">
        <v>1114</v>
      </c>
      <c r="G1958" s="487" t="s">
        <v>375</v>
      </c>
      <c r="H1958" s="435">
        <f t="shared" ref="H1958:H1964" si="326">D1958</f>
        <v>0</v>
      </c>
      <c r="I1958" s="435"/>
      <c r="J1958" s="435"/>
      <c r="K1958" s="435"/>
      <c r="L1958" s="430">
        <f>IFERROR(HLOOKUP(chitiet!B1958,[1]pp1p!$1:$3,3,0),0)</f>
        <v>0</v>
      </c>
      <c r="M1958" s="435"/>
      <c r="N1958" s="435"/>
      <c r="O1958" s="435"/>
      <c r="P1958" s="435">
        <f t="shared" si="325"/>
        <v>0</v>
      </c>
      <c r="Q1958" s="442"/>
      <c r="R1958" s="442"/>
      <c r="S1958" s="442"/>
      <c r="T1958" s="432">
        <f>IFERROR(HLOOKUP(B1958,[1]pp1p!$1:$3,3,0),0)</f>
        <v>0</v>
      </c>
    </row>
    <row r="1959" spans="1:20" ht="22.2" hidden="1" customHeight="1">
      <c r="A1959" s="379"/>
      <c r="B1959" s="410" t="s">
        <v>476</v>
      </c>
      <c r="C1959" s="469" t="str">
        <f t="shared" si="323"/>
        <v xml:space="preserve"> </v>
      </c>
      <c r="D1959" s="440">
        <f>D1958</f>
        <v>0</v>
      </c>
      <c r="E1959" s="422"/>
      <c r="F1959" s="441" t="str">
        <f>VLOOKUP($B1959,[1]DG!A:D,[1]DG!$C$2,)</f>
        <v>Uclevis + sứ ống chỉ</v>
      </c>
      <c r="G1959" s="422" t="str">
        <f>VLOOKUP($B1959,[1]DG!A:D,[1]DG!$D$2,)</f>
        <v>bộ</v>
      </c>
      <c r="H1959" s="435">
        <f t="shared" si="326"/>
        <v>0</v>
      </c>
      <c r="I1959" s="435"/>
      <c r="J1959" s="435"/>
      <c r="K1959" s="435"/>
      <c r="L1959" s="435">
        <f t="shared" ref="L1959:L2002" si="327">H1959</f>
        <v>0</v>
      </c>
      <c r="M1959" s="435"/>
      <c r="N1959" s="435"/>
      <c r="O1959" s="435"/>
      <c r="P1959" s="435">
        <f t="shared" si="325"/>
        <v>0</v>
      </c>
      <c r="Q1959" s="442"/>
      <c r="R1959" s="442"/>
      <c r="S1959" s="442"/>
      <c r="T1959" s="432">
        <f>IFERROR(HLOOKUP(B1959,[1]pp1p!$1:$3,3,0),0)</f>
        <v>0</v>
      </c>
    </row>
    <row r="1960" spans="1:20" ht="22.2" hidden="1" customHeight="1">
      <c r="A1960" s="379"/>
      <c r="B1960" s="410" t="s">
        <v>65</v>
      </c>
      <c r="C1960" s="469" t="str">
        <f t="shared" si="323"/>
        <v xml:space="preserve"> </v>
      </c>
      <c r="D1960" s="440">
        <f>D1958</f>
        <v>0</v>
      </c>
      <c r="E1960" s="422"/>
      <c r="F1960" s="441" t="str">
        <f>VLOOKUP($B1960,[1]DG!A:D,[1]DG!$C$2,)</f>
        <v>Boulon 16x300+ 2 long đền vuông D18-50x50x3/Zn</v>
      </c>
      <c r="G1960" s="422" t="str">
        <f>VLOOKUP($B1960,[1]DG!A:D,[1]DG!$D$2,)</f>
        <v>bộ</v>
      </c>
      <c r="H1960" s="435">
        <f t="shared" si="326"/>
        <v>0</v>
      </c>
      <c r="I1960" s="435"/>
      <c r="J1960" s="435"/>
      <c r="K1960" s="435"/>
      <c r="L1960" s="435">
        <f t="shared" si="327"/>
        <v>0</v>
      </c>
      <c r="M1960" s="435"/>
      <c r="N1960" s="435"/>
      <c r="O1960" s="435"/>
      <c r="P1960" s="435">
        <f t="shared" si="325"/>
        <v>0</v>
      </c>
      <c r="Q1960" s="442"/>
      <c r="R1960" s="442"/>
      <c r="S1960" s="442"/>
      <c r="T1960" s="432">
        <f>IFERROR(HLOOKUP(B1960,[1]pp1p!$1:$3,3,0),0)</f>
        <v>0</v>
      </c>
    </row>
    <row r="1961" spans="1:20" ht="22.2" hidden="1" customHeight="1">
      <c r="A1961" s="379"/>
      <c r="B1961" s="485" t="s">
        <v>1115</v>
      </c>
      <c r="C1961" s="469" t="str">
        <f t="shared" si="323"/>
        <v xml:space="preserve"> </v>
      </c>
      <c r="D1961" s="494">
        <f>[1]pp1p!BY94</f>
        <v>0</v>
      </c>
      <c r="E1961" s="422"/>
      <c r="F1961" s="486" t="s">
        <v>1116</v>
      </c>
      <c r="G1961" s="487" t="s">
        <v>375</v>
      </c>
      <c r="H1961" s="435">
        <f t="shared" si="326"/>
        <v>0</v>
      </c>
      <c r="I1961" s="435"/>
      <c r="J1961" s="435"/>
      <c r="K1961" s="435"/>
      <c r="L1961" s="430">
        <f>IFERROR(HLOOKUP(chitiet!B1961,[1]pp1p!$1:$3,3,0),0)</f>
        <v>0</v>
      </c>
      <c r="M1961" s="435"/>
      <c r="N1961" s="435"/>
      <c r="O1961" s="435"/>
      <c r="P1961" s="435">
        <f t="shared" si="325"/>
        <v>0</v>
      </c>
      <c r="Q1961" s="442"/>
      <c r="R1961" s="442"/>
      <c r="S1961" s="442"/>
      <c r="T1961" s="432">
        <f>IFERROR(HLOOKUP(B1961,[1]pp1p!$1:$3,3,0),0)</f>
        <v>0</v>
      </c>
    </row>
    <row r="1962" spans="1:20" ht="22.2" hidden="1" customHeight="1">
      <c r="A1962" s="379"/>
      <c r="B1962" s="410" t="s">
        <v>476</v>
      </c>
      <c r="C1962" s="469" t="str">
        <f t="shared" si="323"/>
        <v xml:space="preserve"> </v>
      </c>
      <c r="D1962" s="440">
        <f>D1961</f>
        <v>0</v>
      </c>
      <c r="E1962" s="422"/>
      <c r="F1962" s="441" t="str">
        <f>VLOOKUP($B1962,[1]DG!A:D,[1]DG!$C$2,)</f>
        <v>Uclevis + sứ ống chỉ</v>
      </c>
      <c r="G1962" s="422" t="str">
        <f>VLOOKUP($B1962,[1]DG!A:D,[1]DG!$D$2,)</f>
        <v>bộ</v>
      </c>
      <c r="H1962" s="435">
        <f t="shared" si="326"/>
        <v>0</v>
      </c>
      <c r="I1962" s="435"/>
      <c r="J1962" s="435"/>
      <c r="K1962" s="435"/>
      <c r="L1962" s="435">
        <f t="shared" si="327"/>
        <v>0</v>
      </c>
      <c r="M1962" s="435"/>
      <c r="N1962" s="435"/>
      <c r="O1962" s="435"/>
      <c r="P1962" s="435">
        <f t="shared" si="325"/>
        <v>0</v>
      </c>
      <c r="Q1962" s="442"/>
      <c r="R1962" s="442"/>
      <c r="S1962" s="442"/>
      <c r="T1962" s="432">
        <f>IFERROR(HLOOKUP(B1962,[1]pp1p!$1:$3,3,0),0)</f>
        <v>0</v>
      </c>
    </row>
    <row r="1963" spans="1:20" ht="22.2" hidden="1" customHeight="1">
      <c r="A1963" s="379"/>
      <c r="B1963" s="410" t="s">
        <v>65</v>
      </c>
      <c r="C1963" s="469" t="str">
        <f t="shared" si="323"/>
        <v xml:space="preserve"> </v>
      </c>
      <c r="D1963" s="440">
        <f>D1961</f>
        <v>0</v>
      </c>
      <c r="E1963" s="422"/>
      <c r="F1963" s="441" t="str">
        <f>VLOOKUP($B1963,[1]DG!A:D,[1]DG!$C$2,)</f>
        <v>Boulon 16x300+ 2 long đền vuông D18-50x50x3/Zn</v>
      </c>
      <c r="G1963" s="422" t="str">
        <f>VLOOKUP($B1963,[1]DG!A:D,[1]DG!$D$2,)</f>
        <v>bộ</v>
      </c>
      <c r="H1963" s="435">
        <f t="shared" si="326"/>
        <v>0</v>
      </c>
      <c r="I1963" s="435"/>
      <c r="J1963" s="435"/>
      <c r="K1963" s="435"/>
      <c r="L1963" s="435">
        <f t="shared" si="327"/>
        <v>0</v>
      </c>
      <c r="M1963" s="435"/>
      <c r="N1963" s="435"/>
      <c r="O1963" s="435"/>
      <c r="P1963" s="435">
        <f t="shared" si="325"/>
        <v>0</v>
      </c>
      <c r="Q1963" s="442"/>
      <c r="R1963" s="442"/>
      <c r="S1963" s="442"/>
      <c r="T1963" s="432">
        <f>IFERROR(HLOOKUP(B1963,[1]pp1p!$1:$3,3,0),0)</f>
        <v>0</v>
      </c>
    </row>
    <row r="1964" spans="1:20" ht="22.2" hidden="1" customHeight="1">
      <c r="A1964" s="379"/>
      <c r="B1964" s="410" t="s">
        <v>1117</v>
      </c>
      <c r="C1964" s="469" t="str">
        <f t="shared" si="323"/>
        <v xml:space="preserve"> </v>
      </c>
      <c r="D1964" s="440">
        <f>D1961*6</f>
        <v>0</v>
      </c>
      <c r="E1964" s="422"/>
      <c r="F1964" s="441" t="str">
        <f>VLOOKUP($B1964,[1]DG!A:D,[1]DG!$C$2,)</f>
        <v>Kẹp 2 rãnh (APC) cỡ dây 50mm2</v>
      </c>
      <c r="G1964" s="422" t="str">
        <f>VLOOKUP($B1964,[1]DG!A:D,[1]DG!$D$2,)</f>
        <v>cái</v>
      </c>
      <c r="H1964" s="435">
        <f t="shared" si="326"/>
        <v>0</v>
      </c>
      <c r="I1964" s="435"/>
      <c r="J1964" s="435"/>
      <c r="K1964" s="435"/>
      <c r="L1964" s="435">
        <f t="shared" si="327"/>
        <v>0</v>
      </c>
      <c r="M1964" s="435"/>
      <c r="N1964" s="435"/>
      <c r="O1964" s="435"/>
      <c r="P1964" s="435">
        <f t="shared" si="325"/>
        <v>0</v>
      </c>
      <c r="Q1964" s="442"/>
      <c r="R1964" s="442"/>
      <c r="S1964" s="442"/>
      <c r="T1964" s="432">
        <f>IFERROR(HLOOKUP(B1964,[1]pp1p!$1:$3,3,0),0)</f>
        <v>0</v>
      </c>
    </row>
    <row r="1965" spans="1:20" ht="22.2" hidden="1" customHeight="1">
      <c r="A1965" s="379"/>
      <c r="B1965" s="485" t="s">
        <v>1118</v>
      </c>
      <c r="C1965" s="469" t="str">
        <f t="shared" si="323"/>
        <v xml:space="preserve"> </v>
      </c>
      <c r="D1965" s="494">
        <f>[1]pp1p!BZ94</f>
        <v>0</v>
      </c>
      <c r="E1965" s="422"/>
      <c r="F1965" s="486" t="s">
        <v>1119</v>
      </c>
      <c r="G1965" s="487" t="s">
        <v>375</v>
      </c>
      <c r="H1965" s="435">
        <f>$D1965</f>
        <v>0</v>
      </c>
      <c r="I1965" s="435"/>
      <c r="J1965" s="435"/>
      <c r="K1965" s="435">
        <f>D1965*0</f>
        <v>0</v>
      </c>
      <c r="L1965" s="430">
        <f>IFERROR(HLOOKUP(chitiet!B1965,[1]pp1p!$1:$3,3,0),0)</f>
        <v>0</v>
      </c>
      <c r="M1965" s="435"/>
      <c r="N1965" s="435"/>
      <c r="O1965" s="435"/>
      <c r="P1965" s="435">
        <f t="shared" si="325"/>
        <v>0</v>
      </c>
      <c r="Q1965" s="442"/>
      <c r="R1965" s="442"/>
      <c r="S1965" s="442"/>
      <c r="T1965" s="432">
        <f>IFERROR(HLOOKUP(B1965,[1]pp1p!$1:$3,3,0),0)</f>
        <v>0</v>
      </c>
    </row>
    <row r="1966" spans="1:20" ht="22.2" hidden="1" customHeight="1">
      <c r="A1966" s="379"/>
      <c r="B1966" s="488" t="s">
        <v>1120</v>
      </c>
      <c r="C1966" s="469" t="str">
        <f t="shared" si="323"/>
        <v xml:space="preserve"> </v>
      </c>
      <c r="D1966" s="440">
        <f>D1965</f>
        <v>0</v>
      </c>
      <c r="E1966" s="422"/>
      <c r="F1966" s="441" t="str">
        <f>VLOOKUP($B1966,[1]DG!A:D,[1]DG!$C$2,)</f>
        <v>Khóa néo dây cỡ dây 50</v>
      </c>
      <c r="G1966" s="422" t="s">
        <v>330</v>
      </c>
      <c r="H1966" s="435">
        <f>$D1966</f>
        <v>0</v>
      </c>
      <c r="I1966" s="435"/>
      <c r="J1966" s="435"/>
      <c r="K1966" s="435">
        <f>D1966*0</f>
        <v>0</v>
      </c>
      <c r="L1966" s="435"/>
      <c r="M1966" s="435"/>
      <c r="N1966" s="435"/>
      <c r="O1966" s="435"/>
      <c r="P1966" s="435">
        <f t="shared" si="325"/>
        <v>0</v>
      </c>
      <c r="Q1966" s="442"/>
      <c r="R1966" s="442"/>
      <c r="S1966" s="442"/>
      <c r="T1966" s="432">
        <f>IFERROR(HLOOKUP(B1966,[1]pp1p!$1:$3,3,0),0)</f>
        <v>0</v>
      </c>
    </row>
    <row r="1967" spans="1:20" ht="22.2" hidden="1" customHeight="1">
      <c r="A1967" s="379"/>
      <c r="B1967" s="410" t="s">
        <v>478</v>
      </c>
      <c r="C1967" s="469" t="str">
        <f t="shared" si="323"/>
        <v xml:space="preserve"> </v>
      </c>
      <c r="D1967" s="440">
        <f>D1965*2</f>
        <v>0</v>
      </c>
      <c r="E1967" s="422"/>
      <c r="F1967" s="441" t="str">
        <f>VLOOKUP($B1967,[1]DG!A:D,[1]DG!$C$2,)</f>
        <v xml:space="preserve">Móc treo chữ U </v>
      </c>
      <c r="G1967" s="422" t="s">
        <v>330</v>
      </c>
      <c r="H1967" s="435">
        <f>$D1967</f>
        <v>0</v>
      </c>
      <c r="I1967" s="435"/>
      <c r="J1967" s="435"/>
      <c r="K1967" s="435">
        <f>D1967*0</f>
        <v>0</v>
      </c>
      <c r="L1967" s="435"/>
      <c r="M1967" s="435"/>
      <c r="N1967" s="435"/>
      <c r="O1967" s="435"/>
      <c r="P1967" s="435">
        <f t="shared" si="325"/>
        <v>0</v>
      </c>
      <c r="Q1967" s="442"/>
      <c r="R1967" s="442"/>
      <c r="S1967" s="442"/>
      <c r="T1967" s="432">
        <f>IFERROR(HLOOKUP(B1967,[1]pp1p!$1:$3,3,0),0)</f>
        <v>0</v>
      </c>
    </row>
    <row r="1968" spans="1:20" ht="22.2" hidden="1" customHeight="1">
      <c r="A1968" s="379"/>
      <c r="B1968" s="410" t="s">
        <v>483</v>
      </c>
      <c r="C1968" s="469" t="str">
        <f t="shared" si="323"/>
        <v xml:space="preserve"> </v>
      </c>
      <c r="D1968" s="440">
        <f>D1966</f>
        <v>0</v>
      </c>
      <c r="E1968" s="422"/>
      <c r="F1968" s="441" t="str">
        <f>VLOOKUP($B1968,[1]DG!A:D,[1]DG!$C$2,)</f>
        <v>Boulon mắt 16x300+ 2 long đền vuông D18-50x50x3/Zn</v>
      </c>
      <c r="G1968" s="422" t="s">
        <v>375</v>
      </c>
      <c r="H1968" s="435">
        <f>$D1968</f>
        <v>0</v>
      </c>
      <c r="I1968" s="435"/>
      <c r="J1968" s="435"/>
      <c r="K1968" s="435">
        <f>D1968*0</f>
        <v>0</v>
      </c>
      <c r="L1968" s="435"/>
      <c r="M1968" s="435"/>
      <c r="N1968" s="435"/>
      <c r="O1968" s="435"/>
      <c r="P1968" s="435">
        <f t="shared" si="325"/>
        <v>0</v>
      </c>
      <c r="Q1968" s="442"/>
      <c r="R1968" s="442"/>
      <c r="S1968" s="442"/>
      <c r="T1968" s="432">
        <f>IFERROR(HLOOKUP(B1968,[1]pp1p!$1:$3,3,0),0)</f>
        <v>0</v>
      </c>
    </row>
    <row r="1969" spans="1:20" ht="22.2" hidden="1" customHeight="1">
      <c r="A1969" s="379"/>
      <c r="B1969" s="410" t="s">
        <v>184</v>
      </c>
      <c r="C1969" s="469" t="str">
        <f t="shared" si="323"/>
        <v xml:space="preserve"> </v>
      </c>
      <c r="D1969" s="440">
        <f>D1965</f>
        <v>0</v>
      </c>
      <c r="E1969" s="422"/>
      <c r="F1969" s="441" t="str">
        <f>VLOOKUP($B1969,[1]DG!A:D,[1]DG!$C$2,)</f>
        <v>Kẹp ép WR cỡ dây 50mm2</v>
      </c>
      <c r="G1969" s="422" t="s">
        <v>330</v>
      </c>
      <c r="H1969" s="435">
        <f>$D1969</f>
        <v>0</v>
      </c>
      <c r="I1969" s="435"/>
      <c r="J1969" s="435"/>
      <c r="K1969" s="435">
        <f>D1969*0</f>
        <v>0</v>
      </c>
      <c r="L1969" s="435"/>
      <c r="M1969" s="435"/>
      <c r="N1969" s="435"/>
      <c r="O1969" s="435"/>
      <c r="P1969" s="435">
        <f t="shared" si="325"/>
        <v>0</v>
      </c>
      <c r="Q1969" s="442"/>
      <c r="R1969" s="442"/>
      <c r="S1969" s="442"/>
      <c r="T1969" s="432">
        <f>IFERROR(HLOOKUP(B1969,[1]pp1p!$1:$3,3,0),0)</f>
        <v>0</v>
      </c>
    </row>
    <row r="1970" spans="1:20" ht="22.2" hidden="1" customHeight="1">
      <c r="A1970" s="379"/>
      <c r="B1970" s="485" t="s">
        <v>1123</v>
      </c>
      <c r="C1970" s="469" t="str">
        <f t="shared" si="323"/>
        <v xml:space="preserve"> </v>
      </c>
      <c r="D1970" s="494">
        <f>[1]pp1p!BS94</f>
        <v>0</v>
      </c>
      <c r="E1970" s="422"/>
      <c r="F1970" s="486" t="s">
        <v>1124</v>
      </c>
      <c r="G1970" s="487" t="s">
        <v>375</v>
      </c>
      <c r="H1970" s="435">
        <f t="shared" ref="H1970:H1986" si="328">D1970</f>
        <v>0</v>
      </c>
      <c r="I1970" s="435"/>
      <c r="J1970" s="435"/>
      <c r="K1970" s="435"/>
      <c r="L1970" s="430">
        <f>IFERROR(HLOOKUP(chitiet!B1970,[1]pp1p!$1:$3,3,0),0)</f>
        <v>0</v>
      </c>
      <c r="M1970" s="435"/>
      <c r="N1970" s="435"/>
      <c r="O1970" s="435"/>
      <c r="P1970" s="435">
        <f t="shared" si="325"/>
        <v>0</v>
      </c>
      <c r="Q1970" s="442"/>
      <c r="R1970" s="442"/>
      <c r="S1970" s="442"/>
      <c r="T1970" s="432">
        <f>IFERROR(HLOOKUP(B1970,[1]pp1p!$1:$3,3,0),0)</f>
        <v>0</v>
      </c>
    </row>
    <row r="1971" spans="1:20" ht="22.2" hidden="1" customHeight="1">
      <c r="A1971" s="379"/>
      <c r="B1971" s="410" t="s">
        <v>138</v>
      </c>
      <c r="C1971" s="469" t="str">
        <f t="shared" si="323"/>
        <v xml:space="preserve"> </v>
      </c>
      <c r="D1971" s="440">
        <f>D1970</f>
        <v>0</v>
      </c>
      <c r="E1971" s="422"/>
      <c r="F1971" s="441" t="str">
        <f>VLOOKUP($B1971,[1]DG!A:D,[1]DG!$C$2,)</f>
        <v xml:space="preserve">Sứ đứng 24KV </v>
      </c>
      <c r="G1971" s="422" t="str">
        <f>VLOOKUP($B1971,[1]DG!A:D,[1]DG!$D$2,)</f>
        <v>cái</v>
      </c>
      <c r="H1971" s="435">
        <f t="shared" si="328"/>
        <v>0</v>
      </c>
      <c r="I1971" s="435"/>
      <c r="J1971" s="435"/>
      <c r="K1971" s="435"/>
      <c r="L1971" s="435">
        <f t="shared" si="327"/>
        <v>0</v>
      </c>
      <c r="M1971" s="435"/>
      <c r="N1971" s="435"/>
      <c r="O1971" s="435"/>
      <c r="P1971" s="435">
        <f t="shared" si="325"/>
        <v>0</v>
      </c>
      <c r="Q1971" s="442"/>
      <c r="R1971" s="442"/>
      <c r="S1971" s="442"/>
      <c r="T1971" s="432">
        <f>IFERROR(HLOOKUP(B1971,[1]pp1p!$1:$3,3,0),0)</f>
        <v>0</v>
      </c>
    </row>
    <row r="1972" spans="1:20" ht="22.2" hidden="1" customHeight="1">
      <c r="A1972" s="379"/>
      <c r="B1972" s="410" t="s">
        <v>139</v>
      </c>
      <c r="C1972" s="469" t="str">
        <f t="shared" si="323"/>
        <v xml:space="preserve"> </v>
      </c>
      <c r="D1972" s="440">
        <f>D1970</f>
        <v>0</v>
      </c>
      <c r="E1972" s="422"/>
      <c r="F1972" s="441" t="str">
        <f>VLOOKUP($B1972,[1]DG!A:D,[1]DG!$C$2,)</f>
        <v>Chân sứ đứng D20</v>
      </c>
      <c r="G1972" s="422" t="str">
        <f>VLOOKUP($B1972,[1]DG!A:D,[1]DG!$D$2,)</f>
        <v>cái</v>
      </c>
      <c r="H1972" s="435">
        <f t="shared" si="328"/>
        <v>0</v>
      </c>
      <c r="I1972" s="435"/>
      <c r="J1972" s="435"/>
      <c r="K1972" s="435"/>
      <c r="L1972" s="435">
        <f t="shared" si="327"/>
        <v>0</v>
      </c>
      <c r="M1972" s="435"/>
      <c r="N1972" s="435"/>
      <c r="O1972" s="435"/>
      <c r="P1972" s="435">
        <f t="shared" si="325"/>
        <v>0</v>
      </c>
      <c r="Q1972" s="442"/>
      <c r="R1972" s="442"/>
      <c r="S1972" s="442"/>
      <c r="T1972" s="432">
        <f>IFERROR(HLOOKUP(B1972,[1]pp1p!$1:$3,3,0),0)</f>
        <v>0</v>
      </c>
    </row>
    <row r="1973" spans="1:20" ht="22.2" hidden="1" customHeight="1">
      <c r="A1973" s="379"/>
      <c r="B1973" s="485" t="s">
        <v>1125</v>
      </c>
      <c r="C1973" s="469" t="str">
        <f t="shared" si="323"/>
        <v xml:space="preserve"> </v>
      </c>
      <c r="D1973" s="494">
        <f>[1]pp1p!BO94</f>
        <v>0</v>
      </c>
      <c r="E1973" s="422"/>
      <c r="F1973" s="486" t="s">
        <v>1126</v>
      </c>
      <c r="G1973" s="487" t="s">
        <v>375</v>
      </c>
      <c r="H1973" s="435">
        <f t="shared" si="328"/>
        <v>0</v>
      </c>
      <c r="I1973" s="435"/>
      <c r="J1973" s="435"/>
      <c r="K1973" s="435"/>
      <c r="L1973" s="430">
        <f>IFERROR(HLOOKUP(chitiet!B1973,[1]pp1p!$1:$3,3,0),0)</f>
        <v>0</v>
      </c>
      <c r="M1973" s="435"/>
      <c r="N1973" s="435"/>
      <c r="O1973" s="435"/>
      <c r="P1973" s="435">
        <f t="shared" si="325"/>
        <v>0</v>
      </c>
      <c r="Q1973" s="442"/>
      <c r="R1973" s="442"/>
      <c r="S1973" s="442"/>
      <c r="T1973" s="432">
        <f>IFERROR(HLOOKUP(B1973,[1]pp1p!$1:$3,3,0),0)</f>
        <v>0</v>
      </c>
    </row>
    <row r="1974" spans="1:20" ht="22.2" hidden="1" customHeight="1">
      <c r="A1974" s="379"/>
      <c r="B1974" s="410" t="s">
        <v>138</v>
      </c>
      <c r="C1974" s="469" t="str">
        <f t="shared" si="323"/>
        <v xml:space="preserve"> </v>
      </c>
      <c r="D1974" s="440">
        <f>D1973</f>
        <v>0</v>
      </c>
      <c r="E1974" s="422"/>
      <c r="F1974" s="441" t="str">
        <f>VLOOKUP($B1974,[1]DG!A:D,[1]DG!$C$2,)</f>
        <v xml:space="preserve">Sứ đứng 24KV </v>
      </c>
      <c r="G1974" s="422" t="str">
        <f>VLOOKUP($B1974,[1]DG!A:D,[1]DG!$D$2,)</f>
        <v>cái</v>
      </c>
      <c r="H1974" s="435">
        <f t="shared" si="328"/>
        <v>0</v>
      </c>
      <c r="I1974" s="435"/>
      <c r="J1974" s="435"/>
      <c r="K1974" s="435"/>
      <c r="L1974" s="435">
        <f t="shared" si="327"/>
        <v>0</v>
      </c>
      <c r="M1974" s="435"/>
      <c r="N1974" s="435"/>
      <c r="O1974" s="435"/>
      <c r="P1974" s="435">
        <f t="shared" si="325"/>
        <v>0</v>
      </c>
      <c r="Q1974" s="442"/>
      <c r="R1974" s="442"/>
      <c r="S1974" s="442"/>
      <c r="T1974" s="432">
        <f>IFERROR(HLOOKUP(B1974,[1]pp1p!$1:$3,3,0),0)</f>
        <v>0</v>
      </c>
    </row>
    <row r="1975" spans="1:20" ht="22.2" hidden="1" customHeight="1">
      <c r="A1975" s="379"/>
      <c r="B1975" s="410" t="s">
        <v>880</v>
      </c>
      <c r="C1975" s="469" t="str">
        <f t="shared" si="323"/>
        <v xml:space="preserve"> </v>
      </c>
      <c r="D1975" s="440">
        <f>D1973</f>
        <v>0</v>
      </c>
      <c r="E1975" s="422"/>
      <c r="F1975" s="441" t="str">
        <f>VLOOKUP($B1975,[1]DG!A:D,[1]DG!$C$2,)</f>
        <v>Chân sứ đỉnh thẳng dài 870mm</v>
      </c>
      <c r="G1975" s="422" t="str">
        <f>VLOOKUP($B1975,[1]DG!A:D,[1]DG!$D$2,)</f>
        <v>cái</v>
      </c>
      <c r="H1975" s="435">
        <f t="shared" si="328"/>
        <v>0</v>
      </c>
      <c r="I1975" s="435"/>
      <c r="J1975" s="435"/>
      <c r="K1975" s="435"/>
      <c r="L1975" s="435">
        <f t="shared" si="327"/>
        <v>0</v>
      </c>
      <c r="M1975" s="435"/>
      <c r="N1975" s="435"/>
      <c r="O1975" s="435"/>
      <c r="P1975" s="435">
        <f t="shared" si="325"/>
        <v>0</v>
      </c>
      <c r="Q1975" s="442"/>
      <c r="R1975" s="442"/>
      <c r="S1975" s="442"/>
      <c r="T1975" s="432">
        <f>IFERROR(HLOOKUP(B1975,[1]pp1p!$1:$3,3,0),0)</f>
        <v>0</v>
      </c>
    </row>
    <row r="1976" spans="1:20" ht="22.2" hidden="1" customHeight="1">
      <c r="A1976" s="379"/>
      <c r="B1976" s="410" t="s">
        <v>65</v>
      </c>
      <c r="C1976" s="469" t="str">
        <f t="shared" si="323"/>
        <v xml:space="preserve"> </v>
      </c>
      <c r="D1976" s="440">
        <f>D1973*2</f>
        <v>0</v>
      </c>
      <c r="E1976" s="422"/>
      <c r="F1976" s="441" t="str">
        <f>VLOOKUP($B1976,[1]DG!A:D,[1]DG!$C$2,)</f>
        <v>Boulon 16x300+ 2 long đền vuông D18-50x50x3/Zn</v>
      </c>
      <c r="G1976" s="422" t="str">
        <f>VLOOKUP($B1976,[1]DG!A:D,[1]DG!$D$2,)</f>
        <v>bộ</v>
      </c>
      <c r="H1976" s="435">
        <f t="shared" si="328"/>
        <v>0</v>
      </c>
      <c r="I1976" s="435"/>
      <c r="J1976" s="435"/>
      <c r="K1976" s="435"/>
      <c r="L1976" s="435">
        <f t="shared" si="327"/>
        <v>0</v>
      </c>
      <c r="M1976" s="435"/>
      <c r="N1976" s="435"/>
      <c r="O1976" s="435"/>
      <c r="P1976" s="435">
        <f t="shared" si="325"/>
        <v>0</v>
      </c>
      <c r="Q1976" s="442"/>
      <c r="R1976" s="442"/>
      <c r="S1976" s="442"/>
      <c r="T1976" s="432">
        <f>IFERROR(HLOOKUP(B1976,[1]pp1p!$1:$3,3,0),0)</f>
        <v>0</v>
      </c>
    </row>
    <row r="1977" spans="1:20" ht="22.2" hidden="1" customHeight="1">
      <c r="A1977" s="379"/>
      <c r="B1977" s="485" t="s">
        <v>1127</v>
      </c>
      <c r="C1977" s="469" t="str">
        <f t="shared" si="323"/>
        <v xml:space="preserve"> </v>
      </c>
      <c r="D1977" s="498">
        <f>[1]pp1p!BP94</f>
        <v>0</v>
      </c>
      <c r="E1977" s="422"/>
      <c r="F1977" s="486" t="s">
        <v>1128</v>
      </c>
      <c r="G1977" s="487" t="s">
        <v>375</v>
      </c>
      <c r="H1977" s="436">
        <f t="shared" si="328"/>
        <v>0</v>
      </c>
      <c r="I1977" s="436"/>
      <c r="J1977" s="436"/>
      <c r="K1977" s="435"/>
      <c r="L1977" s="430">
        <f>IFERROR(HLOOKUP(chitiet!B1977,[1]pp1p!$1:$3,3,0),0)</f>
        <v>0</v>
      </c>
      <c r="M1977" s="436"/>
      <c r="N1977" s="436"/>
      <c r="O1977" s="436"/>
      <c r="P1977" s="435">
        <f t="shared" si="325"/>
        <v>0</v>
      </c>
      <c r="Q1977" s="447"/>
      <c r="R1977" s="447"/>
      <c r="S1977" s="447"/>
      <c r="T1977" s="432">
        <f>IFERROR(HLOOKUP(B1977,[1]pp1p!$1:$3,3,0),0)</f>
        <v>0</v>
      </c>
    </row>
    <row r="1978" spans="1:20" ht="22.2" hidden="1" customHeight="1">
      <c r="A1978" s="379"/>
      <c r="B1978" s="410" t="s">
        <v>138</v>
      </c>
      <c r="C1978" s="469" t="str">
        <f t="shared" si="323"/>
        <v xml:space="preserve"> </v>
      </c>
      <c r="D1978" s="446">
        <f>D1977*2</f>
        <v>0</v>
      </c>
      <c r="E1978" s="422"/>
      <c r="F1978" s="441" t="str">
        <f>VLOOKUP($B1978,[1]DG!A:D,[1]DG!$C$2,)</f>
        <v xml:space="preserve">Sứ đứng 24KV </v>
      </c>
      <c r="G1978" s="422" t="str">
        <f>VLOOKUP($B1978,[1]DG!A:D,[1]DG!$D$2,)</f>
        <v>cái</v>
      </c>
      <c r="H1978" s="436">
        <f t="shared" si="328"/>
        <v>0</v>
      </c>
      <c r="I1978" s="436"/>
      <c r="J1978" s="436"/>
      <c r="K1978" s="435"/>
      <c r="L1978" s="435">
        <f t="shared" si="327"/>
        <v>0</v>
      </c>
      <c r="M1978" s="436"/>
      <c r="N1978" s="436"/>
      <c r="O1978" s="436"/>
      <c r="P1978" s="435">
        <f t="shared" si="325"/>
        <v>0</v>
      </c>
      <c r="Q1978" s="447"/>
      <c r="R1978" s="447"/>
      <c r="S1978" s="447"/>
      <c r="T1978" s="432">
        <f>IFERROR(HLOOKUP(B1978,[1]pp1p!$1:$3,3,0),0)</f>
        <v>0</v>
      </c>
    </row>
    <row r="1979" spans="1:20" ht="22.2" hidden="1" customHeight="1">
      <c r="A1979" s="379"/>
      <c r="B1979" s="410" t="s">
        <v>1129</v>
      </c>
      <c r="C1979" s="469" t="str">
        <f t="shared" si="323"/>
        <v xml:space="preserve"> </v>
      </c>
      <c r="D1979" s="446">
        <f>D1977*2</f>
        <v>0</v>
      </c>
      <c r="E1979" s="422"/>
      <c r="F1979" s="441" t="str">
        <f>VLOOKUP($B1979,[1]DG!A:D,[1]DG!$C$2,)</f>
        <v>Chân sứ đỉnh đỡ góc dài 870mm</v>
      </c>
      <c r="G1979" s="422" t="str">
        <f>VLOOKUP($B1979,[1]DG!A:D,[1]DG!$D$2,)</f>
        <v>cái</v>
      </c>
      <c r="H1979" s="436">
        <f t="shared" si="328"/>
        <v>0</v>
      </c>
      <c r="I1979" s="436"/>
      <c r="J1979" s="436"/>
      <c r="K1979" s="435"/>
      <c r="L1979" s="435">
        <f t="shared" si="327"/>
        <v>0</v>
      </c>
      <c r="M1979" s="436"/>
      <c r="N1979" s="436"/>
      <c r="O1979" s="436"/>
      <c r="P1979" s="435">
        <f t="shared" si="325"/>
        <v>0</v>
      </c>
      <c r="Q1979" s="447"/>
      <c r="R1979" s="447"/>
      <c r="S1979" s="447"/>
      <c r="T1979" s="432">
        <f>IFERROR(HLOOKUP(B1979,[1]pp1p!$1:$3,3,0),0)</f>
        <v>0</v>
      </c>
    </row>
    <row r="1980" spans="1:20" ht="22.2" hidden="1" customHeight="1">
      <c r="A1980" s="379"/>
      <c r="B1980" s="410" t="s">
        <v>65</v>
      </c>
      <c r="C1980" s="469" t="str">
        <f t="shared" si="323"/>
        <v xml:space="preserve"> </v>
      </c>
      <c r="D1980" s="446">
        <f>D1977*2</f>
        <v>0</v>
      </c>
      <c r="E1980" s="422"/>
      <c r="F1980" s="441" t="str">
        <f>VLOOKUP($B1980,[1]DG!A:D,[1]DG!$C$2,)</f>
        <v>Boulon 16x300+ 2 long đền vuông D18-50x50x3/Zn</v>
      </c>
      <c r="G1980" s="422" t="str">
        <f>VLOOKUP($B1980,[1]DG!A:D,[1]DG!$D$2,)</f>
        <v>bộ</v>
      </c>
      <c r="H1980" s="436">
        <f t="shared" si="328"/>
        <v>0</v>
      </c>
      <c r="I1980" s="436"/>
      <c r="J1980" s="436"/>
      <c r="K1980" s="435"/>
      <c r="L1980" s="435">
        <f t="shared" si="327"/>
        <v>0</v>
      </c>
      <c r="M1980" s="436"/>
      <c r="N1980" s="436"/>
      <c r="O1980" s="436"/>
      <c r="P1980" s="435">
        <f t="shared" si="325"/>
        <v>0</v>
      </c>
      <c r="Q1980" s="447"/>
      <c r="R1980" s="447"/>
      <c r="S1980" s="447"/>
      <c r="T1980" s="432">
        <f>IFERROR(HLOOKUP(B1980,[1]pp1p!$1:$3,3,0),0)</f>
        <v>0</v>
      </c>
    </row>
    <row r="1981" spans="1:20" ht="22.2" hidden="1" customHeight="1">
      <c r="A1981" s="379"/>
      <c r="B1981" s="485" t="s">
        <v>1130</v>
      </c>
      <c r="C1981" s="469" t="str">
        <f t="shared" si="323"/>
        <v xml:space="preserve"> </v>
      </c>
      <c r="D1981" s="494">
        <f>[1]pp1p!BV94</f>
        <v>0</v>
      </c>
      <c r="E1981" s="422"/>
      <c r="F1981" s="486" t="s">
        <v>1131</v>
      </c>
      <c r="G1981" s="487" t="s">
        <v>1132</v>
      </c>
      <c r="H1981" s="435">
        <f t="shared" si="328"/>
        <v>0</v>
      </c>
      <c r="I1981" s="435"/>
      <c r="J1981" s="435"/>
      <c r="K1981" s="435"/>
      <c r="L1981" s="430">
        <f>IFERROR(HLOOKUP(chitiet!B1981,[1]pp1p!$1:$3,3,0),0)</f>
        <v>0</v>
      </c>
      <c r="M1981" s="435"/>
      <c r="N1981" s="435"/>
      <c r="O1981" s="435"/>
      <c r="P1981" s="435">
        <f t="shared" si="325"/>
        <v>0</v>
      </c>
      <c r="Q1981" s="442"/>
      <c r="R1981" s="442"/>
      <c r="S1981" s="442"/>
      <c r="T1981" s="432">
        <f>IFERROR(HLOOKUP(B1981,[1]pp1p!$1:$3,3,0),0)</f>
        <v>0</v>
      </c>
    </row>
    <row r="1982" spans="1:20" ht="22.2" hidden="1" customHeight="1">
      <c r="A1982" s="379"/>
      <c r="B1982" s="410" t="s">
        <v>1133</v>
      </c>
      <c r="C1982" s="469" t="str">
        <f t="shared" si="323"/>
        <v xml:space="preserve"> </v>
      </c>
      <c r="D1982" s="440">
        <f>D1981*2</f>
        <v>0</v>
      </c>
      <c r="E1982" s="422"/>
      <c r="F1982" s="441" t="str">
        <f>VLOOKUP($B1982,[1]DG!A:D,[1]DG!$C$2,)</f>
        <v>Sứ treo loại 70kN</v>
      </c>
      <c r="G1982" s="422" t="str">
        <f>VLOOKUP($B1982,[1]DG!A:D,[1]DG!$D$2,)</f>
        <v>bát</v>
      </c>
      <c r="H1982" s="435">
        <f t="shared" si="328"/>
        <v>0</v>
      </c>
      <c r="I1982" s="435"/>
      <c r="J1982" s="435"/>
      <c r="K1982" s="435"/>
      <c r="L1982" s="435">
        <f t="shared" si="327"/>
        <v>0</v>
      </c>
      <c r="M1982" s="435"/>
      <c r="N1982" s="435"/>
      <c r="O1982" s="435"/>
      <c r="P1982" s="435">
        <f t="shared" si="325"/>
        <v>0</v>
      </c>
      <c r="Q1982" s="442"/>
      <c r="R1982" s="442"/>
      <c r="S1982" s="442"/>
      <c r="T1982" s="432">
        <f>IFERROR(HLOOKUP(B1982,[1]pp1p!$1:$3,3,0),0)</f>
        <v>0</v>
      </c>
    </row>
    <row r="1983" spans="1:20" ht="22.2" hidden="1" customHeight="1">
      <c r="A1983" s="379"/>
      <c r="B1983" s="410" t="s">
        <v>478</v>
      </c>
      <c r="C1983" s="469" t="str">
        <f t="shared" si="323"/>
        <v xml:space="preserve"> </v>
      </c>
      <c r="D1983" s="440">
        <f>D1981*2</f>
        <v>0</v>
      </c>
      <c r="E1983" s="422"/>
      <c r="F1983" s="441" t="str">
        <f>VLOOKUP($B1983,[1]DG!A:D,[1]DG!$C$2,)</f>
        <v xml:space="preserve">Móc treo chữ U </v>
      </c>
      <c r="G1983" s="422" t="str">
        <f>VLOOKUP($B1983,[1]DG!A:D,[1]DG!$D$2,)</f>
        <v>cái</v>
      </c>
      <c r="H1983" s="435">
        <f t="shared" si="328"/>
        <v>0</v>
      </c>
      <c r="I1983" s="435"/>
      <c r="J1983" s="435"/>
      <c r="K1983" s="435"/>
      <c r="L1983" s="435">
        <f t="shared" si="327"/>
        <v>0</v>
      </c>
      <c r="M1983" s="435"/>
      <c r="N1983" s="435"/>
      <c r="O1983" s="435"/>
      <c r="P1983" s="435">
        <f t="shared" si="325"/>
        <v>0</v>
      </c>
      <c r="Q1983" s="442"/>
      <c r="R1983" s="442"/>
      <c r="S1983" s="442"/>
      <c r="T1983" s="432">
        <f>IFERROR(HLOOKUP(B1983,[1]pp1p!$1:$3,3,0),0)</f>
        <v>0</v>
      </c>
    </row>
    <row r="1984" spans="1:20" ht="22.2" hidden="1" customHeight="1">
      <c r="A1984" s="379"/>
      <c r="B1984" s="410" t="s">
        <v>1134</v>
      </c>
      <c r="C1984" s="469" t="str">
        <f t="shared" si="323"/>
        <v xml:space="preserve"> </v>
      </c>
      <c r="D1984" s="440">
        <f>D1981</f>
        <v>0</v>
      </c>
      <c r="E1984" s="422"/>
      <c r="F1984" s="441" t="str">
        <f>VLOOKUP($B1984,[1]DG!A:D,[1]DG!$C$2,)</f>
        <v>Vòng treo đầu tròn</v>
      </c>
      <c r="G1984" s="422" t="str">
        <f>VLOOKUP($B1984,[1]DG!A:D,[1]DG!$D$2,)</f>
        <v>cái</v>
      </c>
      <c r="H1984" s="435">
        <f t="shared" si="328"/>
        <v>0</v>
      </c>
      <c r="I1984" s="435"/>
      <c r="J1984" s="435"/>
      <c r="K1984" s="435"/>
      <c r="L1984" s="435">
        <f t="shared" si="327"/>
        <v>0</v>
      </c>
      <c r="M1984" s="435"/>
      <c r="N1984" s="435"/>
      <c r="O1984" s="435"/>
      <c r="P1984" s="435">
        <f t="shared" si="325"/>
        <v>0</v>
      </c>
      <c r="Q1984" s="442"/>
      <c r="R1984" s="442"/>
      <c r="S1984" s="442"/>
      <c r="T1984" s="432">
        <f>IFERROR(HLOOKUP(B1984,[1]pp1p!$1:$3,3,0),0)</f>
        <v>0</v>
      </c>
    </row>
    <row r="1985" spans="1:20" ht="22.2" hidden="1" customHeight="1">
      <c r="A1985" s="379"/>
      <c r="B1985" s="410" t="s">
        <v>1135</v>
      </c>
      <c r="C1985" s="469" t="str">
        <f t="shared" ref="C1985:C2050" si="329">IF(OR(P1985&lt;&gt;0,H1985&lt;&gt;0),"x"," ")</f>
        <v xml:space="preserve"> </v>
      </c>
      <c r="D1985" s="440">
        <f>D1981</f>
        <v>0</v>
      </c>
      <c r="E1985" s="422"/>
      <c r="F1985" s="441" t="str">
        <f>VLOOKUP($B1985,[1]DG!A:D,[1]DG!$C$2,)</f>
        <v>Mắt nối đơn</v>
      </c>
      <c r="G1985" s="422" t="str">
        <f>VLOOKUP($B1985,[1]DG!A:D,[1]DG!$D$2,)</f>
        <v>cái</v>
      </c>
      <c r="H1985" s="435">
        <f t="shared" si="328"/>
        <v>0</v>
      </c>
      <c r="I1985" s="435"/>
      <c r="J1985" s="435"/>
      <c r="K1985" s="435"/>
      <c r="L1985" s="435">
        <f t="shared" si="327"/>
        <v>0</v>
      </c>
      <c r="M1985" s="435"/>
      <c r="N1985" s="435"/>
      <c r="O1985" s="435"/>
      <c r="P1985" s="435">
        <f t="shared" si="325"/>
        <v>0</v>
      </c>
      <c r="Q1985" s="442"/>
      <c r="R1985" s="442"/>
      <c r="S1985" s="442"/>
      <c r="T1985" s="432">
        <f>IFERROR(HLOOKUP(B1985,[1]pp1p!$1:$3,3,0),0)</f>
        <v>0</v>
      </c>
    </row>
    <row r="1986" spans="1:20" ht="22.2" hidden="1" customHeight="1">
      <c r="A1986" s="379"/>
      <c r="B1986" s="410" t="s">
        <v>1136</v>
      </c>
      <c r="C1986" s="469" t="str">
        <f t="shared" si="329"/>
        <v xml:space="preserve"> </v>
      </c>
      <c r="D1986" s="440">
        <f>D1981</f>
        <v>0</v>
      </c>
      <c r="E1986" s="422"/>
      <c r="F1986" s="441" t="str">
        <f>VLOOKUP($B1986,[1]DG!A:D,[1]DG!$C$2,)</f>
        <v>Boulon mắt 16x300+ 2 long đền vuông D18-50x50x3/Zn</v>
      </c>
      <c r="G1986" s="422" t="str">
        <f>VLOOKUP($B1986,[1]DG!A:D,[1]DG!$D$2,)</f>
        <v>bộ</v>
      </c>
      <c r="H1986" s="435">
        <f t="shared" si="328"/>
        <v>0</v>
      </c>
      <c r="I1986" s="435"/>
      <c r="J1986" s="435"/>
      <c r="K1986" s="435"/>
      <c r="L1986" s="435">
        <f t="shared" si="327"/>
        <v>0</v>
      </c>
      <c r="M1986" s="435"/>
      <c r="N1986" s="435"/>
      <c r="O1986" s="435"/>
      <c r="P1986" s="435">
        <f t="shared" si="325"/>
        <v>0</v>
      </c>
      <c r="Q1986" s="442"/>
      <c r="R1986" s="442"/>
      <c r="S1986" s="442"/>
      <c r="T1986" s="432">
        <f>IFERROR(HLOOKUP(B1986,[1]pp1p!$1:$3,3,0),0)</f>
        <v>0</v>
      </c>
    </row>
    <row r="1987" spans="1:20" ht="22.2" hidden="1" customHeight="1">
      <c r="A1987" s="379"/>
      <c r="B1987" s="485" t="s">
        <v>1240</v>
      </c>
      <c r="C1987" s="469" t="str">
        <f t="shared" si="329"/>
        <v xml:space="preserve"> </v>
      </c>
      <c r="D1987" s="494">
        <f>[1]pp1p!BT94</f>
        <v>0</v>
      </c>
      <c r="E1987" s="422"/>
      <c r="F1987" s="486" t="s">
        <v>1141</v>
      </c>
      <c r="G1987" s="422" t="s">
        <v>1132</v>
      </c>
      <c r="H1987" s="435">
        <f>$D1987</f>
        <v>0</v>
      </c>
      <c r="I1987" s="435"/>
      <c r="J1987" s="435"/>
      <c r="K1987" s="435">
        <f>D1987*0</f>
        <v>0</v>
      </c>
      <c r="L1987" s="430">
        <f>IFERROR(HLOOKUP(chitiet!B1987,[1]pp1p!$1:$3,3,0),0)</f>
        <v>0</v>
      </c>
      <c r="M1987" s="435"/>
      <c r="N1987" s="435"/>
      <c r="O1987" s="435"/>
      <c r="P1987" s="435">
        <f t="shared" si="325"/>
        <v>0</v>
      </c>
      <c r="Q1987" s="442"/>
      <c r="R1987" s="442"/>
      <c r="S1987" s="442"/>
      <c r="T1987" s="432">
        <f>IFERROR(HLOOKUP(B1987,[1]pp1p!$1:$3,3,0),0)</f>
        <v>0</v>
      </c>
    </row>
    <row r="1988" spans="1:20" ht="22.2" hidden="1" customHeight="1">
      <c r="A1988" s="379"/>
      <c r="B1988" s="410" t="s">
        <v>477</v>
      </c>
      <c r="C1988" s="469" t="str">
        <f t="shared" si="329"/>
        <v xml:space="preserve"> </v>
      </c>
      <c r="D1988" s="440">
        <f>D1987</f>
        <v>0</v>
      </c>
      <c r="E1988" s="422"/>
      <c r="F1988" s="441" t="str">
        <f>VLOOKUP($B1988,[1]DG!A:D,[1]DG!$C$2,)</f>
        <v>Sứ treo polymer</v>
      </c>
      <c r="G1988" s="422" t="s">
        <v>1132</v>
      </c>
      <c r="H1988" s="435">
        <f>$D1988</f>
        <v>0</v>
      </c>
      <c r="I1988" s="435"/>
      <c r="J1988" s="435"/>
      <c r="K1988" s="435">
        <f>D1988*0</f>
        <v>0</v>
      </c>
      <c r="L1988" s="435">
        <f t="shared" si="327"/>
        <v>0</v>
      </c>
      <c r="M1988" s="435"/>
      <c r="N1988" s="435"/>
      <c r="O1988" s="435"/>
      <c r="P1988" s="435">
        <f t="shared" si="325"/>
        <v>0</v>
      </c>
      <c r="Q1988" s="442"/>
      <c r="R1988" s="442"/>
      <c r="S1988" s="442"/>
      <c r="T1988" s="432">
        <f>IFERROR(HLOOKUP(B1988,[1]pp1p!$1:$3,3,0),0)</f>
        <v>0</v>
      </c>
    </row>
    <row r="1989" spans="1:20" ht="22.2" hidden="1" customHeight="1">
      <c r="A1989" s="379"/>
      <c r="B1989" s="410" t="s">
        <v>478</v>
      </c>
      <c r="C1989" s="469" t="str">
        <f t="shared" si="329"/>
        <v xml:space="preserve"> </v>
      </c>
      <c r="D1989" s="440">
        <f>D1987*2</f>
        <v>0</v>
      </c>
      <c r="E1989" s="422"/>
      <c r="F1989" s="441" t="str">
        <f>VLOOKUP($B1989,[1]DG!A:D,[1]DG!$C$2,)</f>
        <v xml:space="preserve">Móc treo chữ U </v>
      </c>
      <c r="G1989" s="422" t="s">
        <v>330</v>
      </c>
      <c r="H1989" s="435">
        <f>$D1989</f>
        <v>0</v>
      </c>
      <c r="I1989" s="435"/>
      <c r="J1989" s="435"/>
      <c r="K1989" s="435">
        <f>D1989*0</f>
        <v>0</v>
      </c>
      <c r="L1989" s="435">
        <f t="shared" si="327"/>
        <v>0</v>
      </c>
      <c r="M1989" s="435"/>
      <c r="N1989" s="435"/>
      <c r="O1989" s="435"/>
      <c r="P1989" s="435">
        <f t="shared" si="325"/>
        <v>0</v>
      </c>
      <c r="Q1989" s="442"/>
      <c r="R1989" s="442"/>
      <c r="S1989" s="442"/>
      <c r="T1989" s="432">
        <f>IFERROR(HLOOKUP(B1989,[1]pp1p!$1:$3,3,0),0)</f>
        <v>0</v>
      </c>
    </row>
    <row r="1990" spans="1:20" ht="22.2" hidden="1" customHeight="1">
      <c r="A1990" s="379"/>
      <c r="B1990" s="410" t="s">
        <v>1241</v>
      </c>
      <c r="C1990" s="469" t="str">
        <f t="shared" si="329"/>
        <v xml:space="preserve"> </v>
      </c>
      <c r="D1990" s="440">
        <f>D1987</f>
        <v>0</v>
      </c>
      <c r="E1990" s="422"/>
      <c r="F1990" s="441" t="str">
        <f>VLOOKUP($B1990,[1]DG!A:D,[1]DG!$C$2,)</f>
        <v>Khóa néo dây cỡ dây 185</v>
      </c>
      <c r="G1990" s="422" t="str">
        <f>VLOOKUP($B1990,[1]DG!A:D,[1]DG!$D$2,)</f>
        <v>cái</v>
      </c>
      <c r="H1990" s="435">
        <f>D1990</f>
        <v>0</v>
      </c>
      <c r="I1990" s="435"/>
      <c r="J1990" s="435"/>
      <c r="K1990" s="435"/>
      <c r="L1990" s="435">
        <f t="shared" si="327"/>
        <v>0</v>
      </c>
      <c r="M1990" s="435"/>
      <c r="N1990" s="435"/>
      <c r="O1990" s="435"/>
      <c r="P1990" s="435">
        <f t="shared" si="325"/>
        <v>0</v>
      </c>
      <c r="Q1990" s="442"/>
      <c r="R1990" s="442"/>
      <c r="S1990" s="442"/>
      <c r="T1990" s="432">
        <f>IFERROR(HLOOKUP(B1990,[1]pp1p!$1:$3,3,0),0)</f>
        <v>0</v>
      </c>
    </row>
    <row r="1991" spans="1:20" ht="22.2" hidden="1" customHeight="1">
      <c r="A1991" s="379"/>
      <c r="B1991" s="485" t="s">
        <v>1244</v>
      </c>
      <c r="C1991" s="469" t="str">
        <f t="shared" si="329"/>
        <v xml:space="preserve"> </v>
      </c>
      <c r="D1991" s="494">
        <f>[1]pp1p!BU94</f>
        <v>0</v>
      </c>
      <c r="E1991" s="422"/>
      <c r="F1991" s="486" t="s">
        <v>1293</v>
      </c>
      <c r="G1991" s="422" t="s">
        <v>1132</v>
      </c>
      <c r="H1991" s="435">
        <f>$D1991</f>
        <v>0</v>
      </c>
      <c r="I1991" s="435"/>
      <c r="J1991" s="435"/>
      <c r="K1991" s="435"/>
      <c r="L1991" s="430">
        <f>IFERROR(HLOOKUP(chitiet!B1991,[1]pp1p!$1:$3,3,0),0)</f>
        <v>0</v>
      </c>
      <c r="M1991" s="435"/>
      <c r="N1991" s="435"/>
      <c r="O1991" s="435"/>
      <c r="P1991" s="435">
        <f t="shared" si="325"/>
        <v>0</v>
      </c>
      <c r="Q1991" s="442"/>
      <c r="R1991" s="442"/>
      <c r="S1991" s="442"/>
      <c r="T1991" s="432">
        <f>IFERROR(HLOOKUP(B1991,[1]pp1p!$1:$3,3,0),0)</f>
        <v>0</v>
      </c>
    </row>
    <row r="1992" spans="1:20" ht="22.2" hidden="1" customHeight="1">
      <c r="A1992" s="379"/>
      <c r="B1992" s="410" t="s">
        <v>477</v>
      </c>
      <c r="C1992" s="469" t="str">
        <f t="shared" si="329"/>
        <v xml:space="preserve"> </v>
      </c>
      <c r="D1992" s="440">
        <f>D1991</f>
        <v>0</v>
      </c>
      <c r="E1992" s="422"/>
      <c r="F1992" s="441" t="str">
        <f>VLOOKUP($B1992,[1]DG!A:D,[1]DG!$C$2,)</f>
        <v>Sứ treo polymer</v>
      </c>
      <c r="G1992" s="422" t="s">
        <v>1132</v>
      </c>
      <c r="H1992" s="435">
        <f>$D1992</f>
        <v>0</v>
      </c>
      <c r="I1992" s="435"/>
      <c r="J1992" s="435"/>
      <c r="K1992" s="435"/>
      <c r="L1992" s="435">
        <f t="shared" si="327"/>
        <v>0</v>
      </c>
      <c r="M1992" s="435"/>
      <c r="N1992" s="435"/>
      <c r="O1992" s="435"/>
      <c r="P1992" s="435">
        <f t="shared" si="325"/>
        <v>0</v>
      </c>
      <c r="Q1992" s="442"/>
      <c r="R1992" s="442"/>
      <c r="S1992" s="442"/>
      <c r="T1992" s="432">
        <f>IFERROR(HLOOKUP(B1992,[1]pp1p!$1:$3,3,0),0)</f>
        <v>0</v>
      </c>
    </row>
    <row r="1993" spans="1:20" ht="22.2" hidden="1" customHeight="1">
      <c r="A1993" s="379"/>
      <c r="B1993" s="410" t="s">
        <v>1155</v>
      </c>
      <c r="C1993" s="469" t="str">
        <f t="shared" si="329"/>
        <v xml:space="preserve"> </v>
      </c>
      <c r="D1993" s="440">
        <f>D1992</f>
        <v>0</v>
      </c>
      <c r="E1993" s="422"/>
      <c r="F1993" s="441" t="str">
        <f>VLOOKUP($B1993,[1]DG!A:D,[1]DG!$C$2,)</f>
        <v>Khóa néo dây cỡ dây 50</v>
      </c>
      <c r="G1993" s="422" t="s">
        <v>1132</v>
      </c>
      <c r="H1993" s="435">
        <f>$D1993</f>
        <v>0</v>
      </c>
      <c r="I1993" s="435"/>
      <c r="J1993" s="435"/>
      <c r="K1993" s="435"/>
      <c r="L1993" s="435">
        <f t="shared" si="327"/>
        <v>0</v>
      </c>
      <c r="M1993" s="435"/>
      <c r="N1993" s="435"/>
      <c r="O1993" s="435"/>
      <c r="P1993" s="435">
        <f t="shared" si="325"/>
        <v>0</v>
      </c>
      <c r="Q1993" s="442"/>
      <c r="R1993" s="442"/>
      <c r="S1993" s="442"/>
      <c r="T1993" s="432">
        <f>IFERROR(HLOOKUP(B1993,[1]pp1p!$1:$3,3,0),0)</f>
        <v>0</v>
      </c>
    </row>
    <row r="1994" spans="1:20" ht="22.2" hidden="1" customHeight="1">
      <c r="A1994" s="379"/>
      <c r="B1994" s="410" t="s">
        <v>478</v>
      </c>
      <c r="C1994" s="469" t="str">
        <f t="shared" si="329"/>
        <v xml:space="preserve"> </v>
      </c>
      <c r="D1994" s="440">
        <f>D1993*2</f>
        <v>0</v>
      </c>
      <c r="E1994" s="422"/>
      <c r="F1994" s="441" t="str">
        <f>VLOOKUP($B1994,[1]DG!A:D,[1]DG!$C$2,)</f>
        <v xml:space="preserve">Móc treo chữ U </v>
      </c>
      <c r="G1994" s="422" t="s">
        <v>330</v>
      </c>
      <c r="H1994" s="435">
        <f>$D1994</f>
        <v>0</v>
      </c>
      <c r="I1994" s="435"/>
      <c r="J1994" s="435"/>
      <c r="K1994" s="435"/>
      <c r="L1994" s="435">
        <f t="shared" si="327"/>
        <v>0</v>
      </c>
      <c r="M1994" s="435"/>
      <c r="N1994" s="435"/>
      <c r="O1994" s="435"/>
      <c r="P1994" s="435">
        <f t="shared" si="325"/>
        <v>0</v>
      </c>
      <c r="Q1994" s="442"/>
      <c r="R1994" s="442"/>
      <c r="S1994" s="442"/>
      <c r="T1994" s="432">
        <f>IFERROR(HLOOKUP(B1994,[1]pp1p!$1:$3,3,0),0)</f>
        <v>0</v>
      </c>
    </row>
    <row r="1995" spans="1:20" ht="22.2" hidden="1" customHeight="1">
      <c r="A1995" s="379"/>
      <c r="B1995" s="410" t="s">
        <v>1294</v>
      </c>
      <c r="C1995" s="469" t="str">
        <f t="shared" si="329"/>
        <v xml:space="preserve"> </v>
      </c>
      <c r="D1995" s="440">
        <f>D1991/2</f>
        <v>0</v>
      </c>
      <c r="E1995" s="422"/>
      <c r="F1995" s="441" t="str">
        <f>VLOOKUP($B1995,[1]DG!A:D,[1]DG!$C$2,)</f>
        <v>Khánh bắt sứ kép polymer</v>
      </c>
      <c r="G1995" s="422" t="s">
        <v>330</v>
      </c>
      <c r="H1995" s="435">
        <f>$D1995</f>
        <v>0</v>
      </c>
      <c r="I1995" s="435"/>
      <c r="J1995" s="435"/>
      <c r="K1995" s="435"/>
      <c r="L1995" s="435">
        <f>H1995</f>
        <v>0</v>
      </c>
      <c r="M1995" s="435"/>
      <c r="N1995" s="435"/>
      <c r="O1995" s="435"/>
      <c r="P1995" s="435">
        <f t="shared" si="325"/>
        <v>0</v>
      </c>
      <c r="Q1995" s="442"/>
      <c r="R1995" s="442"/>
      <c r="S1995" s="442"/>
      <c r="T1995" s="432">
        <f>IFERROR(HLOOKUP(B1995,[1]pp1p!$1:$3,3,0),0)</f>
        <v>0</v>
      </c>
    </row>
    <row r="1996" spans="1:20" ht="22.2" hidden="1" customHeight="1">
      <c r="A1996" s="379"/>
      <c r="B1996" s="410" t="s">
        <v>1136</v>
      </c>
      <c r="C1996" s="469" t="str">
        <f t="shared" si="329"/>
        <v xml:space="preserve"> </v>
      </c>
      <c r="D1996" s="440">
        <f>D1993</f>
        <v>0</v>
      </c>
      <c r="E1996" s="422"/>
      <c r="F1996" s="441" t="str">
        <f>VLOOKUP($B1996,[1]DG!A:D,[1]DG!$C$2,)</f>
        <v>Boulon mắt 16x300+ 2 long đền vuông D18-50x50x3/Zn</v>
      </c>
      <c r="G1996" s="422" t="str">
        <f>VLOOKUP($B1996,[1]DG!A:D,[1]DG!$D$2,)</f>
        <v>bộ</v>
      </c>
      <c r="H1996" s="435">
        <f t="shared" ref="H1996:H2001" si="330">D1996</f>
        <v>0</v>
      </c>
      <c r="I1996" s="435"/>
      <c r="J1996" s="435"/>
      <c r="K1996" s="435"/>
      <c r="L1996" s="435">
        <f t="shared" si="327"/>
        <v>0</v>
      </c>
      <c r="M1996" s="435"/>
      <c r="N1996" s="435"/>
      <c r="O1996" s="435"/>
      <c r="P1996" s="435">
        <f t="shared" si="325"/>
        <v>0</v>
      </c>
      <c r="Q1996" s="442"/>
      <c r="R1996" s="442"/>
      <c r="S1996" s="442"/>
      <c r="T1996" s="432">
        <f>IFERROR(HLOOKUP(B1996,[1]pp1p!$1:$3,3,0),0)</f>
        <v>0</v>
      </c>
    </row>
    <row r="1997" spans="1:20" ht="22.2" hidden="1" customHeight="1">
      <c r="A1997" s="379"/>
      <c r="B1997" s="485" t="s">
        <v>1137</v>
      </c>
      <c r="C1997" s="469" t="str">
        <f t="shared" si="329"/>
        <v xml:space="preserve"> </v>
      </c>
      <c r="D1997" s="494">
        <f>[1]pp1p!BW94</f>
        <v>0</v>
      </c>
      <c r="E1997" s="422"/>
      <c r="F1997" s="486" t="s">
        <v>1295</v>
      </c>
      <c r="G1997" s="487" t="s">
        <v>1132</v>
      </c>
      <c r="H1997" s="435">
        <f t="shared" si="330"/>
        <v>0</v>
      </c>
      <c r="I1997" s="435"/>
      <c r="J1997" s="435"/>
      <c r="K1997" s="435"/>
      <c r="L1997" s="430">
        <f>IFERROR(HLOOKUP(chitiet!B1997,[1]pp1p!$1:$3,3,0),0)</f>
        <v>0</v>
      </c>
      <c r="M1997" s="435"/>
      <c r="N1997" s="435"/>
      <c r="O1997" s="435"/>
      <c r="P1997" s="435">
        <f t="shared" si="325"/>
        <v>0</v>
      </c>
      <c r="Q1997" s="442"/>
      <c r="R1997" s="442"/>
      <c r="S1997" s="442"/>
      <c r="T1997" s="432">
        <f>IFERROR(HLOOKUP(B1997,[1]pp1p!$1:$3,3,0),0)</f>
        <v>0</v>
      </c>
    </row>
    <row r="1998" spans="1:20" ht="22.2" hidden="1" customHeight="1">
      <c r="A1998" s="379"/>
      <c r="B1998" s="410" t="s">
        <v>1139</v>
      </c>
      <c r="C1998" s="469" t="str">
        <f t="shared" si="329"/>
        <v xml:space="preserve"> </v>
      </c>
      <c r="D1998" s="440">
        <f>D1997*2</f>
        <v>0</v>
      </c>
      <c r="E1998" s="422"/>
      <c r="F1998" s="441" t="str">
        <f>VLOOKUP($B1998,[1]DG!A:D,[1]DG!$C$2,)</f>
        <v>Sứ treo loại 70kN</v>
      </c>
      <c r="G1998" s="422" t="str">
        <f>VLOOKUP($B1998,[1]DG!A:D,[1]DG!$D$2,)</f>
        <v>bát</v>
      </c>
      <c r="H1998" s="435">
        <f t="shared" si="330"/>
        <v>0</v>
      </c>
      <c r="I1998" s="435"/>
      <c r="J1998" s="435"/>
      <c r="K1998" s="435"/>
      <c r="L1998" s="435">
        <f t="shared" si="327"/>
        <v>0</v>
      </c>
      <c r="M1998" s="435"/>
      <c r="N1998" s="435"/>
      <c r="O1998" s="435"/>
      <c r="P1998" s="435">
        <f t="shared" si="325"/>
        <v>0</v>
      </c>
      <c r="Q1998" s="442"/>
      <c r="R1998" s="442"/>
      <c r="S1998" s="442"/>
      <c r="T1998" s="432">
        <f>IFERROR(HLOOKUP(B1998,[1]pp1p!$1:$3,3,0),0)</f>
        <v>0</v>
      </c>
    </row>
    <row r="1999" spans="1:20" ht="22.2" hidden="1" customHeight="1">
      <c r="A1999" s="379"/>
      <c r="B1999" s="410" t="s">
        <v>478</v>
      </c>
      <c r="C1999" s="469" t="str">
        <f t="shared" si="329"/>
        <v xml:space="preserve"> </v>
      </c>
      <c r="D1999" s="440">
        <f>D1997*2</f>
        <v>0</v>
      </c>
      <c r="E1999" s="422"/>
      <c r="F1999" s="441" t="str">
        <f>VLOOKUP($B1999,[1]DG!A:D,[1]DG!$C$2,)</f>
        <v xml:space="preserve">Móc treo chữ U </v>
      </c>
      <c r="G1999" s="422" t="str">
        <f>VLOOKUP($B1999,[1]DG!A:D,[1]DG!$D$2,)</f>
        <v>cái</v>
      </c>
      <c r="H1999" s="435">
        <f t="shared" si="330"/>
        <v>0</v>
      </c>
      <c r="I1999" s="435"/>
      <c r="J1999" s="435"/>
      <c r="K1999" s="435"/>
      <c r="L1999" s="435">
        <f t="shared" si="327"/>
        <v>0</v>
      </c>
      <c r="M1999" s="435"/>
      <c r="N1999" s="435"/>
      <c r="O1999" s="435"/>
      <c r="P1999" s="435">
        <f t="shared" si="325"/>
        <v>0</v>
      </c>
      <c r="Q1999" s="442"/>
      <c r="R1999" s="442"/>
      <c r="S1999" s="442"/>
      <c r="T1999" s="432">
        <f>IFERROR(HLOOKUP(B1999,[1]pp1p!$1:$3,3,0),0)</f>
        <v>0</v>
      </c>
    </row>
    <row r="2000" spans="1:20" ht="22.2" hidden="1" customHeight="1">
      <c r="A2000" s="379"/>
      <c r="B2000" s="410" t="s">
        <v>1134</v>
      </c>
      <c r="C2000" s="469" t="str">
        <f t="shared" si="329"/>
        <v xml:space="preserve"> </v>
      </c>
      <c r="D2000" s="440">
        <f>D1997</f>
        <v>0</v>
      </c>
      <c r="E2000" s="422"/>
      <c r="F2000" s="441" t="str">
        <f>VLOOKUP($B2000,[1]DG!A:D,[1]DG!$C$2,)</f>
        <v>Vòng treo đầu tròn</v>
      </c>
      <c r="G2000" s="422" t="str">
        <f>VLOOKUP($B2000,[1]DG!A:D,[1]DG!$D$2,)</f>
        <v>cái</v>
      </c>
      <c r="H2000" s="435">
        <f t="shared" si="330"/>
        <v>0</v>
      </c>
      <c r="I2000" s="435"/>
      <c r="J2000" s="435"/>
      <c r="K2000" s="435"/>
      <c r="L2000" s="435">
        <f t="shared" si="327"/>
        <v>0</v>
      </c>
      <c r="M2000" s="435"/>
      <c r="N2000" s="435"/>
      <c r="O2000" s="435"/>
      <c r="P2000" s="435">
        <f t="shared" si="325"/>
        <v>0</v>
      </c>
      <c r="Q2000" s="442"/>
      <c r="R2000" s="442"/>
      <c r="S2000" s="442"/>
      <c r="T2000" s="432">
        <f>IFERROR(HLOOKUP(B2000,[1]pp1p!$1:$3,3,0),0)</f>
        <v>0</v>
      </c>
    </row>
    <row r="2001" spans="1:20" ht="22.2" hidden="1" customHeight="1">
      <c r="A2001" s="379"/>
      <c r="B2001" s="410" t="s">
        <v>1135</v>
      </c>
      <c r="C2001" s="469" t="str">
        <f t="shared" si="329"/>
        <v xml:space="preserve"> </v>
      </c>
      <c r="D2001" s="440">
        <f>D1997</f>
        <v>0</v>
      </c>
      <c r="E2001" s="422"/>
      <c r="F2001" s="441" t="str">
        <f>VLOOKUP($B2001,[1]DG!A:D,[1]DG!$C$2,)</f>
        <v>Mắt nối đơn</v>
      </c>
      <c r="G2001" s="422" t="str">
        <f>VLOOKUP($B2001,[1]DG!A:D,[1]DG!$D$2,)</f>
        <v>cái</v>
      </c>
      <c r="H2001" s="435">
        <f t="shared" si="330"/>
        <v>0</v>
      </c>
      <c r="I2001" s="435"/>
      <c r="J2001" s="435"/>
      <c r="K2001" s="435"/>
      <c r="L2001" s="435">
        <f t="shared" si="327"/>
        <v>0</v>
      </c>
      <c r="M2001" s="435"/>
      <c r="N2001" s="435"/>
      <c r="O2001" s="435"/>
      <c r="P2001" s="435">
        <f t="shared" si="325"/>
        <v>0</v>
      </c>
      <c r="Q2001" s="442"/>
      <c r="R2001" s="442"/>
      <c r="S2001" s="442"/>
      <c r="T2001" s="432">
        <f>IFERROR(HLOOKUP(B2001,[1]pp1p!$1:$3,3,0),0)</f>
        <v>0</v>
      </c>
    </row>
    <row r="2002" spans="1:20" ht="22.2" hidden="1" customHeight="1">
      <c r="B2002" s="491"/>
      <c r="C2002" s="469" t="str">
        <f>IF(OR(D2002&gt;0),"x","")</f>
        <v/>
      </c>
      <c r="D2002" s="525"/>
      <c r="E2002" s="422"/>
      <c r="F2002" s="526" t="s">
        <v>1249</v>
      </c>
      <c r="G2002" s="422"/>
      <c r="H2002" s="435"/>
      <c r="I2002" s="435"/>
      <c r="J2002" s="435"/>
      <c r="K2002" s="435"/>
      <c r="L2002" s="435">
        <f t="shared" si="327"/>
        <v>0</v>
      </c>
      <c r="M2002" s="435"/>
      <c r="N2002" s="435"/>
      <c r="O2002" s="435"/>
      <c r="P2002" s="435">
        <f t="shared" si="325"/>
        <v>0</v>
      </c>
      <c r="Q2002" s="442"/>
      <c r="R2002" s="442"/>
      <c r="S2002" s="442"/>
      <c r="T2002" s="432">
        <f>IFERROR(HLOOKUP(B2002,[1]pp1p!$1:$3,3,0),0)</f>
        <v>0</v>
      </c>
    </row>
    <row r="2003" spans="1:20" ht="22.2" hidden="1" customHeight="1">
      <c r="A2003" s="379"/>
      <c r="B2003" s="491" t="s">
        <v>1149</v>
      </c>
      <c r="C2003" s="469" t="str">
        <f t="shared" si="329"/>
        <v xml:space="preserve"> </v>
      </c>
      <c r="D2003" s="494">
        <f>[1]pp1p!CZ94</f>
        <v>0</v>
      </c>
      <c r="E2003" s="422"/>
      <c r="F2003" s="441" t="str">
        <f>VLOOKUP($B2003,[1]DG!A:D,[1]DG!$C$2,)</f>
        <v>Khóa đỡ dây cỡ dây 50</v>
      </c>
      <c r="G2003" s="422" t="str">
        <f>VLOOKUP($B2003,[1]DG!A:D,[1]DG!$D$2,)</f>
        <v>cái</v>
      </c>
      <c r="H2003" s="435">
        <f>L2003</f>
        <v>0</v>
      </c>
      <c r="I2003" s="435"/>
      <c r="J2003" s="435"/>
      <c r="K2003" s="435">
        <f>D2003</f>
        <v>0</v>
      </c>
      <c r="L2003" s="430">
        <f>IFERROR(HLOOKUP(chitiet!B2003,[1]pp1p!$1:$3,3,0),0)</f>
        <v>0</v>
      </c>
      <c r="M2003" s="435"/>
      <c r="N2003" s="435"/>
      <c r="O2003" s="435"/>
      <c r="P2003" s="435">
        <f t="shared" si="325"/>
        <v>0</v>
      </c>
      <c r="Q2003" s="442"/>
      <c r="R2003" s="442"/>
      <c r="S2003" s="442"/>
      <c r="T2003" s="432">
        <f>IFERROR(HLOOKUP(B2003,[1]pp1p!$1:$3,3,0),0)</f>
        <v>0</v>
      </c>
    </row>
    <row r="2004" spans="1:20" ht="22.2" hidden="1" customHeight="1">
      <c r="A2004" s="379"/>
      <c r="B2004" s="491" t="s">
        <v>1155</v>
      </c>
      <c r="C2004" s="469" t="str">
        <f t="shared" si="329"/>
        <v xml:space="preserve"> </v>
      </c>
      <c r="D2004" s="440">
        <f>(D1981+D1997)-D2003-D2005</f>
        <v>0</v>
      </c>
      <c r="E2004" s="422"/>
      <c r="F2004" s="441" t="str">
        <f>VLOOKUP($B2004,[1]DG!A:D,[1]DG!$C$2,)</f>
        <v>Khóa néo dây cỡ dây 50</v>
      </c>
      <c r="G2004" s="422" t="str">
        <f>VLOOKUP($B2004,[1]DG!A:D,[1]DG!$D$2,)</f>
        <v>cái</v>
      </c>
      <c r="H2004" s="435">
        <f t="shared" ref="H2004:H2041" si="331">D2004</f>
        <v>0</v>
      </c>
      <c r="I2004" s="435"/>
      <c r="J2004" s="435"/>
      <c r="K2004" s="435"/>
      <c r="L2004" s="430">
        <f>IFERROR(HLOOKUP(chitiet!B2004,[1]pp1p!$1:$3,3,0),0)</f>
        <v>0</v>
      </c>
      <c r="M2004" s="435"/>
      <c r="N2004" s="435"/>
      <c r="O2004" s="435"/>
      <c r="P2004" s="435">
        <f t="shared" si="325"/>
        <v>0</v>
      </c>
      <c r="Q2004" s="442"/>
      <c r="R2004" s="442"/>
      <c r="S2004" s="442"/>
      <c r="T2004" s="432">
        <f>IFERROR(HLOOKUP(B2004,[1]pp1p!$1:$3,3,0),0)</f>
        <v>0</v>
      </c>
    </row>
    <row r="2005" spans="1:20" ht="22.2" hidden="1" customHeight="1">
      <c r="A2005" s="379"/>
      <c r="B2005" s="497" t="s">
        <v>1296</v>
      </c>
      <c r="C2005" s="469" t="str">
        <f t="shared" si="329"/>
        <v xml:space="preserve"> </v>
      </c>
      <c r="D2005" s="426"/>
      <c r="E2005" s="422"/>
      <c r="F2005" s="441" t="str">
        <f>VLOOKUP($B2005,[1]DG!A:D,[1]DG!$C$2,)</f>
        <v>Khóa néo dây cỡ dây 70</v>
      </c>
      <c r="G2005" s="422" t="str">
        <f>VLOOKUP($B2005,[1]DG!A:D,[1]DG!$D$2,)</f>
        <v>cái</v>
      </c>
      <c r="H2005" s="435">
        <f t="shared" si="331"/>
        <v>0</v>
      </c>
      <c r="I2005" s="435"/>
      <c r="J2005" s="435"/>
      <c r="K2005" s="435">
        <f>D2005</f>
        <v>0</v>
      </c>
      <c r="L2005" s="430">
        <f>IFERROR(HLOOKUP(chitiet!B2005,[1]pp1p!$1:$3,3,0),0)</f>
        <v>0</v>
      </c>
      <c r="M2005" s="435"/>
      <c r="N2005" s="435"/>
      <c r="O2005" s="435"/>
      <c r="P2005" s="435">
        <f t="shared" si="325"/>
        <v>0</v>
      </c>
      <c r="Q2005" s="442"/>
      <c r="R2005" s="442"/>
      <c r="S2005" s="442"/>
      <c r="T2005" s="432">
        <f>IFERROR(HLOOKUP(B2005,[1]pp1p!$1:$3,3,0),0)</f>
        <v>0</v>
      </c>
    </row>
    <row r="2006" spans="1:20" ht="22.2" hidden="1" customHeight="1">
      <c r="A2006" s="379"/>
      <c r="B2006" s="491" t="s">
        <v>1297</v>
      </c>
      <c r="C2006" s="469" t="str">
        <f t="shared" si="329"/>
        <v xml:space="preserve"> </v>
      </c>
      <c r="D2006" s="494">
        <f>[1]pp1p!CC94</f>
        <v>0</v>
      </c>
      <c r="E2006" s="422"/>
      <c r="F2006" s="441" t="str">
        <f>VLOOKUP($B2006,[1]DG!A:D,[1]DG!$C$2,)</f>
        <v>Kẹp ép WR cỡ dây 50mm2</v>
      </c>
      <c r="G2006" s="422" t="str">
        <f>VLOOKUP($B2006,[1]DG!A:D,[1]DG!$D$2,)</f>
        <v>cái</v>
      </c>
      <c r="H2006" s="435">
        <f t="shared" si="331"/>
        <v>0</v>
      </c>
      <c r="I2006" s="435"/>
      <c r="J2006" s="435"/>
      <c r="K2006" s="435"/>
      <c r="L2006" s="430">
        <f>IFERROR(HLOOKUP(chitiet!B2006,[1]pp1p!$1:$3,3,0),0)</f>
        <v>0</v>
      </c>
      <c r="M2006" s="435"/>
      <c r="N2006" s="435"/>
      <c r="O2006" s="435"/>
      <c r="P2006" s="435">
        <f t="shared" si="325"/>
        <v>0</v>
      </c>
      <c r="Q2006" s="442"/>
      <c r="R2006" s="442"/>
      <c r="S2006" s="442"/>
      <c r="T2006" s="432">
        <f>IFERROR(HLOOKUP(B2006,[1]pp1p!$1:$3,3,0),0)</f>
        <v>0</v>
      </c>
    </row>
    <row r="2007" spans="1:20" ht="22.2" hidden="1" customHeight="1">
      <c r="A2007" s="379"/>
      <c r="B2007" s="491" t="s">
        <v>1252</v>
      </c>
      <c r="C2007" s="469" t="str">
        <f t="shared" si="329"/>
        <v xml:space="preserve"> </v>
      </c>
      <c r="D2007" s="494">
        <f>[1]pp1p!CD94</f>
        <v>0</v>
      </c>
      <c r="E2007" s="422"/>
      <c r="F2007" s="441" t="str">
        <f>VLOOKUP($B2007,[1]DG!A:D,[1]DG!$C$2,)</f>
        <v>Kẹp ép WR cỡ dây 70mm2</v>
      </c>
      <c r="G2007" s="422" t="str">
        <f>VLOOKUP($B2007,[1]DG!A:D,[1]DG!$D$2,)</f>
        <v>cái</v>
      </c>
      <c r="H2007" s="435">
        <f t="shared" si="331"/>
        <v>0</v>
      </c>
      <c r="I2007" s="435"/>
      <c r="J2007" s="435"/>
      <c r="K2007" s="435"/>
      <c r="L2007" s="430">
        <f>IFERROR(HLOOKUP(chitiet!B2007,[1]pp1p!$1:$3,3,0),0)</f>
        <v>0</v>
      </c>
      <c r="M2007" s="435"/>
      <c r="N2007" s="435"/>
      <c r="O2007" s="435"/>
      <c r="P2007" s="435">
        <f t="shared" si="325"/>
        <v>0</v>
      </c>
      <c r="Q2007" s="442"/>
      <c r="R2007" s="442"/>
      <c r="S2007" s="442"/>
      <c r="T2007" s="432">
        <f>IFERROR(HLOOKUP(B2007,[1]pp1p!$1:$3,3,0),0)</f>
        <v>0</v>
      </c>
    </row>
    <row r="2008" spans="1:20" ht="22.2" hidden="1" customHeight="1">
      <c r="A2008" s="379"/>
      <c r="B2008" s="491" t="s">
        <v>1159</v>
      </c>
      <c r="C2008" s="469" t="str">
        <f t="shared" si="329"/>
        <v xml:space="preserve"> </v>
      </c>
      <c r="D2008" s="494">
        <f>[1]pp1p!CE94</f>
        <v>0</v>
      </c>
      <c r="E2008" s="422"/>
      <c r="F2008" s="441" t="str">
        <f>VLOOKUP($B2008,[1]DG!A:D,[1]DG!$C$2,)</f>
        <v>Kẹp ép WR cỡ dây 95mm2</v>
      </c>
      <c r="G2008" s="422" t="str">
        <f>VLOOKUP($B2008,[1]DG!A:D,[1]DG!$D$2,)</f>
        <v>cái</v>
      </c>
      <c r="H2008" s="435">
        <f t="shared" si="331"/>
        <v>0</v>
      </c>
      <c r="I2008" s="435"/>
      <c r="J2008" s="435"/>
      <c r="K2008" s="435"/>
      <c r="L2008" s="430">
        <f>IFERROR(HLOOKUP(chitiet!B2008,[1]pp1p!$1:$3,3,0),0)</f>
        <v>0</v>
      </c>
      <c r="M2008" s="435"/>
      <c r="N2008" s="435"/>
      <c r="O2008" s="435"/>
      <c r="P2008" s="435">
        <f t="shared" si="325"/>
        <v>0</v>
      </c>
      <c r="Q2008" s="442"/>
      <c r="R2008" s="442"/>
      <c r="S2008" s="442"/>
      <c r="T2008" s="432">
        <f>IFERROR(HLOOKUP(B2008,[1]pp1p!$1:$3,3,0),0)</f>
        <v>0</v>
      </c>
    </row>
    <row r="2009" spans="1:20" ht="22.2" hidden="1" customHeight="1">
      <c r="A2009" s="379"/>
      <c r="B2009" s="491" t="s">
        <v>128</v>
      </c>
      <c r="C2009" s="469" t="str">
        <f t="shared" si="329"/>
        <v xml:space="preserve"> </v>
      </c>
      <c r="D2009" s="494">
        <f>[1]pp1p!CF94</f>
        <v>0</v>
      </c>
      <c r="E2009" s="422"/>
      <c r="F2009" s="441" t="str">
        <f>VLOOKUP($B2009,[1]DG!A:D,[1]DG!$C$2,)</f>
        <v>Kẹp ép WR cỡ dây 120mm2</v>
      </c>
      <c r="G2009" s="422" t="str">
        <f>VLOOKUP($B2009,[1]DG!A:D,[1]DG!$D$2,)</f>
        <v>cái</v>
      </c>
      <c r="H2009" s="435">
        <f t="shared" si="331"/>
        <v>0</v>
      </c>
      <c r="I2009" s="435"/>
      <c r="J2009" s="435"/>
      <c r="K2009" s="435"/>
      <c r="L2009" s="430">
        <f>IFERROR(HLOOKUP(chitiet!B2009,[1]pp1p!$1:$3,3,0),0)</f>
        <v>0</v>
      </c>
      <c r="M2009" s="435"/>
      <c r="N2009" s="435"/>
      <c r="O2009" s="435"/>
      <c r="P2009" s="435">
        <f t="shared" si="325"/>
        <v>0</v>
      </c>
      <c r="Q2009" s="442"/>
      <c r="R2009" s="442"/>
      <c r="S2009" s="442"/>
      <c r="T2009" s="432">
        <f>IFERROR(HLOOKUP(B2009,[1]pp1p!$1:$3,3,0),0)</f>
        <v>0</v>
      </c>
    </row>
    <row r="2010" spans="1:20" ht="22.2" hidden="1" customHeight="1">
      <c r="A2010" s="379"/>
      <c r="B2010" s="491" t="s">
        <v>325</v>
      </c>
      <c r="C2010" s="469" t="str">
        <f t="shared" si="329"/>
        <v xml:space="preserve"> </v>
      </c>
      <c r="D2010" s="494">
        <f>[1]pp1p!CG94</f>
        <v>0</v>
      </c>
      <c r="E2010" s="422"/>
      <c r="F2010" s="441" t="str">
        <f>VLOOKUP($B2010,[1]DG!A:D,[1]DG!$C$2,)</f>
        <v>Kẹp ép WR cỡ dây 150mm2</v>
      </c>
      <c r="G2010" s="422" t="str">
        <f>VLOOKUP($B2010,[1]DG!A:D,[1]DG!$D$2,)</f>
        <v>cái</v>
      </c>
      <c r="H2010" s="435">
        <f t="shared" si="331"/>
        <v>0</v>
      </c>
      <c r="I2010" s="435"/>
      <c r="J2010" s="435"/>
      <c r="K2010" s="435"/>
      <c r="L2010" s="430">
        <f>IFERROR(HLOOKUP(chitiet!B2010,[1]pp1p!$1:$3,3,0),0)</f>
        <v>0</v>
      </c>
      <c r="M2010" s="435"/>
      <c r="N2010" s="435"/>
      <c r="O2010" s="435"/>
      <c r="P2010" s="435">
        <f t="shared" si="325"/>
        <v>0</v>
      </c>
      <c r="Q2010" s="442"/>
      <c r="R2010" s="442"/>
      <c r="S2010" s="442"/>
      <c r="T2010" s="432">
        <f>IFERROR(HLOOKUP(B2010,[1]pp1p!$1:$3,3,0),0)</f>
        <v>0</v>
      </c>
    </row>
    <row r="2011" spans="1:20" ht="22.2" hidden="1" customHeight="1">
      <c r="A2011" s="379"/>
      <c r="B2011" s="491" t="s">
        <v>1161</v>
      </c>
      <c r="C2011" s="469" t="str">
        <f t="shared" si="329"/>
        <v xml:space="preserve"> </v>
      </c>
      <c r="D2011" s="494">
        <f>[1]pp1p!CH94</f>
        <v>0</v>
      </c>
      <c r="E2011" s="422"/>
      <c r="F2011" s="441" t="str">
        <f>VLOOKUP($B2011,[1]DG!A:D,[1]DG!$C$2,)</f>
        <v>Kẹp ép WR cỡ dây 185mm2</v>
      </c>
      <c r="G2011" s="422" t="str">
        <f>VLOOKUP($B2011,[1]DG!A:D,[1]DG!$D$2,)</f>
        <v>cái</v>
      </c>
      <c r="H2011" s="435">
        <f t="shared" si="331"/>
        <v>0</v>
      </c>
      <c r="I2011" s="435"/>
      <c r="J2011" s="435"/>
      <c r="K2011" s="435"/>
      <c r="L2011" s="430">
        <f>IFERROR(HLOOKUP(chitiet!B2011,[1]pp1p!$1:$3,3,0),0)</f>
        <v>0</v>
      </c>
      <c r="M2011" s="435"/>
      <c r="N2011" s="435"/>
      <c r="O2011" s="435"/>
      <c r="P2011" s="435">
        <f t="shared" si="325"/>
        <v>0</v>
      </c>
      <c r="Q2011" s="442"/>
      <c r="R2011" s="442"/>
      <c r="S2011" s="442"/>
      <c r="T2011" s="432">
        <f>IFERROR(HLOOKUP(B2011,[1]pp1p!$1:$3,3,0),0)</f>
        <v>0</v>
      </c>
    </row>
    <row r="2012" spans="1:20" ht="22.2" hidden="1" customHeight="1">
      <c r="A2012" s="379"/>
      <c r="B2012" s="491" t="s">
        <v>1223</v>
      </c>
      <c r="C2012" s="469" t="str">
        <f t="shared" si="329"/>
        <v xml:space="preserve"> </v>
      </c>
      <c r="D2012" s="494">
        <f>[1]pp1p!CI94</f>
        <v>0</v>
      </c>
      <c r="E2012" s="422"/>
      <c r="F2012" s="441" t="str">
        <f>VLOOKUP($B2012,[1]DG!A:D,[1]DG!$C$2,)</f>
        <v>Kẹp ép WR cỡ dây 240mm2</v>
      </c>
      <c r="G2012" s="422" t="str">
        <f>VLOOKUP($B2012,[1]DG!A:D,[1]DG!$D$2,)</f>
        <v>cái</v>
      </c>
      <c r="H2012" s="435">
        <f t="shared" si="331"/>
        <v>0</v>
      </c>
      <c r="I2012" s="435"/>
      <c r="J2012" s="435"/>
      <c r="K2012" s="435"/>
      <c r="L2012" s="430">
        <f>IFERROR(HLOOKUP(chitiet!B2012,[1]pp1p!$1:$3,3,0),0)</f>
        <v>0</v>
      </c>
      <c r="M2012" s="435"/>
      <c r="N2012" s="435"/>
      <c r="O2012" s="435"/>
      <c r="P2012" s="435">
        <f t="shared" si="325"/>
        <v>0</v>
      </c>
      <c r="Q2012" s="442"/>
      <c r="R2012" s="442"/>
      <c r="S2012" s="442"/>
      <c r="T2012" s="432">
        <f>IFERROR(HLOOKUP(B2012,[1]pp1p!$1:$3,3,0),0)</f>
        <v>0</v>
      </c>
    </row>
    <row r="2013" spans="1:20" ht="22.2" hidden="1" customHeight="1">
      <c r="A2013" s="379"/>
      <c r="B2013" s="491" t="s">
        <v>1163</v>
      </c>
      <c r="C2013" s="469" t="str">
        <f t="shared" si="329"/>
        <v xml:space="preserve"> </v>
      </c>
      <c r="D2013" s="494">
        <f>[1]pp1p!CJ94</f>
        <v>0</v>
      </c>
      <c r="E2013" s="422" t="str">
        <f>VLOOKUP($B2013,[1]DG!A:D,[1]DG!$B$2,)</f>
        <v>03.4003</v>
      </c>
      <c r="F2013" s="441" t="str">
        <f>VLOOKUP($B2013,[1]DG!A:D,[1]DG!$C$2,)</f>
        <v>Đầu cosse ép Cu-Al 70mm2</v>
      </c>
      <c r="G2013" s="422" t="str">
        <f>VLOOKUP($B2013,[1]DG!A:D,[1]DG!$D$2,)</f>
        <v>cái</v>
      </c>
      <c r="H2013" s="435">
        <f t="shared" si="331"/>
        <v>0</v>
      </c>
      <c r="I2013" s="435"/>
      <c r="J2013" s="435"/>
      <c r="K2013" s="435"/>
      <c r="L2013" s="430">
        <f>IFERROR(HLOOKUP(chitiet!B2013,[1]pp1p!$1:$3,3,0),0)</f>
        <v>0</v>
      </c>
      <c r="M2013" s="435"/>
      <c r="N2013" s="435"/>
      <c r="O2013" s="435"/>
      <c r="P2013" s="435">
        <f t="shared" si="325"/>
        <v>0</v>
      </c>
      <c r="Q2013" s="442"/>
      <c r="R2013" s="442"/>
      <c r="S2013" s="442"/>
      <c r="T2013" s="432">
        <f>IFERROR(HLOOKUP(B2013,[1]pp1p!$1:$3,3,0),0)</f>
        <v>0</v>
      </c>
    </row>
    <row r="2014" spans="1:20" ht="22.2" hidden="1" customHeight="1">
      <c r="A2014" s="379"/>
      <c r="B2014" s="491" t="s">
        <v>1164</v>
      </c>
      <c r="C2014" s="469" t="str">
        <f t="shared" si="329"/>
        <v xml:space="preserve"> </v>
      </c>
      <c r="D2014" s="494">
        <f>[1]pp1p!CK94</f>
        <v>0</v>
      </c>
      <c r="E2014" s="422" t="str">
        <f>VLOOKUP($B2014,[1]DG!A:D,[1]DG!$B$2,)</f>
        <v>03.4004</v>
      </c>
      <c r="F2014" s="441" t="str">
        <f>VLOOKUP($B2014,[1]DG!A:D,[1]DG!$C$2,)</f>
        <v>Đầu cosse ép Cu-Al 95mm2</v>
      </c>
      <c r="G2014" s="422" t="str">
        <f>VLOOKUP($B2014,[1]DG!A:D,[1]DG!$D$2,)</f>
        <v>cái</v>
      </c>
      <c r="H2014" s="435">
        <f t="shared" si="331"/>
        <v>0</v>
      </c>
      <c r="I2014" s="435"/>
      <c r="J2014" s="435"/>
      <c r="K2014" s="435"/>
      <c r="L2014" s="430">
        <f>IFERROR(HLOOKUP(chitiet!B2014,[1]pp1p!$1:$3,3,0),0)</f>
        <v>0</v>
      </c>
      <c r="M2014" s="435"/>
      <c r="N2014" s="435"/>
      <c r="O2014" s="435"/>
      <c r="P2014" s="435">
        <f t="shared" si="325"/>
        <v>0</v>
      </c>
      <c r="Q2014" s="442"/>
      <c r="R2014" s="442"/>
      <c r="S2014" s="442"/>
      <c r="T2014" s="432">
        <f>IFERROR(HLOOKUP(B2014,[1]pp1p!$1:$3,3,0),0)</f>
        <v>0</v>
      </c>
    </row>
    <row r="2015" spans="1:20" ht="22.2" hidden="1" customHeight="1">
      <c r="A2015" s="379"/>
      <c r="B2015" s="491" t="s">
        <v>1165</v>
      </c>
      <c r="C2015" s="469" t="str">
        <f t="shared" si="329"/>
        <v xml:space="preserve"> </v>
      </c>
      <c r="D2015" s="494">
        <f>[1]pp1p!CL94</f>
        <v>0</v>
      </c>
      <c r="E2015" s="422" t="str">
        <f>VLOOKUP($B2015,[1]DG!A:D,[1]DG!$B$2,)</f>
        <v>03.4005</v>
      </c>
      <c r="F2015" s="441" t="str">
        <f>VLOOKUP($B2015,[1]DG!A:D,[1]DG!$C$2,)</f>
        <v>Đầu cosse ép Cu-Al 120mm2</v>
      </c>
      <c r="G2015" s="422" t="str">
        <f>VLOOKUP($B2015,[1]DG!A:D,[1]DG!$D$2,)</f>
        <v>cái</v>
      </c>
      <c r="H2015" s="435">
        <f t="shared" si="331"/>
        <v>0</v>
      </c>
      <c r="I2015" s="435"/>
      <c r="J2015" s="435"/>
      <c r="K2015" s="435"/>
      <c r="L2015" s="430">
        <f>IFERROR(HLOOKUP(chitiet!B2015,[1]pp1p!$1:$3,3,0),0)</f>
        <v>0</v>
      </c>
      <c r="M2015" s="435"/>
      <c r="N2015" s="435"/>
      <c r="O2015" s="435"/>
      <c r="P2015" s="435">
        <f t="shared" si="325"/>
        <v>0</v>
      </c>
      <c r="Q2015" s="442"/>
      <c r="R2015" s="442"/>
      <c r="S2015" s="442"/>
      <c r="T2015" s="432">
        <f>IFERROR(HLOOKUP(B2015,[1]pp1p!$1:$3,3,0),0)</f>
        <v>0</v>
      </c>
    </row>
    <row r="2016" spans="1:20" ht="22.2" hidden="1" customHeight="1">
      <c r="A2016" s="379"/>
      <c r="B2016" s="491" t="s">
        <v>1166</v>
      </c>
      <c r="C2016" s="469" t="str">
        <f t="shared" si="329"/>
        <v xml:space="preserve"> </v>
      </c>
      <c r="D2016" s="494">
        <f>[1]pp1p!CM94</f>
        <v>0</v>
      </c>
      <c r="E2016" s="422" t="str">
        <f>VLOOKUP($B2016,[1]DG!A:D,[1]DG!$B$2,)</f>
        <v>03.4006</v>
      </c>
      <c r="F2016" s="441" t="str">
        <f>VLOOKUP($B2016,[1]DG!A:D,[1]DG!$C$2,)</f>
        <v>Đầu cosse ép Cu-Al 150mm2</v>
      </c>
      <c r="G2016" s="422" t="str">
        <f>VLOOKUP($B2016,[1]DG!A:D,[1]DG!$D$2,)</f>
        <v>cái</v>
      </c>
      <c r="H2016" s="435">
        <f t="shared" si="331"/>
        <v>0</v>
      </c>
      <c r="I2016" s="435"/>
      <c r="J2016" s="435"/>
      <c r="K2016" s="435"/>
      <c r="L2016" s="430">
        <f>IFERROR(HLOOKUP(chitiet!B2016,[1]pp1p!$1:$3,3,0),0)</f>
        <v>0</v>
      </c>
      <c r="M2016" s="435"/>
      <c r="N2016" s="435"/>
      <c r="O2016" s="435"/>
      <c r="P2016" s="435">
        <f t="shared" si="325"/>
        <v>0</v>
      </c>
      <c r="Q2016" s="442"/>
      <c r="R2016" s="442"/>
      <c r="S2016" s="442"/>
      <c r="T2016" s="432">
        <f>IFERROR(HLOOKUP(B2016,[1]pp1p!$1:$3,3,0),0)</f>
        <v>0</v>
      </c>
    </row>
    <row r="2017" spans="1:20" ht="22.2" hidden="1" customHeight="1">
      <c r="A2017" s="379"/>
      <c r="B2017" s="491" t="s">
        <v>1167</v>
      </c>
      <c r="C2017" s="469" t="str">
        <f t="shared" si="329"/>
        <v xml:space="preserve"> </v>
      </c>
      <c r="D2017" s="494">
        <f>[1]pp1p!CN94</f>
        <v>0</v>
      </c>
      <c r="E2017" s="422" t="str">
        <f>VLOOKUP($B2017,[1]DG!A:D,[1]DG!$B$2,)</f>
        <v>03.4007</v>
      </c>
      <c r="F2017" s="441" t="str">
        <f>VLOOKUP($B2017,[1]DG!A:D,[1]DG!$C$2,)</f>
        <v>Đầu cosse ép Cu-Al 185mm2</v>
      </c>
      <c r="G2017" s="422" t="str">
        <f>VLOOKUP($B2017,[1]DG!A:D,[1]DG!$D$2,)</f>
        <v>cái</v>
      </c>
      <c r="H2017" s="435">
        <f t="shared" si="331"/>
        <v>0</v>
      </c>
      <c r="I2017" s="435"/>
      <c r="J2017" s="435"/>
      <c r="K2017" s="435"/>
      <c r="L2017" s="430">
        <f>IFERROR(HLOOKUP(chitiet!B2017,[1]pp1p!$1:$3,3,0),0)</f>
        <v>0</v>
      </c>
      <c r="M2017" s="435"/>
      <c r="N2017" s="435"/>
      <c r="O2017" s="435"/>
      <c r="P2017" s="435">
        <f t="shared" si="325"/>
        <v>0</v>
      </c>
      <c r="Q2017" s="442"/>
      <c r="R2017" s="442"/>
      <c r="S2017" s="442"/>
      <c r="T2017" s="432">
        <f>IFERROR(HLOOKUP(B2017,[1]pp1p!$1:$3,3,0),0)</f>
        <v>0</v>
      </c>
    </row>
    <row r="2018" spans="1:20" ht="22.2" hidden="1" customHeight="1">
      <c r="A2018" s="379"/>
      <c r="B2018" s="491" t="s">
        <v>1168</v>
      </c>
      <c r="C2018" s="469" t="str">
        <f t="shared" si="329"/>
        <v xml:space="preserve"> </v>
      </c>
      <c r="D2018" s="494">
        <f>[1]pp1p!CO94</f>
        <v>0</v>
      </c>
      <c r="E2018" s="422" t="str">
        <f>VLOOKUP($B2018,[1]DG!A:D,[1]DG!$B$2,)</f>
        <v>03.4008</v>
      </c>
      <c r="F2018" s="441" t="str">
        <f>VLOOKUP($B2018,[1]DG!A:D,[1]DG!$C$2,)</f>
        <v>Đầu cosse ép Cu-Al 240mm2</v>
      </c>
      <c r="G2018" s="422" t="str">
        <f>VLOOKUP($B2018,[1]DG!A:D,[1]DG!$D$2,)</f>
        <v>cái</v>
      </c>
      <c r="H2018" s="435">
        <f t="shared" si="331"/>
        <v>0</v>
      </c>
      <c r="I2018" s="435"/>
      <c r="J2018" s="435"/>
      <c r="K2018" s="435"/>
      <c r="L2018" s="430">
        <f>IFERROR(HLOOKUP(chitiet!B2018,[1]pp1p!$1:$3,3,0),0)</f>
        <v>0</v>
      </c>
      <c r="M2018" s="435"/>
      <c r="N2018" s="435"/>
      <c r="O2018" s="435"/>
      <c r="P2018" s="435">
        <f t="shared" si="325"/>
        <v>0</v>
      </c>
      <c r="Q2018" s="442"/>
      <c r="R2018" s="442"/>
      <c r="S2018" s="442"/>
      <c r="T2018" s="432">
        <f>IFERROR(HLOOKUP(B2018,[1]pp1p!$1:$3,3,0),0)</f>
        <v>0</v>
      </c>
    </row>
    <row r="2019" spans="1:20" ht="22.2" hidden="1" customHeight="1">
      <c r="A2019" s="379"/>
      <c r="B2019" s="491" t="s">
        <v>535</v>
      </c>
      <c r="C2019" s="469" t="str">
        <f t="shared" si="329"/>
        <v xml:space="preserve"> </v>
      </c>
      <c r="D2019" s="494">
        <f>SUM(D2013:D2018)/2</f>
        <v>0</v>
      </c>
      <c r="E2019" s="422">
        <f>VLOOKUP($B2019,[1]DG!A:D,[1]DG!$B$2,)</f>
        <v>0</v>
      </c>
      <c r="F2019" s="441" t="str">
        <f>VLOOKUP($B2019,[1]DG!A:D,[1]DG!$C$2,)</f>
        <v>Boulon 12x30+ 2 long đền vuông D14-50x50x3/Zn</v>
      </c>
      <c r="G2019" s="422" t="str">
        <f>VLOOKUP($B2019,[1]DG!A:D,[1]DG!$D$2,)</f>
        <v>bộ</v>
      </c>
      <c r="H2019" s="435">
        <f t="shared" si="331"/>
        <v>0</v>
      </c>
      <c r="I2019" s="435"/>
      <c r="J2019" s="435"/>
      <c r="K2019" s="435"/>
      <c r="L2019" s="430">
        <f>IFERROR(HLOOKUP(chitiet!B2019,[1]pp1p!$1:$3,3,0),0)</f>
        <v>0</v>
      </c>
      <c r="M2019" s="435"/>
      <c r="N2019" s="435"/>
      <c r="O2019" s="435"/>
      <c r="P2019" s="435">
        <f t="shared" ref="P2019:P2082" si="332">H2019+Q2019-R2019</f>
        <v>0</v>
      </c>
      <c r="Q2019" s="442"/>
      <c r="R2019" s="442"/>
      <c r="S2019" s="442"/>
      <c r="T2019" s="432">
        <f>IFERROR(HLOOKUP(B2019,[1]pp1p!$1:$3,3,0),0)</f>
        <v>0</v>
      </c>
    </row>
    <row r="2020" spans="1:20" ht="22.2" hidden="1" customHeight="1">
      <c r="A2020" s="379"/>
      <c r="B2020" s="491" t="s">
        <v>99</v>
      </c>
      <c r="C2020" s="469" t="str">
        <f t="shared" si="329"/>
        <v xml:space="preserve"> </v>
      </c>
      <c r="D2020" s="494">
        <f>T2020</f>
        <v>0</v>
      </c>
      <c r="E2020" s="422" t="str">
        <f>VLOOKUP($B2020,[1]DG!A:D,[1]DG!$B$2,)</f>
        <v>04.3007</v>
      </c>
      <c r="F2020" s="441" t="str">
        <f>VLOOKUP($B2020,[1]DG!A:D,[1]DG!$C$2,)</f>
        <v>Kẹp quai 2/0</v>
      </c>
      <c r="G2020" s="422" t="str">
        <f>VLOOKUP($B2020,[1]DG!A:D,[1]DG!$D$2,)</f>
        <v>cái</v>
      </c>
      <c r="H2020" s="435">
        <f t="shared" si="331"/>
        <v>0</v>
      </c>
      <c r="I2020" s="435"/>
      <c r="J2020" s="435"/>
      <c r="K2020" s="435"/>
      <c r="L2020" s="430">
        <f>IFERROR(HLOOKUP(chitiet!B2020,[1]pp1p!$1:$3,3,0),0)</f>
        <v>0</v>
      </c>
      <c r="M2020" s="435"/>
      <c r="N2020" s="435"/>
      <c r="O2020" s="435"/>
      <c r="P2020" s="435">
        <f t="shared" si="332"/>
        <v>0</v>
      </c>
      <c r="Q2020" s="442"/>
      <c r="R2020" s="442"/>
      <c r="S2020" s="442"/>
      <c r="T2020" s="432">
        <f>IFERROR(HLOOKUP(B2020,[1]pp1p!$1:$3,3,0),0)</f>
        <v>0</v>
      </c>
    </row>
    <row r="2021" spans="1:20" ht="22.2" hidden="1" customHeight="1">
      <c r="A2021" s="379"/>
      <c r="B2021" s="491" t="s">
        <v>100</v>
      </c>
      <c r="C2021" s="469" t="str">
        <f t="shared" si="329"/>
        <v xml:space="preserve"> </v>
      </c>
      <c r="D2021" s="494">
        <f>T2021</f>
        <v>0</v>
      </c>
      <c r="E2021" s="422" t="str">
        <f>VLOOKUP($B2021,[1]DG!A:D,[1]DG!$B$2,)</f>
        <v>04.3007</v>
      </c>
      <c r="F2021" s="441" t="str">
        <f>VLOOKUP($B2021,[1]DG!A:D,[1]DG!$C$2,)</f>
        <v>Kẹp hotline 2/0</v>
      </c>
      <c r="G2021" s="422" t="str">
        <f>VLOOKUP($B2021,[1]DG!A:D,[1]DG!$D$2,)</f>
        <v>cái</v>
      </c>
      <c r="H2021" s="435">
        <f t="shared" si="331"/>
        <v>0</v>
      </c>
      <c r="I2021" s="435"/>
      <c r="J2021" s="435"/>
      <c r="K2021" s="435"/>
      <c r="L2021" s="430">
        <f>IFERROR(HLOOKUP(chitiet!B2021,[1]pp1p!$1:$3,3,0),0)</f>
        <v>0</v>
      </c>
      <c r="M2021" s="435"/>
      <c r="N2021" s="435"/>
      <c r="O2021" s="435"/>
      <c r="P2021" s="435">
        <f t="shared" si="332"/>
        <v>0</v>
      </c>
      <c r="Q2021" s="442"/>
      <c r="R2021" s="442"/>
      <c r="S2021" s="442"/>
      <c r="T2021" s="432">
        <f>IFERROR(HLOOKUP(B2021,[1]pp1p!$1:$3,3,0),0)</f>
        <v>0</v>
      </c>
    </row>
    <row r="2022" spans="1:20" ht="22.2" hidden="1" customHeight="1">
      <c r="A2022" s="379"/>
      <c r="B2022" s="491" t="s">
        <v>1298</v>
      </c>
      <c r="C2022" s="469" t="str">
        <f t="shared" si="329"/>
        <v xml:space="preserve"> </v>
      </c>
      <c r="D2022" s="440">
        <f>D2020</f>
        <v>0</v>
      </c>
      <c r="E2022" s="422">
        <f>VLOOKUP($B2022,[1]DG!A:D,[1]DG!$B$2,)</f>
        <v>0</v>
      </c>
      <c r="F2022" s="441" t="str">
        <f>VLOOKUP($B2022,[1]DG!A:D,[1]DG!$C$2,)</f>
        <v>Chụp cách điện kẹp quai</v>
      </c>
      <c r="G2022" s="422" t="str">
        <f>VLOOKUP($B2022,[1]DG!A:D,[1]DG!$D$2,)</f>
        <v>cái</v>
      </c>
      <c r="H2022" s="435">
        <f t="shared" si="331"/>
        <v>0</v>
      </c>
      <c r="I2022" s="435"/>
      <c r="J2022" s="435"/>
      <c r="K2022" s="435"/>
      <c r="L2022" s="430">
        <f>IFERROR(HLOOKUP(chitiet!B2022,[1]pp1p!$1:$3,3,0),0)</f>
        <v>0</v>
      </c>
      <c r="M2022" s="435"/>
      <c r="N2022" s="435"/>
      <c r="O2022" s="435"/>
      <c r="P2022" s="435">
        <f t="shared" si="332"/>
        <v>0</v>
      </c>
      <c r="Q2022" s="442"/>
      <c r="R2022" s="442"/>
      <c r="S2022" s="442"/>
      <c r="T2022" s="432">
        <f>IFERROR(HLOOKUP(B2022,[1]pp1p!$1:$3,3,0),0)</f>
        <v>0</v>
      </c>
    </row>
    <row r="2023" spans="1:20" ht="22.2" hidden="1" customHeight="1">
      <c r="B2023" s="495" t="s">
        <v>98</v>
      </c>
      <c r="C2023" s="469" t="str">
        <f t="shared" si="329"/>
        <v xml:space="preserve"> </v>
      </c>
      <c r="D2023" s="440">
        <f>[1]pp1p!CR94*3</f>
        <v>0</v>
      </c>
      <c r="E2023" s="422"/>
      <c r="F2023" s="441" t="str">
        <f>VLOOKUP($B2023,[1]DG!A:D,[1]DG!$C$2,)</f>
        <v>Cáp 24KV CX-25mm2</v>
      </c>
      <c r="G2023" s="422" t="str">
        <f>VLOOKUP($B2023,[1]DG!A:D,[1]DG!$D$2,)</f>
        <v>mét</v>
      </c>
      <c r="H2023" s="435">
        <f t="shared" si="331"/>
        <v>0</v>
      </c>
      <c r="I2023" s="435"/>
      <c r="J2023" s="435"/>
      <c r="K2023" s="435"/>
      <c r="L2023" s="430">
        <f>IFERROR(HLOOKUP(chitiet!B2023,[1]pp1p!$1:$3,3,0),0)</f>
        <v>0</v>
      </c>
      <c r="M2023" s="435"/>
      <c r="N2023" s="435"/>
      <c r="O2023" s="435"/>
      <c r="P2023" s="435">
        <f t="shared" si="332"/>
        <v>0</v>
      </c>
      <c r="Q2023" s="457"/>
      <c r="R2023" s="457"/>
      <c r="S2023" s="457"/>
      <c r="T2023" s="432">
        <f>IFERROR(HLOOKUP(B2023,[1]pp1p!$1:$3,3,0),0)</f>
        <v>0</v>
      </c>
    </row>
    <row r="2024" spans="1:20" ht="22.2" hidden="1" customHeight="1">
      <c r="A2024" s="379"/>
      <c r="B2024" s="491" t="s">
        <v>1299</v>
      </c>
      <c r="C2024" s="469" t="str">
        <f t="shared" si="329"/>
        <v xml:space="preserve"> </v>
      </c>
      <c r="D2024" s="494">
        <f>[1]pp1p!AV94</f>
        <v>0</v>
      </c>
      <c r="E2024" s="422"/>
      <c r="F2024" s="441" t="str">
        <f>VLOOKUP($B2024,[1]DG!A:D,[1]DG!$C$2,)</f>
        <v>Cáp thép 3/8"</v>
      </c>
      <c r="G2024" s="422" t="str">
        <f>VLOOKUP($B2024,[1]DG!A:D,[1]DG!$D$2,)</f>
        <v>kg</v>
      </c>
      <c r="H2024" s="435">
        <f t="shared" si="331"/>
        <v>0</v>
      </c>
      <c r="I2024" s="435"/>
      <c r="J2024" s="435"/>
      <c r="K2024" s="435"/>
      <c r="L2024" s="430">
        <f>IFERROR(HLOOKUP(chitiet!B2024,[1]pp1p!$1:$3,3,0),0)</f>
        <v>0</v>
      </c>
      <c r="M2024" s="435"/>
      <c r="N2024" s="435"/>
      <c r="O2024" s="435"/>
      <c r="P2024" s="435">
        <f t="shared" si="332"/>
        <v>0</v>
      </c>
      <c r="Q2024" s="442"/>
      <c r="R2024" s="442"/>
      <c r="S2024" s="442"/>
      <c r="T2024" s="432">
        <f>IFERROR(HLOOKUP(B2024,[1]pp1p!$1:$3,3,0),0)</f>
        <v>0</v>
      </c>
    </row>
    <row r="2025" spans="1:20" ht="22.2" hidden="1" customHeight="1">
      <c r="A2025" s="379"/>
      <c r="B2025" s="491" t="s">
        <v>1300</v>
      </c>
      <c r="C2025" s="469" t="str">
        <f t="shared" si="329"/>
        <v xml:space="preserve"> </v>
      </c>
      <c r="D2025" s="494">
        <f>[1]pp1p!CW94</f>
        <v>0</v>
      </c>
      <c r="E2025" s="422"/>
      <c r="F2025" s="441" t="str">
        <f>VLOOKUP($B2025,[1]DG!A:D,[1]DG!$C$2,)</f>
        <v>Biển báo độ cao</v>
      </c>
      <c r="G2025" s="422" t="str">
        <f>VLOOKUP($B2025,[1]DG!A:D,[1]DG!$D$2,)</f>
        <v>cái</v>
      </c>
      <c r="H2025" s="435">
        <f t="shared" si="331"/>
        <v>0</v>
      </c>
      <c r="I2025" s="435"/>
      <c r="J2025" s="435"/>
      <c r="K2025" s="435"/>
      <c r="L2025" s="430">
        <f>IFERROR(HLOOKUP(chitiet!B2025,[1]pp1p!$1:$3,3,0),0)</f>
        <v>0</v>
      </c>
      <c r="M2025" s="435"/>
      <c r="N2025" s="435"/>
      <c r="O2025" s="435"/>
      <c r="P2025" s="435">
        <f t="shared" si="332"/>
        <v>0</v>
      </c>
      <c r="Q2025" s="442"/>
      <c r="R2025" s="442"/>
      <c r="S2025" s="442"/>
      <c r="T2025" s="432">
        <f>IFERROR(HLOOKUP(B2025,[1]pp1p!$1:$3,3,0),0)</f>
        <v>0</v>
      </c>
    </row>
    <row r="2026" spans="1:20" ht="22.2" hidden="1" customHeight="1">
      <c r="A2026" s="379"/>
      <c r="B2026" s="491" t="s">
        <v>1170</v>
      </c>
      <c r="C2026" s="469" t="str">
        <f t="shared" si="329"/>
        <v xml:space="preserve"> </v>
      </c>
      <c r="D2026" s="440">
        <f>ROUND((D1956/0.195/0.198)/1500,0)</f>
        <v>0</v>
      </c>
      <c r="E2026" s="422"/>
      <c r="F2026" s="441" t="str">
        <f>VLOOKUP($B2026,[1]DG!A:D,[1]DG!$C$2,)</f>
        <v>Ống nối dây cỡ 50mm2</v>
      </c>
      <c r="G2026" s="422" t="str">
        <f>VLOOKUP($B2026,[1]DG!A:D,[1]DG!$D$2,)</f>
        <v>cái</v>
      </c>
      <c r="H2026" s="435">
        <f t="shared" si="331"/>
        <v>0</v>
      </c>
      <c r="I2026" s="435"/>
      <c r="J2026" s="435"/>
      <c r="K2026" s="435"/>
      <c r="L2026" s="430">
        <f>IFERROR(HLOOKUP(chitiet!B2026,[1]pp1p!$1:$3,3,0),0)</f>
        <v>0</v>
      </c>
      <c r="M2026" s="435"/>
      <c r="N2026" s="435"/>
      <c r="O2026" s="435"/>
      <c r="P2026" s="435">
        <f t="shared" si="332"/>
        <v>0</v>
      </c>
      <c r="Q2026" s="442"/>
      <c r="R2026" s="442"/>
      <c r="S2026" s="442"/>
      <c r="T2026" s="432">
        <f>IFERROR(HLOOKUP(B2026,[1]pp1p!$1:$3,3,0),0)</f>
        <v>0</v>
      </c>
    </row>
    <row r="2027" spans="1:20" ht="22.2" hidden="1" customHeight="1">
      <c r="A2027" s="379"/>
      <c r="B2027" s="491" t="s">
        <v>1171</v>
      </c>
      <c r="C2027" s="469" t="str">
        <f t="shared" si="329"/>
        <v xml:space="preserve"> </v>
      </c>
      <c r="D2027" s="440">
        <f>ROUND((D1955/0.276/(0.276+0.0045)+D1957)/1400,0)</f>
        <v>0</v>
      </c>
      <c r="E2027" s="422"/>
      <c r="F2027" s="441" t="str">
        <f>VLOOKUP($B2027,[1]DG!A:D,[1]DG!$C$2,)</f>
        <v>Ống nối dây cỡ 70mm2</v>
      </c>
      <c r="G2027" s="422" t="str">
        <f>VLOOKUP($B2027,[1]DG!A:D,[1]DG!$D$2,)</f>
        <v>cái</v>
      </c>
      <c r="H2027" s="435">
        <f t="shared" si="331"/>
        <v>0</v>
      </c>
      <c r="I2027" s="435"/>
      <c r="J2027" s="435"/>
      <c r="K2027" s="435"/>
      <c r="L2027" s="430">
        <f>IFERROR(HLOOKUP(chitiet!B2027,[1]pp1p!$1:$3,3,0),0)</f>
        <v>0</v>
      </c>
      <c r="M2027" s="435"/>
      <c r="N2027" s="435"/>
      <c r="O2027" s="435"/>
      <c r="P2027" s="435">
        <f t="shared" si="332"/>
        <v>0</v>
      </c>
      <c r="Q2027" s="442"/>
      <c r="R2027" s="442"/>
      <c r="S2027" s="442"/>
      <c r="T2027" s="432">
        <f>IFERROR(HLOOKUP(B2027,[1]pp1p!$1:$3,3,0),0)</f>
        <v>0</v>
      </c>
    </row>
    <row r="2028" spans="1:20" ht="22.2" hidden="1" customHeight="1">
      <c r="A2028" s="379"/>
      <c r="B2028" s="491" t="s">
        <v>1177</v>
      </c>
      <c r="C2028" s="469" t="str">
        <f t="shared" si="329"/>
        <v xml:space="preserve"> </v>
      </c>
      <c r="D2028" s="439">
        <f>SUM(D2033:D2034)*5/1.4</f>
        <v>0</v>
      </c>
      <c r="E2028" s="422"/>
      <c r="F2028" s="441" t="str">
        <f>VLOOKUP($B2028,[1]DG!A:D,[1]DG!$C$2,)</f>
        <v xml:space="preserve">Dây nhôm buộc </v>
      </c>
      <c r="G2028" s="422" t="str">
        <f>VLOOKUP($B2028,[1]DG!A:D,[1]DG!$D$2,)</f>
        <v>kg</v>
      </c>
      <c r="H2028" s="461">
        <f t="shared" si="331"/>
        <v>0</v>
      </c>
      <c r="I2028" s="435"/>
      <c r="J2028" s="435"/>
      <c r="K2028" s="435"/>
      <c r="L2028" s="430">
        <f>IFERROR(HLOOKUP(chitiet!B2028,[1]pp1p!$1:$3,3,0),0)</f>
        <v>0</v>
      </c>
      <c r="M2028" s="435"/>
      <c r="N2028" s="435"/>
      <c r="O2028" s="435"/>
      <c r="P2028" s="461">
        <f t="shared" si="332"/>
        <v>0</v>
      </c>
      <c r="Q2028" s="442"/>
      <c r="R2028" s="442"/>
      <c r="S2028" s="442"/>
      <c r="T2028" s="432">
        <f>IFERROR(HLOOKUP(B2028,[1]pp1p!$1:$3,3,0),0)</f>
        <v>0</v>
      </c>
    </row>
    <row r="2029" spans="1:20" ht="22.2" hidden="1" customHeight="1">
      <c r="A2029" s="379"/>
      <c r="B2029" s="491" t="s">
        <v>221</v>
      </c>
      <c r="C2029" s="469" t="str">
        <f t="shared" si="329"/>
        <v xml:space="preserve"> </v>
      </c>
      <c r="D2029" s="440">
        <v>1</v>
      </c>
      <c r="E2029" s="422"/>
      <c r="F2029" s="441" t="str">
        <f>VLOOKUP($B2029,[1]DG!A:D,[1]DG!$C$2,)</f>
        <v>Xà composite 110x800x5</v>
      </c>
      <c r="G2029" s="422" t="str">
        <f>VLOOKUP($B2029,[1]DG!A:D,[1]DG!$D$2,)</f>
        <v>cái</v>
      </c>
      <c r="H2029" s="507"/>
      <c r="I2029" s="435"/>
      <c r="J2029" s="435"/>
      <c r="K2029" s="435"/>
      <c r="L2029" s="430">
        <f>IFERROR(HLOOKUP(chitiet!B2029,[1]pp1p!$1:$3,3,0),0)</f>
        <v>0</v>
      </c>
      <c r="M2029" s="435"/>
      <c r="N2029" s="435"/>
      <c r="O2029" s="435"/>
      <c r="P2029" s="435">
        <f t="shared" si="332"/>
        <v>0</v>
      </c>
      <c r="Q2029" s="442"/>
      <c r="R2029" s="442"/>
      <c r="S2029" s="442"/>
      <c r="T2029" s="432">
        <f>IFERROR(HLOOKUP(B2029,[1]pp1p!$1:$3,3,0),0)</f>
        <v>0</v>
      </c>
    </row>
    <row r="2030" spans="1:20" ht="22.2" hidden="1" customHeight="1">
      <c r="A2030" s="379"/>
      <c r="B2030" s="491" t="s">
        <v>122</v>
      </c>
      <c r="C2030" s="469" t="str">
        <f t="shared" si="329"/>
        <v xml:space="preserve"> </v>
      </c>
      <c r="D2030" s="440">
        <v>1</v>
      </c>
      <c r="E2030" s="422"/>
      <c r="F2030" s="441" t="str">
        <f>VLOOKUP($B2030,[1]DG!A:D,[1]DG!$C$2,)</f>
        <v>Thanh chống Composite 10x40x720</v>
      </c>
      <c r="G2030" s="422" t="str">
        <f>VLOOKUP($B2030,[1]DG!A:D,[1]DG!$D$2,)</f>
        <v>cái</v>
      </c>
      <c r="H2030" s="435"/>
      <c r="I2030" s="435"/>
      <c r="J2030" s="435"/>
      <c r="K2030" s="435"/>
      <c r="L2030" s="430">
        <f>IFERROR(HLOOKUP(chitiet!B2030,[1]pp1p!$1:$3,3,0),0)</f>
        <v>0</v>
      </c>
      <c r="M2030" s="435"/>
      <c r="N2030" s="435"/>
      <c r="O2030" s="435"/>
      <c r="P2030" s="435">
        <f t="shared" si="332"/>
        <v>0</v>
      </c>
      <c r="Q2030" s="442"/>
      <c r="R2030" s="442"/>
      <c r="S2030" s="442"/>
      <c r="T2030" s="432">
        <f>IFERROR(HLOOKUP(B2030,[1]pp1p!$1:$3,3,0),0)</f>
        <v>0</v>
      </c>
    </row>
    <row r="2031" spans="1:20" ht="22.2" hidden="1" customHeight="1">
      <c r="A2031" s="379"/>
      <c r="B2031" s="491" t="s">
        <v>1178</v>
      </c>
      <c r="C2031" s="469" t="str">
        <f t="shared" si="329"/>
        <v xml:space="preserve"> </v>
      </c>
      <c r="D2031" s="440"/>
      <c r="E2031" s="422"/>
      <c r="F2031" s="441" t="str">
        <f>VLOOKUP($B2031,[1]DG!A:D,[1]DG!$C$2,)</f>
        <v>Biển số - Bảng nguy hiểm</v>
      </c>
      <c r="G2031" s="422" t="str">
        <f>VLOOKUP($B2031,[1]DG!A:D,[1]DG!$D$2,)</f>
        <v>cái</v>
      </c>
      <c r="H2031" s="435">
        <f t="shared" si="331"/>
        <v>0</v>
      </c>
      <c r="I2031" s="435"/>
      <c r="J2031" s="435"/>
      <c r="K2031" s="435"/>
      <c r="L2031" s="430">
        <f>IFERROR(HLOOKUP(chitiet!B2031,[1]pp1p!$1:$3,3,0),0)</f>
        <v>0</v>
      </c>
      <c r="M2031" s="435"/>
      <c r="N2031" s="435"/>
      <c r="O2031" s="435"/>
      <c r="P2031" s="435">
        <f t="shared" si="332"/>
        <v>0</v>
      </c>
      <c r="Q2031" s="442"/>
      <c r="R2031" s="442"/>
      <c r="S2031" s="442"/>
      <c r="T2031" s="432">
        <f>IFERROR(HLOOKUP(B2031,[1]pp1p!$1:$3,3,0),0)</f>
        <v>0</v>
      </c>
    </row>
    <row r="2032" spans="1:20" ht="22.2" hidden="1" customHeight="1">
      <c r="A2032" s="379"/>
      <c r="B2032" s="491" t="s">
        <v>191</v>
      </c>
      <c r="C2032" s="469" t="str">
        <f t="shared" si="329"/>
        <v xml:space="preserve"> </v>
      </c>
      <c r="D2032" s="440">
        <f>D2310</f>
        <v>0</v>
      </c>
      <c r="E2032" s="422"/>
      <c r="F2032" s="441" t="str">
        <f>VLOOKUP($B2032,[1]DG!A:D,[1]DG!$C$2,)</f>
        <v>Chụp đầu cực FCO (bộ 2 cái)</v>
      </c>
      <c r="G2032" s="422" t="str">
        <f>VLOOKUP($B2032,[1]DG!A:D,[1]DG!$D$2,)</f>
        <v>bộ</v>
      </c>
      <c r="H2032" s="435">
        <f t="shared" si="331"/>
        <v>0</v>
      </c>
      <c r="I2032" s="435"/>
      <c r="J2032" s="435"/>
      <c r="K2032" s="435"/>
      <c r="L2032" s="430">
        <f>IFERROR(HLOOKUP(chitiet!B2032,[1]pp1p!$1:$3,3,0),0)</f>
        <v>0</v>
      </c>
      <c r="M2032" s="435"/>
      <c r="N2032" s="435"/>
      <c r="O2032" s="435"/>
      <c r="P2032" s="435">
        <f t="shared" si="332"/>
        <v>0</v>
      </c>
      <c r="Q2032" s="442"/>
      <c r="R2032" s="442"/>
      <c r="S2032" s="442"/>
      <c r="T2032" s="432">
        <f>IFERROR(HLOOKUP(B2032,[1]pp1p!$1:$3,3,0),0)</f>
        <v>0</v>
      </c>
    </row>
    <row r="2033" spans="1:20" ht="22.2" hidden="1" customHeight="1">
      <c r="A2033" s="379"/>
      <c r="B2033" s="491" t="s">
        <v>1179</v>
      </c>
      <c r="C2033" s="469" t="str">
        <f t="shared" si="329"/>
        <v xml:space="preserve"> </v>
      </c>
      <c r="D2033" s="439">
        <f>(E1956)/1000</f>
        <v>0</v>
      </c>
      <c r="E2033" s="422" t="str">
        <f>VLOOKUP($B2033,[1]DG!A:D,[1]DG!$B$2,)</f>
        <v>06.6114</v>
      </c>
      <c r="F2033" s="434" t="str">
        <f>VLOOKUP($B2033,[1]DG!A:D,[1]DG!$C$2,)</f>
        <v>Kéo dây nhôm lõi thép cỡ dây 50mm2</v>
      </c>
      <c r="G2033" s="422" t="str">
        <f>VLOOKUP($B2033,[1]DG!A:D,[1]DG!$D$2,)</f>
        <v>km</v>
      </c>
      <c r="H2033" s="461">
        <f t="shared" si="331"/>
        <v>0</v>
      </c>
      <c r="I2033" s="435"/>
      <c r="J2033" s="435"/>
      <c r="K2033" s="435"/>
      <c r="L2033" s="430">
        <f>IFERROR(HLOOKUP(chitiet!B2033,[1]pp1p!$1:$3,3,0),0)</f>
        <v>0</v>
      </c>
      <c r="M2033" s="435"/>
      <c r="N2033" s="435"/>
      <c r="O2033" s="435"/>
      <c r="P2033" s="461">
        <f t="shared" si="332"/>
        <v>0</v>
      </c>
      <c r="Q2033" s="442"/>
      <c r="R2033" s="442"/>
      <c r="S2033" s="442"/>
      <c r="T2033" s="432">
        <f>IFERROR(HLOOKUP(B2033,[1]pp1p!$1:$3,3,0),0)</f>
        <v>0</v>
      </c>
    </row>
    <row r="2034" spans="1:20" ht="22.2" hidden="1" customHeight="1">
      <c r="A2034" s="379"/>
      <c r="B2034" s="491" t="s">
        <v>1181</v>
      </c>
      <c r="C2034" s="469" t="str">
        <f t="shared" si="329"/>
        <v xml:space="preserve"> </v>
      </c>
      <c r="D2034" s="439">
        <f>(E1955)/1000</f>
        <v>0</v>
      </c>
      <c r="E2034" s="422" t="str">
        <f>VLOOKUP($B2034,[1]DG!A:D,[1]DG!$B$2,)</f>
        <v>06.6105</v>
      </c>
      <c r="F2034" s="434" t="str">
        <f>VLOOKUP($B2034,[1]DG!A:D,[1]DG!$C$2,)</f>
        <v>Kéo dây nhôm lõi thép cỡ dây 70mm2</v>
      </c>
      <c r="G2034" s="422" t="str">
        <f>VLOOKUP($B2034,[1]DG!A:D,[1]DG!$D$2,)</f>
        <v>km</v>
      </c>
      <c r="H2034" s="435">
        <f t="shared" si="331"/>
        <v>0</v>
      </c>
      <c r="I2034" s="435"/>
      <c r="J2034" s="435"/>
      <c r="K2034" s="435"/>
      <c r="L2034" s="430">
        <f>IFERROR(HLOOKUP(chitiet!B2034,[1]pp1p!$1:$3,3,0),0)</f>
        <v>0</v>
      </c>
      <c r="M2034" s="435"/>
      <c r="N2034" s="435"/>
      <c r="O2034" s="435"/>
      <c r="P2034" s="435">
        <f t="shared" si="332"/>
        <v>0</v>
      </c>
      <c r="Q2034" s="442"/>
      <c r="R2034" s="442"/>
      <c r="S2034" s="442"/>
      <c r="T2034" s="432">
        <f>IFERROR(HLOOKUP(B2034,[1]pp1p!$1:$3,3,0),0)</f>
        <v>0</v>
      </c>
    </row>
    <row r="2035" spans="1:20" ht="22.2" hidden="1" customHeight="1">
      <c r="A2035" s="379"/>
      <c r="B2035" s="491" t="s">
        <v>1185</v>
      </c>
      <c r="C2035" s="469" t="str">
        <f t="shared" si="329"/>
        <v xml:space="preserve"> </v>
      </c>
      <c r="D2035" s="439">
        <f>E1957/1000</f>
        <v>0</v>
      </c>
      <c r="E2035" s="422" t="str">
        <f>VLOOKUP($B2035,[1]DG!A:D,[1]DG!$B$2,)</f>
        <v>06.6114</v>
      </c>
      <c r="F2035" s="434" t="str">
        <f>VLOOKUP($B2035,[1]DG!A:D,[1]DG!$C$2,)</f>
        <v>Kéo dây nhôm bọc cỡ dây 50mm2</v>
      </c>
      <c r="G2035" s="422" t="str">
        <f>VLOOKUP($B2035,[1]DG!A:D,[1]DG!$D$2,)</f>
        <v>km</v>
      </c>
      <c r="H2035" s="461">
        <f t="shared" si="331"/>
        <v>0</v>
      </c>
      <c r="I2035" s="435"/>
      <c r="J2035" s="435"/>
      <c r="K2035" s="435"/>
      <c r="L2035" s="430">
        <f>IFERROR(HLOOKUP(chitiet!B2035,[1]pp1p!$1:$3,3,0),0)</f>
        <v>0</v>
      </c>
      <c r="M2035" s="435"/>
      <c r="N2035" s="435"/>
      <c r="O2035" s="435"/>
      <c r="P2035" s="461">
        <f t="shared" si="332"/>
        <v>0</v>
      </c>
      <c r="Q2035" s="442"/>
      <c r="R2035" s="442"/>
      <c r="S2035" s="442"/>
      <c r="T2035" s="432">
        <f>IFERROR(HLOOKUP(B2035,[1]pp1p!$1:$3,3,0),0)</f>
        <v>0</v>
      </c>
    </row>
    <row r="2036" spans="1:20" ht="22.2" hidden="1" customHeight="1">
      <c r="A2036" s="379"/>
      <c r="B2036" s="410" t="s">
        <v>140</v>
      </c>
      <c r="C2036" s="469" t="str">
        <f t="shared" si="329"/>
        <v xml:space="preserve"> </v>
      </c>
      <c r="D2036" s="440">
        <f>D1971+D1974+D1978</f>
        <v>0</v>
      </c>
      <c r="E2036" s="422" t="str">
        <f>VLOOKUP($B2036,[1]DG!A:D,[1]DG!$B$2,)</f>
        <v>06.1115</v>
      </c>
      <c r="F2036" s="434" t="str">
        <f>VLOOKUP($B2036,[1]DG!A:D,[1]DG!$C$2,)</f>
        <v>Lắp sứ đứng 24KV</v>
      </c>
      <c r="G2036" s="422" t="str">
        <f>VLOOKUP($B2036,[1]DG!A:D,[1]DG!$D$2,)</f>
        <v>bộ</v>
      </c>
      <c r="H2036" s="435">
        <f t="shared" si="331"/>
        <v>0</v>
      </c>
      <c r="I2036" s="435"/>
      <c r="J2036" s="435"/>
      <c r="K2036" s="435"/>
      <c r="L2036" s="430">
        <f>IFERROR(HLOOKUP(chitiet!B2036,[1]pp1p!$1:$3,3,0),0)</f>
        <v>0</v>
      </c>
      <c r="M2036" s="435"/>
      <c r="N2036" s="435"/>
      <c r="O2036" s="435"/>
      <c r="P2036" s="435">
        <f t="shared" si="332"/>
        <v>0</v>
      </c>
      <c r="Q2036" s="442"/>
      <c r="R2036" s="442"/>
      <c r="S2036" s="442"/>
      <c r="T2036" s="432">
        <f>IFERROR(HLOOKUP(B2036,[1]pp1p!$1:$3,3,0),0)</f>
        <v>0</v>
      </c>
    </row>
    <row r="2037" spans="1:20" ht="22.2" hidden="1" customHeight="1">
      <c r="A2037" s="379"/>
      <c r="B2037" s="410" t="s">
        <v>1225</v>
      </c>
      <c r="C2037" s="469" t="str">
        <f t="shared" si="329"/>
        <v xml:space="preserve"> </v>
      </c>
      <c r="D2037" s="440">
        <f>D1975+D1979</f>
        <v>0</v>
      </c>
      <c r="E2037" s="422" t="str">
        <f>VLOOKUP($B2037,[1]DG!A:D,[1]DG!$B$2,)</f>
        <v>06.3231</v>
      </c>
      <c r="F2037" s="434" t="str">
        <f>VLOOKUP($B2037,[1]DG!A:D,[1]DG!$C$2,)</f>
        <v>Lắp chân sứ đỉnh</v>
      </c>
      <c r="G2037" s="422" t="str">
        <f>VLOOKUP($B2037,[1]DG!A:D,[1]DG!$D$2,)</f>
        <v>cái</v>
      </c>
      <c r="H2037" s="435">
        <f t="shared" si="331"/>
        <v>0</v>
      </c>
      <c r="I2037" s="435"/>
      <c r="J2037" s="435"/>
      <c r="K2037" s="435"/>
      <c r="L2037" s="430">
        <f>IFERROR(HLOOKUP(chitiet!B2037,[1]pp1p!$1:$3,3,0),0)</f>
        <v>0</v>
      </c>
      <c r="M2037" s="435"/>
      <c r="N2037" s="435"/>
      <c r="O2037" s="435"/>
      <c r="P2037" s="435">
        <f t="shared" si="332"/>
        <v>0</v>
      </c>
      <c r="Q2037" s="442"/>
      <c r="R2037" s="442"/>
      <c r="S2037" s="442"/>
      <c r="T2037" s="432">
        <f>IFERROR(HLOOKUP(B2037,[1]pp1p!$1:$3,3,0),0)</f>
        <v>0</v>
      </c>
    </row>
    <row r="2038" spans="1:20" ht="22.2" hidden="1" customHeight="1">
      <c r="A2038" s="379"/>
      <c r="B2038" s="410" t="s">
        <v>1194</v>
      </c>
      <c r="C2038" s="469" t="str">
        <f t="shared" si="329"/>
        <v xml:space="preserve"> </v>
      </c>
      <c r="D2038" s="440">
        <f>D2003</f>
        <v>0</v>
      </c>
      <c r="E2038" s="422" t="str">
        <f>VLOOKUP($B2038,[1]DG!A:D,[1]DG!$B$2,)</f>
        <v>06.1410</v>
      </c>
      <c r="F2038" s="434" t="str">
        <f>VLOOKUP($B2038,[1]DG!A:D,[1]DG!$C$2,)</f>
        <v>Lắp chuỗi sứ đỡ 2 bát/chuỗi</v>
      </c>
      <c r="G2038" s="422" t="str">
        <f>VLOOKUP($B2038,[1]DG!A:D,[1]DG!$D$2,)</f>
        <v>chuỗi</v>
      </c>
      <c r="H2038" s="435">
        <f t="shared" si="331"/>
        <v>0</v>
      </c>
      <c r="I2038" s="435"/>
      <c r="J2038" s="435"/>
      <c r="K2038" s="435"/>
      <c r="L2038" s="430">
        <f>IFERROR(HLOOKUP(chitiet!B2038,[1]pp1p!$1:$3,3,0),0)</f>
        <v>0</v>
      </c>
      <c r="M2038" s="435"/>
      <c r="N2038" s="435"/>
      <c r="O2038" s="435"/>
      <c r="P2038" s="435">
        <f t="shared" si="332"/>
        <v>0</v>
      </c>
      <c r="Q2038" s="442"/>
      <c r="R2038" s="442"/>
      <c r="S2038" s="442"/>
      <c r="T2038" s="432">
        <f>IFERROR(HLOOKUP(B2038,[1]pp1p!$1:$3,3,0),0)</f>
        <v>0</v>
      </c>
    </row>
    <row r="2039" spans="1:20" ht="22.2" hidden="1" customHeight="1">
      <c r="A2039" s="379"/>
      <c r="B2039" s="410" t="s">
        <v>1195</v>
      </c>
      <c r="C2039" s="469" t="str">
        <f t="shared" si="329"/>
        <v xml:space="preserve"> </v>
      </c>
      <c r="D2039" s="440">
        <f>SUM(D2004:D2005)</f>
        <v>0</v>
      </c>
      <c r="E2039" s="422" t="str">
        <f>VLOOKUP($B2039,[1]DG!A:D,[1]DG!$B$2,)</f>
        <v>06.1511</v>
      </c>
      <c r="F2039" s="434" t="str">
        <f>VLOOKUP($B2039,[1]DG!A:D,[1]DG!$C$2,)</f>
        <v>Lắp chuỗi sứ néo 2 bát/chuỗi</v>
      </c>
      <c r="G2039" s="422" t="str">
        <f>VLOOKUP($B2039,[1]DG!A:D,[1]DG!$D$2,)</f>
        <v>chuỗi</v>
      </c>
      <c r="H2039" s="435">
        <f t="shared" si="331"/>
        <v>0</v>
      </c>
      <c r="I2039" s="435"/>
      <c r="J2039" s="435"/>
      <c r="K2039" s="435"/>
      <c r="L2039" s="430">
        <f>IFERROR(HLOOKUP(chitiet!B2039,[1]pp1p!$1:$3,3,0),0)</f>
        <v>0</v>
      </c>
      <c r="M2039" s="435"/>
      <c r="N2039" s="435"/>
      <c r="O2039" s="435"/>
      <c r="P2039" s="435">
        <f t="shared" si="332"/>
        <v>0</v>
      </c>
      <c r="Q2039" s="437"/>
      <c r="R2039" s="437"/>
      <c r="S2039" s="437"/>
      <c r="T2039" s="432">
        <f>IFERROR(HLOOKUP(B2039,[1]pp1p!$1:$3,3,0),0)</f>
        <v>0</v>
      </c>
    </row>
    <row r="2040" spans="1:20" ht="22.2" hidden="1" customHeight="1">
      <c r="A2040" s="379"/>
      <c r="B2040" s="410" t="s">
        <v>425</v>
      </c>
      <c r="C2040" s="469" t="str">
        <f t="shared" si="329"/>
        <v xml:space="preserve"> </v>
      </c>
      <c r="D2040" s="440">
        <f>D1991+D1987</f>
        <v>0</v>
      </c>
      <c r="E2040" s="422" t="str">
        <f>VLOOKUP($B2040,[1]DG!A:D,[1]DG!$B$2,)</f>
        <v>06.2201</v>
      </c>
      <c r="F2040" s="434" t="str">
        <f>VLOOKUP($B2040,[1]DG!A:D,[1]DG!$C$2,)</f>
        <v>Lắp chuỗi sứ néo Polymer</v>
      </c>
      <c r="G2040" s="422" t="str">
        <f>VLOOKUP($B2040,[1]DG!A:D,[1]DG!$D$2,)</f>
        <v>chuỗi</v>
      </c>
      <c r="H2040" s="435">
        <f t="shared" si="331"/>
        <v>0</v>
      </c>
      <c r="I2040" s="435"/>
      <c r="J2040" s="435"/>
      <c r="K2040" s="435"/>
      <c r="L2040" s="430">
        <f>IFERROR(HLOOKUP(chitiet!B2040,[1]pp1p!$1:$3,3,0),0)</f>
        <v>0</v>
      </c>
      <c r="M2040" s="435"/>
      <c r="N2040" s="435"/>
      <c r="O2040" s="435"/>
      <c r="P2040" s="435">
        <f t="shared" si="332"/>
        <v>0</v>
      </c>
      <c r="Q2040" s="437"/>
      <c r="R2040" s="437"/>
      <c r="S2040" s="437"/>
      <c r="T2040" s="432">
        <f>IFERROR(HLOOKUP(B2040,[1]pp1p!$1:$3,3,0),0)</f>
        <v>0</v>
      </c>
    </row>
    <row r="2041" spans="1:20" ht="22.2" hidden="1" customHeight="1">
      <c r="A2041" s="379"/>
      <c r="B2041" s="410" t="s">
        <v>1198</v>
      </c>
      <c r="C2041" s="469" t="str">
        <f t="shared" si="329"/>
        <v xml:space="preserve"> </v>
      </c>
      <c r="D2041" s="440">
        <f>D1959+D1962</f>
        <v>0</v>
      </c>
      <c r="E2041" s="422" t="str">
        <f>VLOOKUP($B2041,[1]DG!A:D,[1]DG!$B$2,)</f>
        <v>06.1211</v>
      </c>
      <c r="F2041" s="434" t="str">
        <f>VLOOKUP($B2041,[1]DG!A:D,[1]DG!$C$2,)</f>
        <v>Lắp rack sứ + sứ ống chỉ</v>
      </c>
      <c r="G2041" s="422" t="str">
        <f>VLOOKUP($B2041,[1]DG!A:D,[1]DG!$D$2,)</f>
        <v>bộ</v>
      </c>
      <c r="H2041" s="435">
        <f t="shared" si="331"/>
        <v>0</v>
      </c>
      <c r="I2041" s="435"/>
      <c r="J2041" s="435"/>
      <c r="K2041" s="435"/>
      <c r="L2041" s="430">
        <f>IFERROR(HLOOKUP(chitiet!B2041,[1]pp1p!$1:$3,3,0),0)</f>
        <v>0</v>
      </c>
      <c r="M2041" s="435"/>
      <c r="N2041" s="435"/>
      <c r="O2041" s="435"/>
      <c r="P2041" s="435">
        <f t="shared" si="332"/>
        <v>0</v>
      </c>
      <c r="Q2041" s="442"/>
      <c r="R2041" s="442"/>
      <c r="S2041" s="442"/>
      <c r="T2041" s="432">
        <f>IFERROR(HLOOKUP(B2041,[1]pp1p!$1:$3,3,0),0)</f>
        <v>0</v>
      </c>
    </row>
    <row r="2042" spans="1:20" ht="22.2" hidden="1" customHeight="1">
      <c r="A2042" s="379"/>
      <c r="B2042" s="410" t="s">
        <v>1209</v>
      </c>
      <c r="C2042" s="469" t="str">
        <f t="shared" si="329"/>
        <v xml:space="preserve"> </v>
      </c>
      <c r="D2042" s="440">
        <f>P2042</f>
        <v>0</v>
      </c>
      <c r="E2042" s="422" t="str">
        <f>VLOOKUP($B2042,[1]DG!A:D,[1]DG!$B$2,)</f>
        <v>06.5072</v>
      </c>
      <c r="F2042" s="434" t="str">
        <f>VLOOKUP($B2042,[1]DG!A:D,[1]DG!$C$2,)</f>
        <v xml:space="preserve">Kéo dây qua vị trí bẻ góc dây </v>
      </c>
      <c r="G2042" s="422" t="str">
        <f>VLOOKUP($B2042,[1]DG!A:D,[1]DG!$D$2,)</f>
        <v>vị trí</v>
      </c>
      <c r="H2042" s="435"/>
      <c r="I2042" s="435"/>
      <c r="J2042" s="435"/>
      <c r="K2042" s="435"/>
      <c r="L2042" s="430">
        <f>IFERROR(HLOOKUP(chitiet!B2042,[1]pp1p!$1:$3,3,0),0)</f>
        <v>0</v>
      </c>
      <c r="M2042" s="435"/>
      <c r="N2042" s="435"/>
      <c r="O2042" s="435"/>
      <c r="P2042" s="435">
        <f t="shared" si="332"/>
        <v>0</v>
      </c>
      <c r="Q2042" s="437"/>
      <c r="R2042" s="437"/>
      <c r="S2042" s="437"/>
      <c r="T2042" s="432">
        <f>IFERROR(HLOOKUP(B2042,[1]pp1p!$1:$3,3,0),0)</f>
        <v>0</v>
      </c>
    </row>
    <row r="2043" spans="1:20" ht="22.2" hidden="1" customHeight="1">
      <c r="A2043" s="379"/>
      <c r="B2043" s="410" t="s">
        <v>1210</v>
      </c>
      <c r="C2043" s="469" t="str">
        <f t="shared" si="329"/>
        <v xml:space="preserve"> </v>
      </c>
      <c r="D2043" s="426">
        <f>[1]pp1p!CW94*0</f>
        <v>0</v>
      </c>
      <c r="E2043" s="422" t="str">
        <f>VLOOKUP($B2043,[1]DG!A:D,[1]DG!$B$2,)</f>
        <v>06.5082</v>
      </c>
      <c r="F2043" s="434" t="s">
        <v>1301</v>
      </c>
      <c r="G2043" s="422" t="str">
        <f>VLOOKUP($B2043,[1]DG!A:D,[1]DG!$D$2,)</f>
        <v>vị trí</v>
      </c>
      <c r="H2043" s="435">
        <f t="shared" ref="H2043:H2048" si="333">D2043</f>
        <v>0</v>
      </c>
      <c r="I2043" s="435"/>
      <c r="J2043" s="435"/>
      <c r="K2043" s="435"/>
      <c r="L2043" s="430">
        <f>IFERROR(HLOOKUP(chitiet!B2043,[1]pp1p!$1:$3,3,0),0)</f>
        <v>0</v>
      </c>
      <c r="M2043" s="435"/>
      <c r="N2043" s="435"/>
      <c r="O2043" s="435"/>
      <c r="P2043" s="435">
        <f t="shared" si="332"/>
        <v>0</v>
      </c>
      <c r="Q2043" s="437"/>
      <c r="R2043" s="437"/>
      <c r="S2043" s="437"/>
      <c r="T2043" s="432">
        <f>IFERROR(HLOOKUP(B2043,[1]pp1p!$1:$3,3,0),0)</f>
        <v>0</v>
      </c>
    </row>
    <row r="2044" spans="1:20" ht="22.2" hidden="1" customHeight="1">
      <c r="A2044" s="379"/>
      <c r="B2044" s="410" t="s">
        <v>1211</v>
      </c>
      <c r="C2044" s="469" t="str">
        <f t="shared" si="329"/>
        <v xml:space="preserve"> </v>
      </c>
      <c r="D2044" s="439">
        <f>D2047</f>
        <v>0</v>
      </c>
      <c r="E2044" s="422" t="str">
        <f>VLOOKUP($B2044,[1]DG!A:D,[1]DG!$B$2,)</f>
        <v>02.1122</v>
      </c>
      <c r="F2044" s="434" t="str">
        <f>VLOOKUP($B2044,[1]DG!A:D,[1]DG!$C$2,)</f>
        <v>Bốc dỡ dây</v>
      </c>
      <c r="G2044" s="422" t="str">
        <f>VLOOKUP($B2044,[1]DG!A:D,[1]DG!$D$2,)</f>
        <v>tấn</v>
      </c>
      <c r="H2044" s="435">
        <f t="shared" si="333"/>
        <v>0</v>
      </c>
      <c r="I2044" s="435"/>
      <c r="J2044" s="435"/>
      <c r="K2044" s="435"/>
      <c r="L2044" s="430">
        <f>IFERROR(HLOOKUP(chitiet!B2044,[1]pp1p!$1:$3,3,0),0)</f>
        <v>0</v>
      </c>
      <c r="M2044" s="435"/>
      <c r="N2044" s="435"/>
      <c r="O2044" s="435"/>
      <c r="P2044" s="435">
        <f t="shared" si="332"/>
        <v>0</v>
      </c>
      <c r="Q2044" s="437"/>
      <c r="R2044" s="437"/>
      <c r="S2044" s="437"/>
      <c r="T2044" s="432">
        <f>IFERROR(HLOOKUP(B2044,[1]pp1p!$1:$3,3,0),0)</f>
        <v>0</v>
      </c>
    </row>
    <row r="2045" spans="1:20" ht="22.2" hidden="1" customHeight="1">
      <c r="A2045" s="379"/>
      <c r="B2045" s="410" t="s">
        <v>796</v>
      </c>
      <c r="C2045" s="469" t="str">
        <f t="shared" si="329"/>
        <v xml:space="preserve"> </v>
      </c>
      <c r="D2045" s="439">
        <f>D2046</f>
        <v>0</v>
      </c>
      <c r="E2045" s="422" t="str">
        <f>VLOOKUP($B2045,[1]DG!A:D,[1]DG!$B$2,)</f>
        <v>02.1120</v>
      </c>
      <c r="F2045" s="434" t="str">
        <f>VLOOKUP($B2045,[1]DG!A:D,[1]DG!$C$2,)</f>
        <v>Bốc dỡ phụ kiện</v>
      </c>
      <c r="G2045" s="422" t="str">
        <f>VLOOKUP($B2045,[1]DG!A:D,[1]DG!$D$2,)</f>
        <v>tấn</v>
      </c>
      <c r="H2045" s="435">
        <f t="shared" si="333"/>
        <v>0</v>
      </c>
      <c r="I2045" s="435"/>
      <c r="J2045" s="435"/>
      <c r="K2045" s="435"/>
      <c r="L2045" s="430">
        <f>IFERROR(HLOOKUP(chitiet!B2045,[1]pp1p!$1:$3,3,0),0)</f>
        <v>0</v>
      </c>
      <c r="M2045" s="435"/>
      <c r="N2045" s="435"/>
      <c r="O2045" s="435"/>
      <c r="P2045" s="435">
        <f t="shared" si="332"/>
        <v>0</v>
      </c>
      <c r="Q2045" s="437"/>
      <c r="R2045" s="437"/>
      <c r="S2045" s="437"/>
      <c r="T2045" s="432">
        <f>IFERROR(HLOOKUP(B2045,[1]pp1p!$1:$3,3,0),0)</f>
        <v>0</v>
      </c>
    </row>
    <row r="2046" spans="1:20" ht="22.2" hidden="1" customHeight="1">
      <c r="A2046" s="379"/>
      <c r="B2046" s="380" t="s">
        <v>993</v>
      </c>
      <c r="C2046" s="469" t="str">
        <f t="shared" si="329"/>
        <v xml:space="preserve"> </v>
      </c>
      <c r="D2046" s="439">
        <f>ROUND((D1958*2++D1961*5+D1970*7+D1973*15+D1977*25+D1981*15+D1991*15+D1997*15)/1000,2)*0</f>
        <v>0</v>
      </c>
      <c r="E2046" s="422" t="str">
        <f>VLOOKUP($B2046,[1]DG!A:C,2,)</f>
        <v>02.1421</v>
      </c>
      <c r="F2046" s="434" t="str">
        <f>VLOOKUP($B2046,[1]DG!A:C,3,)</f>
        <v>V/c phụ kiện vào vị trí (cự ly &lt;=100m)</v>
      </c>
      <c r="G2046" s="422" t="str">
        <f>VLOOKUP($B2046,[1]DG!A:D,4,0)</f>
        <v>tấn</v>
      </c>
      <c r="H2046" s="435">
        <f t="shared" si="333"/>
        <v>0</v>
      </c>
      <c r="I2046" s="435"/>
      <c r="J2046" s="435"/>
      <c r="K2046" s="435"/>
      <c r="L2046" s="430">
        <f>IFERROR(HLOOKUP(chitiet!B2046,[1]pp1p!$1:$3,3,0),0)</f>
        <v>0</v>
      </c>
      <c r="M2046" s="435"/>
      <c r="N2046" s="435"/>
      <c r="O2046" s="435"/>
      <c r="P2046" s="435">
        <f t="shared" si="332"/>
        <v>0</v>
      </c>
      <c r="Q2046" s="437"/>
      <c r="R2046" s="437"/>
      <c r="S2046" s="437"/>
      <c r="T2046" s="432">
        <f>IFERROR(HLOOKUP(B2046,[1]pp1p!$1:$3,3,0),0)</f>
        <v>0</v>
      </c>
    </row>
    <row r="2047" spans="1:20" ht="22.2" hidden="1" customHeight="1">
      <c r="A2047" s="379"/>
      <c r="B2047" s="380" t="s">
        <v>1212</v>
      </c>
      <c r="C2047" s="469" t="str">
        <f t="shared" si="329"/>
        <v xml:space="preserve"> </v>
      </c>
      <c r="D2047" s="439">
        <f>ROUND(SUM(D1955:D1956)*1.05/1000+D1957*0.189*1.1/1000+D2023*0.35/1000,2)*0</f>
        <v>0</v>
      </c>
      <c r="E2047" s="422" t="str">
        <f>VLOOKUP($B2047,[1]DG!A:C,2,)</f>
        <v>02.1441</v>
      </c>
      <c r="F2047" s="434" t="str">
        <f>VLOOKUP($B2047,[1]DG!A:C,3,)</f>
        <v>V/c dây vào vị trí (cự ly &lt;=100m)</v>
      </c>
      <c r="G2047" s="422" t="str">
        <f>VLOOKUP($B2047,[1]DG!A:D,4,0)</f>
        <v>tấn</v>
      </c>
      <c r="H2047" s="435">
        <f t="shared" si="333"/>
        <v>0</v>
      </c>
      <c r="I2047" s="435"/>
      <c r="J2047" s="435"/>
      <c r="K2047" s="435"/>
      <c r="L2047" s="430">
        <f>IFERROR(HLOOKUP(chitiet!B2047,[1]pp1p!$1:$3,3,0),0)</f>
        <v>0</v>
      </c>
      <c r="M2047" s="435"/>
      <c r="N2047" s="435"/>
      <c r="O2047" s="435"/>
      <c r="P2047" s="435">
        <f t="shared" si="332"/>
        <v>0</v>
      </c>
      <c r="Q2047" s="437"/>
      <c r="R2047" s="437"/>
      <c r="S2047" s="437"/>
      <c r="T2047" s="432">
        <f>IFERROR(HLOOKUP(B2047,[1]pp1p!$1:$3,3,0),0)</f>
        <v>0</v>
      </c>
    </row>
    <row r="2048" spans="1:20" ht="22.2" hidden="1" customHeight="1">
      <c r="A2048" s="379"/>
      <c r="B2048" s="438" t="s">
        <v>1065</v>
      </c>
      <c r="C2048" s="469" t="str">
        <f t="shared" si="329"/>
        <v xml:space="preserve"> </v>
      </c>
      <c r="D2048" s="439">
        <f>IF(D2047&lt;&gt;0,5,0)</f>
        <v>0</v>
      </c>
      <c r="E2048" s="422" t="str">
        <f>VLOOKUP($B2048,[1]DG!A:C,2,)</f>
        <v>02.1482</v>
      </c>
      <c r="F2048" s="434" t="str">
        <f>VLOOKUP($B2048,[1]DG!A:C,3,)</f>
        <v>V/c dụng cụ thi công vào vị trí (cự ly &lt;=100m)</v>
      </c>
      <c r="G2048" s="422" t="str">
        <f>VLOOKUP($B2048,[1]DG!A:D,4,0)</f>
        <v>tấn</v>
      </c>
      <c r="H2048" s="435">
        <f t="shared" si="333"/>
        <v>0</v>
      </c>
      <c r="I2048" s="435"/>
      <c r="J2048" s="435"/>
      <c r="K2048" s="435"/>
      <c r="L2048" s="430">
        <f>IFERROR(HLOOKUP(chitiet!B2048,[1]pp1p!$1:$3,3,0),0)</f>
        <v>0</v>
      </c>
      <c r="M2048" s="435"/>
      <c r="N2048" s="435"/>
      <c r="O2048" s="435"/>
      <c r="P2048" s="435">
        <f t="shared" si="332"/>
        <v>0</v>
      </c>
      <c r="Q2048" s="437"/>
      <c r="R2048" s="437"/>
      <c r="S2048" s="437"/>
      <c r="T2048" s="432">
        <f>IFERROR(HLOOKUP(B2048,[1]pp1p!$1:$3,3,0),0)</f>
        <v>0</v>
      </c>
    </row>
    <row r="2049" spans="1:20" ht="22.2" hidden="1" customHeight="1" collapsed="1">
      <c r="A2049" s="423" t="s">
        <v>1302</v>
      </c>
      <c r="B2049" s="424" t="s">
        <v>1302</v>
      </c>
      <c r="C2049" s="469" t="str">
        <f>IF(D2049&lt;&gt;0,"x"," ")</f>
        <v xml:space="preserve"> </v>
      </c>
      <c r="D2049" s="426">
        <f>IF(SUM(D2050:D2072)=0,0,1)</f>
        <v>0</v>
      </c>
      <c r="E2049" s="349" t="s">
        <v>1096</v>
      </c>
      <c r="F2049" s="428" t="s">
        <v>1303</v>
      </c>
      <c r="G2049" s="349" t="s">
        <v>1098</v>
      </c>
      <c r="H2049" s="429">
        <f>SUM(I2049:O2049)</f>
        <v>0</v>
      </c>
      <c r="I2049" s="430"/>
      <c r="J2049" s="430"/>
      <c r="K2049" s="430"/>
      <c r="L2049" s="430">
        <f>IFERROR(HLOOKUP(chitiet!B2049,[1]pp1p!$1:$3,3,0),0)</f>
        <v>0</v>
      </c>
      <c r="M2049" s="430"/>
      <c r="N2049" s="430"/>
      <c r="O2049" s="430"/>
      <c r="P2049" s="435">
        <f t="shared" si="332"/>
        <v>0</v>
      </c>
      <c r="Q2049" s="431"/>
      <c r="R2049" s="431"/>
      <c r="S2049" s="431"/>
      <c r="T2049" s="432">
        <f t="shared" ref="T2049:T2092" si="334">IFERROR(HLOOKUP(B2049,BangKeTru,3,0),0)</f>
        <v>0</v>
      </c>
    </row>
    <row r="2050" spans="1:20" ht="22.2" hidden="1" customHeight="1">
      <c r="A2050" s="379"/>
      <c r="B2050" s="410" t="s">
        <v>1304</v>
      </c>
      <c r="C2050" s="469" t="str">
        <f t="shared" si="329"/>
        <v xml:space="preserve"> </v>
      </c>
      <c r="D2050" s="440">
        <f>ROUND(E2050*1.02,0)</f>
        <v>0</v>
      </c>
      <c r="E2050" s="484">
        <f>[1]ppht!C344</f>
        <v>0</v>
      </c>
      <c r="F2050" s="441" t="str">
        <f>VLOOKUP($B2050,[1]DG!A:D,[1]DG!$C$2,)</f>
        <v>Cáp nhôm bọc AV95</v>
      </c>
      <c r="G2050" s="422" t="str">
        <f>VLOOKUP($B2050,[1]DG!A:D,[1]DG!$D$2,)</f>
        <v>mét</v>
      </c>
      <c r="H2050" s="435">
        <f>$D2050</f>
        <v>0</v>
      </c>
      <c r="I2050" s="435"/>
      <c r="J2050" s="435"/>
      <c r="K2050" s="435"/>
      <c r="L2050" s="435"/>
      <c r="M2050" s="435"/>
      <c r="N2050" s="435">
        <f t="shared" ref="N2050:N2078" si="335">D2050</f>
        <v>0</v>
      </c>
      <c r="O2050" s="435"/>
      <c r="P2050" s="435">
        <f t="shared" si="332"/>
        <v>0</v>
      </c>
      <c r="Q2050" s="442"/>
      <c r="R2050" s="442"/>
      <c r="S2050" s="442"/>
      <c r="T2050" s="432">
        <f t="shared" si="334"/>
        <v>0</v>
      </c>
    </row>
    <row r="2051" spans="1:20" ht="22.2" hidden="1" customHeight="1">
      <c r="A2051" s="379"/>
      <c r="B2051" s="410" t="s">
        <v>1305</v>
      </c>
      <c r="C2051" s="469" t="str">
        <f t="shared" ref="C2051:C2117" si="336">IF(OR(P2051&lt;&gt;0,H2051&lt;&gt;0),"x"," ")</f>
        <v xml:space="preserve"> </v>
      </c>
      <c r="D2051" s="440">
        <f>ROUND(E2051*1.02,0)</f>
        <v>0</v>
      </c>
      <c r="E2051" s="527">
        <f>[1]ppht!C343</f>
        <v>0</v>
      </c>
      <c r="F2051" s="455" t="str">
        <f>VLOOKUP($B2051,[1]DG!A:D,[1]DG!$C$2,)</f>
        <v>Cáp nhôm bọc AV50</v>
      </c>
      <c r="G2051" s="528" t="str">
        <f>VLOOKUP($B2051,[1]DG!A:D,[1]DG!$D$2,)</f>
        <v>mét</v>
      </c>
      <c r="H2051" s="529">
        <f>$D2051</f>
        <v>0</v>
      </c>
      <c r="I2051" s="529"/>
      <c r="J2051" s="529"/>
      <c r="K2051" s="529"/>
      <c r="L2051" s="529"/>
      <c r="M2051" s="529"/>
      <c r="N2051" s="529">
        <f t="shared" si="335"/>
        <v>0</v>
      </c>
      <c r="O2051" s="529"/>
      <c r="P2051" s="435">
        <f t="shared" si="332"/>
        <v>0</v>
      </c>
      <c r="Q2051" s="530"/>
      <c r="R2051" s="530"/>
      <c r="S2051" s="530"/>
      <c r="T2051" s="432">
        <f t="shared" si="334"/>
        <v>0</v>
      </c>
    </row>
    <row r="2052" spans="1:20" ht="22.2" hidden="1" customHeight="1">
      <c r="A2052" s="379"/>
      <c r="B2052" s="410" t="s">
        <v>1105</v>
      </c>
      <c r="C2052" s="469" t="str">
        <f t="shared" si="336"/>
        <v xml:space="preserve"> </v>
      </c>
      <c r="D2052" s="440">
        <f>ROUND(E2052*1.02*0.195,0)</f>
        <v>0</v>
      </c>
      <c r="E2052" s="527"/>
      <c r="F2052" s="455" t="str">
        <f>VLOOKUP($B2052,[1]DG!A:D,[1]DG!$C$2,)</f>
        <v>Cáp nhôm lõi thép AC-50/8</v>
      </c>
      <c r="G2052" s="528" t="str">
        <f>VLOOKUP($B2052,[1]DG!A:D,[1]DG!$D$2,)</f>
        <v>kg</v>
      </c>
      <c r="H2052" s="529">
        <f t="shared" ref="H2052:H2071" si="337">D2052</f>
        <v>0</v>
      </c>
      <c r="I2052" s="529"/>
      <c r="J2052" s="529"/>
      <c r="K2052" s="529"/>
      <c r="L2052" s="529"/>
      <c r="M2052" s="529"/>
      <c r="N2052" s="529">
        <f t="shared" si="335"/>
        <v>0</v>
      </c>
      <c r="O2052" s="529"/>
      <c r="P2052" s="435">
        <f t="shared" si="332"/>
        <v>0</v>
      </c>
      <c r="Q2052" s="530"/>
      <c r="R2052" s="530"/>
      <c r="S2052" s="530"/>
      <c r="T2052" s="432">
        <f t="shared" si="334"/>
        <v>0</v>
      </c>
    </row>
    <row r="2053" spans="1:20" ht="22.2" hidden="1" customHeight="1">
      <c r="A2053" s="379"/>
      <c r="B2053" s="410" t="s">
        <v>1306</v>
      </c>
      <c r="C2053" s="469" t="str">
        <f t="shared" si="336"/>
        <v xml:space="preserve"> </v>
      </c>
      <c r="D2053" s="440">
        <f t="shared" ref="D2053:D2059" si="338">ROUND(E2053*1.02,0)</f>
        <v>0</v>
      </c>
      <c r="E2053" s="484">
        <f>[1]ppht!C350</f>
        <v>0</v>
      </c>
      <c r="F2053" s="441" t="str">
        <f>VLOOKUP($B2053,[1]DG!A:D,[1]DG!$C$2,)</f>
        <v>Cáp nhôm ABC 3x50mm2</v>
      </c>
      <c r="G2053" s="422" t="str">
        <f>VLOOKUP($B2053,[1]DG!A:D,[1]DG!$D$2,)</f>
        <v>mét</v>
      </c>
      <c r="H2053" s="435">
        <f t="shared" si="337"/>
        <v>0</v>
      </c>
      <c r="I2053" s="435"/>
      <c r="J2053" s="435"/>
      <c r="K2053" s="435"/>
      <c r="L2053" s="435"/>
      <c r="M2053" s="435"/>
      <c r="N2053" s="435">
        <f t="shared" si="335"/>
        <v>0</v>
      </c>
      <c r="O2053" s="435"/>
      <c r="P2053" s="435">
        <f t="shared" si="332"/>
        <v>0</v>
      </c>
      <c r="Q2053" s="442"/>
      <c r="R2053" s="442"/>
      <c r="S2053" s="442"/>
      <c r="T2053" s="432">
        <f t="shared" si="334"/>
        <v>0</v>
      </c>
    </row>
    <row r="2054" spans="1:20" ht="22.2" hidden="1" customHeight="1">
      <c r="A2054" s="379"/>
      <c r="B2054" s="410" t="s">
        <v>1307</v>
      </c>
      <c r="C2054" s="469" t="str">
        <f t="shared" si="336"/>
        <v xml:space="preserve"> </v>
      </c>
      <c r="D2054" s="440">
        <f t="shared" si="338"/>
        <v>0</v>
      </c>
      <c r="E2054" s="484">
        <f>[1]ppht!C349</f>
        <v>0</v>
      </c>
      <c r="F2054" s="441" t="str">
        <f>VLOOKUP($B2054,[1]DG!A:D,[1]DG!$C$2,)</f>
        <v>Cáp nhôm ABC 3x70mm2</v>
      </c>
      <c r="G2054" s="422" t="str">
        <f>VLOOKUP($B2054,[1]DG!A:D,[1]DG!$D$2,)</f>
        <v>mét</v>
      </c>
      <c r="H2054" s="435">
        <f t="shared" si="337"/>
        <v>0</v>
      </c>
      <c r="I2054" s="435"/>
      <c r="J2054" s="435"/>
      <c r="K2054" s="435"/>
      <c r="L2054" s="435"/>
      <c r="M2054" s="435"/>
      <c r="N2054" s="435">
        <f t="shared" si="335"/>
        <v>0</v>
      </c>
      <c r="O2054" s="435"/>
      <c r="P2054" s="435">
        <f t="shared" si="332"/>
        <v>0</v>
      </c>
      <c r="Q2054" s="442"/>
      <c r="R2054" s="442"/>
      <c r="S2054" s="442"/>
      <c r="T2054" s="432">
        <f t="shared" si="334"/>
        <v>0</v>
      </c>
    </row>
    <row r="2055" spans="1:20" ht="22.2" hidden="1" customHeight="1">
      <c r="A2055" s="379"/>
      <c r="B2055" s="410" t="s">
        <v>1308</v>
      </c>
      <c r="C2055" s="469" t="str">
        <f t="shared" si="336"/>
        <v xml:space="preserve"> </v>
      </c>
      <c r="D2055" s="440">
        <f t="shared" si="338"/>
        <v>0</v>
      </c>
      <c r="E2055" s="484">
        <f>[1]ppht!C348</f>
        <v>0</v>
      </c>
      <c r="F2055" s="441" t="str">
        <f>VLOOKUP($B2055,[1]DG!A:D,[1]DG!$C$2,)</f>
        <v>Cáp nhôm ABC 4x50mm2</v>
      </c>
      <c r="G2055" s="422" t="str">
        <f>VLOOKUP($B2055,[1]DG!A:D,[1]DG!$D$2,)</f>
        <v>mét</v>
      </c>
      <c r="H2055" s="435">
        <f t="shared" si="337"/>
        <v>0</v>
      </c>
      <c r="I2055" s="435"/>
      <c r="J2055" s="435"/>
      <c r="K2055" s="435"/>
      <c r="L2055" s="435"/>
      <c r="M2055" s="435"/>
      <c r="N2055" s="435">
        <f t="shared" si="335"/>
        <v>0</v>
      </c>
      <c r="O2055" s="435"/>
      <c r="P2055" s="435">
        <f t="shared" si="332"/>
        <v>0</v>
      </c>
      <c r="Q2055" s="442"/>
      <c r="R2055" s="442"/>
      <c r="S2055" s="442"/>
      <c r="T2055" s="432">
        <f t="shared" si="334"/>
        <v>0</v>
      </c>
    </row>
    <row r="2056" spans="1:20" ht="22.2" hidden="1" customHeight="1">
      <c r="A2056" s="379"/>
      <c r="B2056" s="410" t="s">
        <v>1309</v>
      </c>
      <c r="C2056" s="469" t="str">
        <f t="shared" si="336"/>
        <v xml:space="preserve"> </v>
      </c>
      <c r="D2056" s="440">
        <f t="shared" si="338"/>
        <v>0</v>
      </c>
      <c r="E2056" s="531">
        <f>[1]ppht!C347</f>
        <v>0</v>
      </c>
      <c r="F2056" s="532" t="str">
        <f>VLOOKUP($B2056,[1]DG!A:D,[1]DG!$C$2,)</f>
        <v>Cáp nhôm ABC 4x70mm2</v>
      </c>
      <c r="G2056" s="422" t="str">
        <f>VLOOKUP($B2056,[1]DG!A:D,[1]DG!$D$2,)</f>
        <v>mét</v>
      </c>
      <c r="H2056" s="435">
        <f t="shared" si="337"/>
        <v>0</v>
      </c>
      <c r="I2056" s="435"/>
      <c r="J2056" s="435"/>
      <c r="K2056" s="435"/>
      <c r="L2056" s="435"/>
      <c r="M2056" s="435"/>
      <c r="N2056" s="435">
        <f t="shared" si="335"/>
        <v>0</v>
      </c>
      <c r="O2056" s="435"/>
      <c r="P2056" s="435">
        <f t="shared" si="332"/>
        <v>0</v>
      </c>
      <c r="Q2056" s="442"/>
      <c r="R2056" s="442"/>
      <c r="S2056" s="442"/>
      <c r="T2056" s="432">
        <f t="shared" si="334"/>
        <v>0</v>
      </c>
    </row>
    <row r="2057" spans="1:20" ht="22.2" hidden="1" customHeight="1">
      <c r="A2057" s="379"/>
      <c r="B2057" s="410" t="s">
        <v>1310</v>
      </c>
      <c r="C2057" s="469" t="str">
        <f t="shared" si="336"/>
        <v xml:space="preserve"> </v>
      </c>
      <c r="D2057" s="440">
        <f t="shared" si="338"/>
        <v>0</v>
      </c>
      <c r="E2057" s="484">
        <f>[1]ppht!C346</f>
        <v>0</v>
      </c>
      <c r="F2057" s="441" t="str">
        <f>VLOOKUP($B2057,[1]DG!A:D,[1]DG!$C$2,)</f>
        <v>Cáp nhôm ABC 4x95mm2</v>
      </c>
      <c r="G2057" s="422" t="str">
        <f>VLOOKUP($B2057,[1]DG!A:D,[1]DG!$D$2,)</f>
        <v>mét</v>
      </c>
      <c r="H2057" s="435">
        <f t="shared" si="337"/>
        <v>0</v>
      </c>
      <c r="I2057" s="435"/>
      <c r="J2057" s="435"/>
      <c r="K2057" s="435"/>
      <c r="L2057" s="435"/>
      <c r="M2057" s="435"/>
      <c r="N2057" s="435">
        <f t="shared" si="335"/>
        <v>0</v>
      </c>
      <c r="O2057" s="435"/>
      <c r="P2057" s="435">
        <f t="shared" si="332"/>
        <v>0</v>
      </c>
      <c r="Q2057" s="442"/>
      <c r="R2057" s="442"/>
      <c r="S2057" s="442"/>
      <c r="T2057" s="432">
        <f t="shared" si="334"/>
        <v>0</v>
      </c>
    </row>
    <row r="2058" spans="1:20" ht="22.2" hidden="1" customHeight="1">
      <c r="A2058" s="379"/>
      <c r="B2058" s="410" t="s">
        <v>1311</v>
      </c>
      <c r="C2058" s="469" t="str">
        <f t="shared" si="336"/>
        <v xml:space="preserve"> </v>
      </c>
      <c r="D2058" s="440">
        <f t="shared" si="338"/>
        <v>0</v>
      </c>
      <c r="E2058" s="484">
        <f>[1]ppht!C345</f>
        <v>0</v>
      </c>
      <c r="F2058" s="441" t="str">
        <f>VLOOKUP($B2058,[1]DG!A:D,[1]DG!$C$2,)</f>
        <v>Cáp nhôm ABC 4x150mm2</v>
      </c>
      <c r="G2058" s="422" t="str">
        <f>VLOOKUP($B2058,[1]DG!A:D,[1]DG!$D$2,)</f>
        <v>mét</v>
      </c>
      <c r="H2058" s="435">
        <f t="shared" si="337"/>
        <v>0</v>
      </c>
      <c r="I2058" s="435"/>
      <c r="J2058" s="435"/>
      <c r="K2058" s="435"/>
      <c r="L2058" s="435"/>
      <c r="M2058" s="435"/>
      <c r="N2058" s="435">
        <f t="shared" si="335"/>
        <v>0</v>
      </c>
      <c r="O2058" s="435"/>
      <c r="P2058" s="435">
        <f t="shared" si="332"/>
        <v>0</v>
      </c>
      <c r="Q2058" s="442"/>
      <c r="R2058" s="442"/>
      <c r="S2058" s="442"/>
      <c r="T2058" s="432">
        <f t="shared" si="334"/>
        <v>0</v>
      </c>
    </row>
    <row r="2059" spans="1:20" ht="22.2" hidden="1" customHeight="1">
      <c r="A2059" s="379"/>
      <c r="B2059" s="410" t="s">
        <v>1312</v>
      </c>
      <c r="C2059" s="469" t="str">
        <f t="shared" si="336"/>
        <v xml:space="preserve"> </v>
      </c>
      <c r="D2059" s="440">
        <f t="shared" si="338"/>
        <v>0</v>
      </c>
      <c r="E2059" s="484"/>
      <c r="F2059" s="441" t="str">
        <f>VLOOKUP($B2059,[1]DG!A:D,[1]DG!$C$2,)&amp;": 9m/tủ phân phối"</f>
        <v>Cáp C/XLPE/DSTA/PVC -0.6/1kV-3x50+35mm2: 9m/tủ phân phối</v>
      </c>
      <c r="G2059" s="422" t="str">
        <f>VLOOKUP($B2059,[1]DG!A:D,[1]DG!$D$2,)</f>
        <v>mét</v>
      </c>
      <c r="H2059" s="435">
        <f t="shared" si="337"/>
        <v>0</v>
      </c>
      <c r="I2059" s="435"/>
      <c r="J2059" s="435"/>
      <c r="K2059" s="435"/>
      <c r="L2059" s="435"/>
      <c r="M2059" s="435"/>
      <c r="N2059" s="435">
        <f t="shared" si="335"/>
        <v>0</v>
      </c>
      <c r="O2059" s="435"/>
      <c r="P2059" s="435">
        <f t="shared" si="332"/>
        <v>0</v>
      </c>
      <c r="Q2059" s="442"/>
      <c r="R2059" s="442"/>
      <c r="S2059" s="442"/>
      <c r="T2059" s="432">
        <f t="shared" si="334"/>
        <v>0</v>
      </c>
    </row>
    <row r="2060" spans="1:20" ht="22.2" hidden="1" customHeight="1">
      <c r="A2060" s="379"/>
      <c r="B2060" s="410" t="s">
        <v>385</v>
      </c>
      <c r="C2060" s="469" t="str">
        <f t="shared" si="336"/>
        <v xml:space="preserve"> </v>
      </c>
      <c r="D2060" s="440">
        <f>[1]ppht!DK341</f>
        <v>0</v>
      </c>
      <c r="E2060" s="484"/>
      <c r="F2060" s="441" t="str">
        <f>VLOOKUP($B2060,[1]DG!A:D,[1]DG!$C$2,)</f>
        <v>Cáp đồng bọc CV25</v>
      </c>
      <c r="G2060" s="422" t="str">
        <f>VLOOKUP($B2060,[1]DG!A:D,[1]DG!$D$2,)</f>
        <v>mét</v>
      </c>
      <c r="H2060" s="435">
        <f t="shared" si="337"/>
        <v>0</v>
      </c>
      <c r="I2060" s="435"/>
      <c r="J2060" s="435"/>
      <c r="K2060" s="435"/>
      <c r="L2060" s="435"/>
      <c r="M2060" s="435"/>
      <c r="N2060" s="435">
        <f t="shared" si="335"/>
        <v>0</v>
      </c>
      <c r="O2060" s="435"/>
      <c r="P2060" s="435">
        <f t="shared" si="332"/>
        <v>0</v>
      </c>
      <c r="Q2060" s="442"/>
      <c r="R2060" s="442"/>
      <c r="S2060" s="442"/>
      <c r="T2060" s="432">
        <f t="shared" si="334"/>
        <v>0</v>
      </c>
    </row>
    <row r="2061" spans="1:20" ht="22.2" hidden="1" customHeight="1">
      <c r="A2061" s="379"/>
      <c r="B2061" s="533" t="s">
        <v>1172</v>
      </c>
      <c r="C2061" s="469" t="str">
        <f t="shared" si="336"/>
        <v xml:space="preserve"> </v>
      </c>
      <c r="D2061" s="440"/>
      <c r="E2061" s="422"/>
      <c r="F2061" s="441" t="str">
        <f>VLOOKUP($B2061,[1]DG!A:D,[1]DG!$C$2,)</f>
        <v>Ống nối dây cỡ 95mm2</v>
      </c>
      <c r="G2061" s="422" t="str">
        <f>VLOOKUP($B2061,[1]DG!A:D,[1]DG!$D$2,)</f>
        <v>cái</v>
      </c>
      <c r="H2061" s="435">
        <f t="shared" si="337"/>
        <v>0</v>
      </c>
      <c r="I2061" s="435"/>
      <c r="J2061" s="435"/>
      <c r="K2061" s="435"/>
      <c r="L2061" s="435"/>
      <c r="M2061" s="435"/>
      <c r="N2061" s="435">
        <f t="shared" si="335"/>
        <v>0</v>
      </c>
      <c r="O2061" s="435"/>
      <c r="P2061" s="435">
        <f t="shared" si="332"/>
        <v>0</v>
      </c>
      <c r="Q2061" s="442"/>
      <c r="R2061" s="442"/>
      <c r="S2061" s="442"/>
      <c r="T2061" s="432">
        <f t="shared" si="334"/>
        <v>0</v>
      </c>
    </row>
    <row r="2062" spans="1:20" ht="22.2" hidden="1" customHeight="1">
      <c r="A2062" s="379"/>
      <c r="B2062" s="410" t="s">
        <v>1313</v>
      </c>
      <c r="C2062" s="469" t="str">
        <f t="shared" si="336"/>
        <v xml:space="preserve"> </v>
      </c>
      <c r="D2062" s="440"/>
      <c r="E2062" s="422"/>
      <c r="F2062" s="441" t="str">
        <f>VLOOKUP($B2062,[1]DG!A:D,[1]DG!$C$2,)</f>
        <v>Đầu cosse ép Cu-Al 50mm2</v>
      </c>
      <c r="G2062" s="422" t="str">
        <f>VLOOKUP($B2062,[1]DG!A:D,[1]DG!$D$2,)</f>
        <v>cái</v>
      </c>
      <c r="H2062" s="435">
        <f t="shared" si="337"/>
        <v>0</v>
      </c>
      <c r="I2062" s="435"/>
      <c r="J2062" s="435"/>
      <c r="K2062" s="435"/>
      <c r="L2062" s="435"/>
      <c r="M2062" s="435"/>
      <c r="N2062" s="435">
        <f t="shared" si="335"/>
        <v>0</v>
      </c>
      <c r="O2062" s="435"/>
      <c r="P2062" s="435">
        <f t="shared" si="332"/>
        <v>0</v>
      </c>
      <c r="Q2062" s="442"/>
      <c r="R2062" s="442"/>
      <c r="S2062" s="442"/>
      <c r="T2062" s="432">
        <f t="shared" si="334"/>
        <v>0</v>
      </c>
    </row>
    <row r="2063" spans="1:20" ht="22.2" hidden="1" customHeight="1">
      <c r="A2063" s="379"/>
      <c r="B2063" s="410" t="s">
        <v>1314</v>
      </c>
      <c r="C2063" s="469" t="str">
        <f t="shared" si="336"/>
        <v xml:space="preserve"> </v>
      </c>
      <c r="D2063" s="440"/>
      <c r="E2063" s="422"/>
      <c r="F2063" s="441" t="str">
        <f>VLOOKUP($B2063,[1]DG!A:D,[1]DG!$C$2,)</f>
        <v>Đầu cosse ép Cu-Al 70mm2</v>
      </c>
      <c r="G2063" s="422" t="str">
        <f>VLOOKUP($B2063,[1]DG!A:D,[1]DG!$D$2,)</f>
        <v>cái</v>
      </c>
      <c r="H2063" s="435">
        <f t="shared" si="337"/>
        <v>0</v>
      </c>
      <c r="I2063" s="435"/>
      <c r="J2063" s="435"/>
      <c r="K2063" s="435"/>
      <c r="L2063" s="435"/>
      <c r="M2063" s="435"/>
      <c r="N2063" s="435">
        <f t="shared" si="335"/>
        <v>0</v>
      </c>
      <c r="O2063" s="435"/>
      <c r="P2063" s="435">
        <f t="shared" si="332"/>
        <v>0</v>
      </c>
      <c r="Q2063" s="442"/>
      <c r="R2063" s="442"/>
      <c r="S2063" s="442"/>
      <c r="T2063" s="432">
        <f t="shared" si="334"/>
        <v>0</v>
      </c>
    </row>
    <row r="2064" spans="1:20" ht="22.2" hidden="1" customHeight="1">
      <c r="A2064" s="379"/>
      <c r="B2064" s="410" t="s">
        <v>1315</v>
      </c>
      <c r="C2064" s="469" t="str">
        <f t="shared" si="336"/>
        <v xml:space="preserve"> </v>
      </c>
      <c r="D2064" s="440"/>
      <c r="E2064" s="422"/>
      <c r="F2064" s="441" t="str">
        <f>VLOOKUP($B2064,[1]DG!A:D,[1]DG!$C$2,)</f>
        <v>Boulon thau 12x50 + 2 long đền vuông D14-50x50x3/Zn</v>
      </c>
      <c r="G2064" s="422" t="str">
        <f>VLOOKUP($B2064,[1]DG!A:D,[1]DG!$D$2,)</f>
        <v>bộ</v>
      </c>
      <c r="H2064" s="435">
        <f t="shared" si="337"/>
        <v>0</v>
      </c>
      <c r="I2064" s="435"/>
      <c r="J2064" s="435"/>
      <c r="K2064" s="435"/>
      <c r="L2064" s="435"/>
      <c r="M2064" s="435"/>
      <c r="N2064" s="435">
        <f t="shared" si="335"/>
        <v>0</v>
      </c>
      <c r="O2064" s="435"/>
      <c r="P2064" s="435">
        <f t="shared" si="332"/>
        <v>0</v>
      </c>
      <c r="Q2064" s="442"/>
      <c r="R2064" s="442"/>
      <c r="S2064" s="442"/>
      <c r="T2064" s="432">
        <f t="shared" si="334"/>
        <v>0</v>
      </c>
    </row>
    <row r="2065" spans="1:20" ht="22.2" hidden="1" customHeight="1">
      <c r="A2065" s="379"/>
      <c r="B2065" s="410" t="s">
        <v>82</v>
      </c>
      <c r="C2065" s="469" t="str">
        <f t="shared" si="336"/>
        <v xml:space="preserve"> </v>
      </c>
      <c r="D2065" s="440"/>
      <c r="E2065" s="422"/>
      <c r="F2065" s="441" t="str">
        <f>VLOOKUP($B2065,[1]DG!A:D,[1]DG!$C$2,)</f>
        <v>Cọc tiếp đất Þ 16- 2,4m + kẹp cọc mạ đồng</v>
      </c>
      <c r="G2065" s="422" t="str">
        <f>VLOOKUP($B2065,[1]DG!A:D,[1]DG!$D$2,)</f>
        <v>bộ</v>
      </c>
      <c r="H2065" s="435">
        <f t="shared" si="337"/>
        <v>0</v>
      </c>
      <c r="I2065" s="435"/>
      <c r="J2065" s="435"/>
      <c r="K2065" s="435"/>
      <c r="L2065" s="435"/>
      <c r="M2065" s="435"/>
      <c r="N2065" s="435">
        <f t="shared" si="335"/>
        <v>0</v>
      </c>
      <c r="O2065" s="435"/>
      <c r="P2065" s="435">
        <f t="shared" si="332"/>
        <v>0</v>
      </c>
      <c r="Q2065" s="442"/>
      <c r="R2065" s="442"/>
      <c r="S2065" s="442"/>
      <c r="T2065" s="432">
        <f t="shared" si="334"/>
        <v>0</v>
      </c>
    </row>
    <row r="2066" spans="1:20" ht="22.2" hidden="1" customHeight="1">
      <c r="A2066" s="379"/>
      <c r="B2066" s="410" t="s">
        <v>81</v>
      </c>
      <c r="C2066" s="469" t="str">
        <f t="shared" si="336"/>
        <v xml:space="preserve"> </v>
      </c>
      <c r="D2066" s="440"/>
      <c r="E2066" s="422"/>
      <c r="F2066" s="441" t="str">
        <f>VLOOKUP($B2066,[1]DG!A:D,[1]DG!$C$2,)</f>
        <v>Cáp đồng trần M25mm2</v>
      </c>
      <c r="G2066" s="422" t="str">
        <f>VLOOKUP($B2066,[1]DG!A:D,[1]DG!$D$2,)</f>
        <v>kg</v>
      </c>
      <c r="H2066" s="435">
        <f t="shared" si="337"/>
        <v>0</v>
      </c>
      <c r="I2066" s="435"/>
      <c r="J2066" s="435"/>
      <c r="K2066" s="435"/>
      <c r="L2066" s="435"/>
      <c r="M2066" s="435"/>
      <c r="N2066" s="435">
        <f t="shared" si="335"/>
        <v>0</v>
      </c>
      <c r="O2066" s="435"/>
      <c r="P2066" s="435">
        <f t="shared" si="332"/>
        <v>0</v>
      </c>
      <c r="Q2066" s="442"/>
      <c r="R2066" s="442"/>
      <c r="S2066" s="442"/>
      <c r="T2066" s="432">
        <f t="shared" si="334"/>
        <v>0</v>
      </c>
    </row>
    <row r="2067" spans="1:20" ht="22.2" hidden="1" customHeight="1">
      <c r="A2067" s="379"/>
      <c r="B2067" s="410" t="s">
        <v>1316</v>
      </c>
      <c r="C2067" s="469" t="str">
        <f t="shared" si="336"/>
        <v xml:space="preserve"> </v>
      </c>
      <c r="D2067" s="440">
        <f>[1]ppht!CS341</f>
        <v>0</v>
      </c>
      <c r="E2067" s="422"/>
      <c r="F2067" s="441" t="str">
        <f>VLOOKUP($B2067,[1]DG!A:D,[1]DG!$C$2,)</f>
        <v>Ghíp nối IPC 50-25 1 bulong</v>
      </c>
      <c r="G2067" s="422" t="str">
        <f>VLOOKUP($B2067,[1]DG!A:D,[1]DG!$D$2,)</f>
        <v>cái</v>
      </c>
      <c r="H2067" s="435">
        <f t="shared" si="337"/>
        <v>0</v>
      </c>
      <c r="I2067" s="435"/>
      <c r="J2067" s="435"/>
      <c r="K2067" s="435"/>
      <c r="L2067" s="435"/>
      <c r="M2067" s="435"/>
      <c r="N2067" s="435">
        <f t="shared" si="335"/>
        <v>0</v>
      </c>
      <c r="O2067" s="435"/>
      <c r="P2067" s="435">
        <f t="shared" si="332"/>
        <v>0</v>
      </c>
      <c r="Q2067" s="442"/>
      <c r="R2067" s="442"/>
      <c r="S2067" s="442"/>
      <c r="T2067" s="432">
        <f t="shared" si="334"/>
        <v>0</v>
      </c>
    </row>
    <row r="2068" spans="1:20" ht="22.2" hidden="1" customHeight="1">
      <c r="A2068" s="379"/>
      <c r="B2068" s="410" t="s">
        <v>1317</v>
      </c>
      <c r="C2068" s="469" t="str">
        <f t="shared" si="336"/>
        <v xml:space="preserve"> </v>
      </c>
      <c r="D2068" s="440">
        <f>[1]ppht!CR341</f>
        <v>0</v>
      </c>
      <c r="E2068" s="422"/>
      <c r="F2068" s="441" t="str">
        <f>VLOOKUP($B2068,[1]DG!A:D,[1]DG!$C$2,)</f>
        <v>Ghíp nối IPC 50-50 1 bulong</v>
      </c>
      <c r="G2068" s="422" t="str">
        <f>VLOOKUP($B2068,[1]DG!A:D,[1]DG!$D$2,)</f>
        <v>cái</v>
      </c>
      <c r="H2068" s="435">
        <f t="shared" si="337"/>
        <v>0</v>
      </c>
      <c r="I2068" s="435"/>
      <c r="J2068" s="435"/>
      <c r="K2068" s="435"/>
      <c r="L2068" s="435"/>
      <c r="M2068" s="435"/>
      <c r="N2068" s="435">
        <f t="shared" si="335"/>
        <v>0</v>
      </c>
      <c r="O2068" s="435"/>
      <c r="P2068" s="435">
        <f t="shared" si="332"/>
        <v>0</v>
      </c>
      <c r="Q2068" s="442"/>
      <c r="R2068" s="442"/>
      <c r="S2068" s="442"/>
      <c r="T2068" s="432">
        <f t="shared" si="334"/>
        <v>0</v>
      </c>
    </row>
    <row r="2069" spans="1:20" ht="22.2" hidden="1" customHeight="1">
      <c r="A2069" s="379"/>
      <c r="B2069" s="410" t="s">
        <v>792</v>
      </c>
      <c r="C2069" s="469" t="str">
        <f t="shared" si="336"/>
        <v xml:space="preserve"> </v>
      </c>
      <c r="D2069" s="494">
        <f>+[1]ppht!CU341</f>
        <v>0</v>
      </c>
      <c r="E2069" s="422"/>
      <c r="F2069" s="441" t="s">
        <v>1318</v>
      </c>
      <c r="G2069" s="422" t="str">
        <f>VLOOKUP($B2069,[1]DG!A:D,[1]DG!$D$2,)</f>
        <v>cái</v>
      </c>
      <c r="H2069" s="435">
        <f t="shared" si="337"/>
        <v>0</v>
      </c>
      <c r="I2069" s="435"/>
      <c r="J2069" s="435"/>
      <c r="K2069" s="435"/>
      <c r="L2069" s="435"/>
      <c r="M2069" s="435"/>
      <c r="N2069" s="435">
        <f t="shared" si="335"/>
        <v>0</v>
      </c>
      <c r="O2069" s="435"/>
      <c r="P2069" s="435">
        <f t="shared" si="332"/>
        <v>0</v>
      </c>
      <c r="Q2069" s="442"/>
      <c r="R2069" s="442"/>
      <c r="S2069" s="442"/>
      <c r="T2069" s="432">
        <f t="shared" si="334"/>
        <v>0</v>
      </c>
    </row>
    <row r="2070" spans="1:20" ht="22.2" hidden="1" customHeight="1">
      <c r="A2070" s="379"/>
      <c r="B2070" s="410" t="s">
        <v>1319</v>
      </c>
      <c r="C2070" s="469" t="str">
        <f t="shared" si="336"/>
        <v xml:space="preserve"> </v>
      </c>
      <c r="D2070" s="494">
        <f>[1]ppht!CQ337</f>
        <v>0</v>
      </c>
      <c r="E2070" s="422"/>
      <c r="F2070" s="441" t="str">
        <f>VLOOKUP($B2070,[1]DG!A:D,[1]DG!$C$2,)&amp;" 2 bulong"</f>
        <v>Ghíp nối IPC 70-70 2 bulong</v>
      </c>
      <c r="G2070" s="422" t="str">
        <f>VLOOKUP($B2070,[1]DG!A:D,[1]DG!$D$2,)</f>
        <v>cái</v>
      </c>
      <c r="H2070" s="435">
        <f t="shared" si="337"/>
        <v>0</v>
      </c>
      <c r="I2070" s="435"/>
      <c r="J2070" s="435"/>
      <c r="K2070" s="435"/>
      <c r="L2070" s="435"/>
      <c r="M2070" s="435"/>
      <c r="N2070" s="435">
        <f t="shared" si="335"/>
        <v>0</v>
      </c>
      <c r="O2070" s="435"/>
      <c r="P2070" s="435">
        <f t="shared" si="332"/>
        <v>0</v>
      </c>
      <c r="Q2070" s="442"/>
      <c r="R2070" s="442"/>
      <c r="S2070" s="442"/>
      <c r="T2070" s="432">
        <f t="shared" si="334"/>
        <v>0</v>
      </c>
    </row>
    <row r="2071" spans="1:20" ht="22.2" hidden="1" customHeight="1">
      <c r="A2071" s="379"/>
      <c r="B2071" s="410" t="s">
        <v>1320</v>
      </c>
      <c r="C2071" s="469" t="str">
        <f t="shared" si="336"/>
        <v xml:space="preserve"> </v>
      </c>
      <c r="D2071" s="494">
        <f>[1]ppht!CO337</f>
        <v>0</v>
      </c>
      <c r="E2071" s="422"/>
      <c r="F2071" s="441" t="str">
        <f>VLOOKUP($B2071,[1]DG!A:D,[1]DG!$C$2,)</f>
        <v>Ghíp nối IPC 95-70</v>
      </c>
      <c r="G2071" s="422" t="str">
        <f>VLOOKUP($B2071,[1]DG!A:D,[1]DG!$D$2,)</f>
        <v>cái</v>
      </c>
      <c r="H2071" s="435">
        <f t="shared" si="337"/>
        <v>0</v>
      </c>
      <c r="I2071" s="435"/>
      <c r="J2071" s="435"/>
      <c r="K2071" s="435"/>
      <c r="L2071" s="435"/>
      <c r="M2071" s="435"/>
      <c r="N2071" s="435">
        <f t="shared" si="335"/>
        <v>0</v>
      </c>
      <c r="O2071" s="435"/>
      <c r="P2071" s="435">
        <f t="shared" si="332"/>
        <v>0</v>
      </c>
      <c r="Q2071" s="442"/>
      <c r="R2071" s="442"/>
      <c r="S2071" s="442"/>
      <c r="T2071" s="432">
        <f t="shared" si="334"/>
        <v>0</v>
      </c>
    </row>
    <row r="2072" spans="1:20" ht="22.2" hidden="1" customHeight="1">
      <c r="A2072" s="379"/>
      <c r="B2072" s="410" t="s">
        <v>1321</v>
      </c>
      <c r="C2072" s="469" t="str">
        <f t="shared" si="336"/>
        <v xml:space="preserve"> </v>
      </c>
      <c r="D2072" s="494">
        <f>[1]ppht!CK337*0</f>
        <v>0</v>
      </c>
      <c r="E2072" s="422"/>
      <c r="F2072" s="441" t="str">
        <f>VLOOKUP($B2072,[1]DG!A:D,[1]DG!$C$2,)</f>
        <v>Ghíp nối IPC 150-70</v>
      </c>
      <c r="G2072" s="422" t="str">
        <f>VLOOKUP($B2072,[1]DG!A:D,[1]DG!$D$2,)</f>
        <v>cái</v>
      </c>
      <c r="H2072" s="435">
        <f>D2072+T2072</f>
        <v>0</v>
      </c>
      <c r="I2072" s="435"/>
      <c r="J2072" s="435"/>
      <c r="K2072" s="435"/>
      <c r="L2072" s="435"/>
      <c r="M2072" s="435"/>
      <c r="N2072" s="435">
        <f t="shared" si="335"/>
        <v>0</v>
      </c>
      <c r="O2072" s="435"/>
      <c r="P2072" s="435">
        <f>H2072+Q2072-R2072</f>
        <v>0</v>
      </c>
      <c r="Q2072" s="442"/>
      <c r="R2072" s="442"/>
      <c r="S2072" s="442"/>
      <c r="T2072" s="432">
        <f t="shared" si="334"/>
        <v>0</v>
      </c>
    </row>
    <row r="2073" spans="1:20" ht="22.2" hidden="1" customHeight="1">
      <c r="A2073" s="379"/>
      <c r="B2073" s="410" t="s">
        <v>1322</v>
      </c>
      <c r="C2073" s="469" t="str">
        <f t="shared" si="336"/>
        <v xml:space="preserve"> </v>
      </c>
      <c r="D2073" s="494">
        <f>[1]ppht!CL337</f>
        <v>0</v>
      </c>
      <c r="E2073" s="422"/>
      <c r="F2073" s="441" t="str">
        <f>VLOOKUP($B2073,[1]DG!A:D,[1]DG!$C$2,)</f>
        <v>Ghíp nối IPC 95-150</v>
      </c>
      <c r="G2073" s="422" t="str">
        <f>VLOOKUP($B2073,[1]DG!A:D,[1]DG!$D$2,)</f>
        <v>cái</v>
      </c>
      <c r="H2073" s="435">
        <f>D2073</f>
        <v>0</v>
      </c>
      <c r="I2073" s="435"/>
      <c r="J2073" s="435"/>
      <c r="K2073" s="435"/>
      <c r="L2073" s="435"/>
      <c r="M2073" s="435"/>
      <c r="N2073" s="435">
        <f t="shared" si="335"/>
        <v>0</v>
      </c>
      <c r="O2073" s="435"/>
      <c r="P2073" s="435">
        <f>H2073+Q2073-R2073</f>
        <v>0</v>
      </c>
      <c r="Q2073" s="442"/>
      <c r="R2073" s="442"/>
      <c r="S2073" s="442"/>
      <c r="T2073" s="432">
        <f t="shared" si="334"/>
        <v>0</v>
      </c>
    </row>
    <row r="2074" spans="1:20" ht="22.2" hidden="1" customHeight="1">
      <c r="A2074" s="379"/>
      <c r="B2074" s="410" t="s">
        <v>1323</v>
      </c>
      <c r="C2074" s="469" t="str">
        <f t="shared" si="336"/>
        <v xml:space="preserve"> </v>
      </c>
      <c r="D2074" s="494">
        <f>[1]ppht!CM337</f>
        <v>0</v>
      </c>
      <c r="E2074" s="422"/>
      <c r="F2074" s="441" t="str">
        <f>VLOOKUP($B2074,[1]DG!A:D,[1]DG!$C$2,)&amp;" (2 boulon)"</f>
        <v>Ghíp nối IPC 95-25 (2 bulong) (2 boulon)</v>
      </c>
      <c r="G2074" s="422" t="str">
        <f>VLOOKUP($B2074,[1]DG!A:D,[1]DG!$D$2,)</f>
        <v>cái</v>
      </c>
      <c r="H2074" s="435">
        <f>D2074</f>
        <v>0</v>
      </c>
      <c r="I2074" s="435"/>
      <c r="J2074" s="435"/>
      <c r="K2074" s="435"/>
      <c r="L2074" s="435"/>
      <c r="M2074" s="435"/>
      <c r="N2074" s="435">
        <f t="shared" si="335"/>
        <v>0</v>
      </c>
      <c r="O2074" s="435"/>
      <c r="P2074" s="435">
        <f t="shared" si="332"/>
        <v>0</v>
      </c>
      <c r="Q2074" s="442"/>
      <c r="R2074" s="442"/>
      <c r="S2074" s="442"/>
      <c r="T2074" s="432">
        <f t="shared" si="334"/>
        <v>0</v>
      </c>
    </row>
    <row r="2075" spans="1:20" ht="22.2" hidden="1" customHeight="1">
      <c r="A2075" s="379"/>
      <c r="B2075" s="410" t="s">
        <v>1324</v>
      </c>
      <c r="C2075" s="469" t="str">
        <f t="shared" si="336"/>
        <v xml:space="preserve"> </v>
      </c>
      <c r="D2075" s="494">
        <f>[1]ppht!CP337</f>
        <v>0</v>
      </c>
      <c r="E2075" s="422"/>
      <c r="F2075" s="441" t="str">
        <f>VLOOKUP($B2075,[1]DG!A:D,[1]DG!$C$2,)&amp;" (2 boulon)"</f>
        <v>Ghíp nối IPC 95-95 (2 boulon)</v>
      </c>
      <c r="G2075" s="422" t="str">
        <f>VLOOKUP($B2075,[1]DG!A:D,[1]DG!$D$2,)</f>
        <v>cái</v>
      </c>
      <c r="H2075" s="435">
        <f>D2075</f>
        <v>0</v>
      </c>
      <c r="I2075" s="435"/>
      <c r="J2075" s="435"/>
      <c r="K2075" s="435"/>
      <c r="L2075" s="435"/>
      <c r="M2075" s="435"/>
      <c r="N2075" s="435">
        <f t="shared" si="335"/>
        <v>0</v>
      </c>
      <c r="O2075" s="435"/>
      <c r="P2075" s="435">
        <f t="shared" si="332"/>
        <v>0</v>
      </c>
      <c r="Q2075" s="442"/>
      <c r="R2075" s="442"/>
      <c r="S2075" s="442"/>
      <c r="T2075" s="432">
        <f t="shared" si="334"/>
        <v>0</v>
      </c>
    </row>
    <row r="2076" spans="1:20" ht="22.2" hidden="1" customHeight="1">
      <c r="A2076" s="379"/>
      <c r="B2076" s="410" t="s">
        <v>1325</v>
      </c>
      <c r="C2076" s="469" t="str">
        <f t="shared" si="336"/>
        <v xml:space="preserve"> </v>
      </c>
      <c r="D2076" s="494">
        <f>[1]ppht!CN337</f>
        <v>0</v>
      </c>
      <c r="E2076" s="422"/>
      <c r="F2076" s="441" t="str">
        <f>VLOOKUP($B2076,[1]DG!A:D,[1]DG!$C$2,)</f>
        <v>Ghíp nối IPC 95-50 1 bulong</v>
      </c>
      <c r="G2076" s="422" t="str">
        <f>VLOOKUP($B2076,[1]DG!A:D,[1]DG!$D$2,)</f>
        <v>cái</v>
      </c>
      <c r="H2076" s="435">
        <f>D2076</f>
        <v>0</v>
      </c>
      <c r="I2076" s="435"/>
      <c r="J2076" s="435"/>
      <c r="K2076" s="435"/>
      <c r="L2076" s="435"/>
      <c r="M2076" s="435"/>
      <c r="N2076" s="435">
        <f t="shared" si="335"/>
        <v>0</v>
      </c>
      <c r="O2076" s="435"/>
      <c r="P2076" s="435">
        <f t="shared" si="332"/>
        <v>0</v>
      </c>
      <c r="Q2076" s="442"/>
      <c r="R2076" s="442"/>
      <c r="S2076" s="442"/>
      <c r="T2076" s="432">
        <f t="shared" si="334"/>
        <v>0</v>
      </c>
    </row>
    <row r="2077" spans="1:20" ht="22.2" hidden="1" customHeight="1">
      <c r="A2077" s="379"/>
      <c r="B2077" s="410" t="s">
        <v>1159</v>
      </c>
      <c r="C2077" s="469" t="str">
        <f t="shared" si="336"/>
        <v xml:space="preserve"> </v>
      </c>
      <c r="D2077" s="494"/>
      <c r="E2077" s="422"/>
      <c r="F2077" s="441" t="str">
        <f>VLOOKUP($B2077,[1]DG!A:D,[1]DG!$C$2,)</f>
        <v>Kẹp ép WR cỡ dây 95mm2</v>
      </c>
      <c r="G2077" s="422" t="str">
        <f>VLOOKUP($B2077,[1]DG!A:D,[1]DG!$D$2,)</f>
        <v>cái</v>
      </c>
      <c r="H2077" s="435">
        <f>D2077+T2077</f>
        <v>0</v>
      </c>
      <c r="I2077" s="435"/>
      <c r="J2077" s="435"/>
      <c r="K2077" s="435"/>
      <c r="L2077" s="435"/>
      <c r="M2077" s="435"/>
      <c r="N2077" s="435">
        <f t="shared" si="335"/>
        <v>0</v>
      </c>
      <c r="O2077" s="435"/>
      <c r="P2077" s="435">
        <f t="shared" si="332"/>
        <v>0</v>
      </c>
      <c r="Q2077" s="442"/>
      <c r="R2077" s="442"/>
      <c r="S2077" s="442"/>
      <c r="T2077" s="432">
        <f t="shared" si="334"/>
        <v>0</v>
      </c>
    </row>
    <row r="2078" spans="1:20" ht="22.2" hidden="1" customHeight="1">
      <c r="A2078" s="379"/>
      <c r="B2078" s="410" t="s">
        <v>806</v>
      </c>
      <c r="C2078" s="469" t="str">
        <f t="shared" si="336"/>
        <v xml:space="preserve"> </v>
      </c>
      <c r="D2078" s="494">
        <f>[1]ppht!CH337</f>
        <v>0</v>
      </c>
      <c r="E2078" s="422"/>
      <c r="F2078" s="441" t="str">
        <f>VLOOKUP($B2078,[1]DG!A:D,[1]DG!$C$2,)</f>
        <v>Ghíp nối IPC 50-35</v>
      </c>
      <c r="G2078" s="422" t="str">
        <f>VLOOKUP($B2078,[1]DG!A:D,[1]DG!$D$2,)</f>
        <v>cái</v>
      </c>
      <c r="H2078" s="435">
        <f t="shared" ref="H2078:H2131" si="339">D2078</f>
        <v>0</v>
      </c>
      <c r="I2078" s="435"/>
      <c r="J2078" s="435"/>
      <c r="K2078" s="435"/>
      <c r="L2078" s="435"/>
      <c r="M2078" s="435"/>
      <c r="N2078" s="435">
        <f t="shared" si="335"/>
        <v>0</v>
      </c>
      <c r="O2078" s="435"/>
      <c r="P2078" s="435">
        <f t="shared" si="332"/>
        <v>0</v>
      </c>
      <c r="Q2078" s="442"/>
      <c r="R2078" s="442"/>
      <c r="S2078" s="442"/>
      <c r="T2078" s="432">
        <f t="shared" si="334"/>
        <v>0</v>
      </c>
    </row>
    <row r="2079" spans="1:20" ht="22.2" hidden="1" customHeight="1">
      <c r="A2079" s="379"/>
      <c r="B2079" s="410" t="s">
        <v>155</v>
      </c>
      <c r="C2079" s="469" t="str">
        <f t="shared" si="336"/>
        <v xml:space="preserve"> </v>
      </c>
      <c r="D2079" s="440"/>
      <c r="E2079" s="422"/>
      <c r="F2079" s="441" t="str">
        <f>VLOOKUP($B2079,[1]DG!A:D,[1]DG!$C$2,)</f>
        <v>Đầu cosse ép Cu 70mm2</v>
      </c>
      <c r="G2079" s="422" t="str">
        <f>VLOOKUP($B2079,[1]DG!A:D,[1]DG!$D$2,)</f>
        <v>cái</v>
      </c>
      <c r="H2079" s="435">
        <f t="shared" si="339"/>
        <v>0</v>
      </c>
      <c r="I2079" s="435"/>
      <c r="J2079" s="435"/>
      <c r="K2079" s="435"/>
      <c r="L2079" s="435"/>
      <c r="M2079" s="435"/>
      <c r="N2079" s="435"/>
      <c r="O2079" s="435"/>
      <c r="P2079" s="435">
        <f t="shared" si="332"/>
        <v>0</v>
      </c>
      <c r="Q2079" s="437"/>
      <c r="R2079" s="437"/>
      <c r="S2079" s="437"/>
      <c r="T2079" s="432">
        <f t="shared" si="334"/>
        <v>0</v>
      </c>
    </row>
    <row r="2080" spans="1:20" ht="22.2" hidden="1" customHeight="1">
      <c r="A2080" s="379"/>
      <c r="B2080" s="410" t="s">
        <v>1326</v>
      </c>
      <c r="C2080" s="469" t="str">
        <f t="shared" si="336"/>
        <v xml:space="preserve"> </v>
      </c>
      <c r="D2080" s="440"/>
      <c r="E2080" s="422"/>
      <c r="F2080" s="441" t="str">
        <f>VLOOKUP($B2080,[1]DG!A:D,[1]DG!$C$2,)</f>
        <v>Kẹp ép WR 399</v>
      </c>
      <c r="G2080" s="422" t="str">
        <f>VLOOKUP($B2080,[1]DG!A:D,[1]DG!$D$2,)</f>
        <v>cái</v>
      </c>
      <c r="H2080" s="435">
        <f t="shared" si="339"/>
        <v>0</v>
      </c>
      <c r="I2080" s="435"/>
      <c r="J2080" s="435"/>
      <c r="K2080" s="435"/>
      <c r="L2080" s="435"/>
      <c r="M2080" s="435"/>
      <c r="N2080" s="435"/>
      <c r="O2080" s="435"/>
      <c r="P2080" s="435">
        <f t="shared" si="332"/>
        <v>0</v>
      </c>
      <c r="Q2080" s="437"/>
      <c r="R2080" s="437"/>
      <c r="S2080" s="437"/>
      <c r="T2080" s="432">
        <f t="shared" si="334"/>
        <v>0</v>
      </c>
    </row>
    <row r="2081" spans="1:20" ht="22.2" hidden="1" customHeight="1">
      <c r="A2081" s="379"/>
      <c r="B2081" s="534" t="s">
        <v>1327</v>
      </c>
      <c r="C2081" s="469" t="str">
        <f t="shared" si="336"/>
        <v xml:space="preserve"> </v>
      </c>
      <c r="D2081" s="494">
        <f>[1]ppht!DJ337+T2081</f>
        <v>0</v>
      </c>
      <c r="E2081" s="422"/>
      <c r="F2081" s="532" t="str">
        <f>VLOOKUP($B2081,[1]DG!A:D,[1]DG!$C$2,)</f>
        <v>Hộp phân phối (hộp rỗng)</v>
      </c>
      <c r="G2081" s="422" t="str">
        <f>VLOOKUP($B2081,[1]DG!A:D,[1]DG!$D$2,)</f>
        <v>cái</v>
      </c>
      <c r="H2081" s="435">
        <f t="shared" si="339"/>
        <v>0</v>
      </c>
      <c r="I2081" s="435"/>
      <c r="J2081" s="435"/>
      <c r="K2081" s="435"/>
      <c r="L2081" s="435"/>
      <c r="M2081" s="435"/>
      <c r="N2081" s="435">
        <f t="shared" ref="N2081:N2097" si="340">D2081</f>
        <v>0</v>
      </c>
      <c r="O2081" s="435"/>
      <c r="P2081" s="435">
        <f t="shared" si="332"/>
        <v>0</v>
      </c>
      <c r="Q2081" s="442"/>
      <c r="R2081" s="442"/>
      <c r="S2081" s="442"/>
      <c r="T2081" s="432">
        <f t="shared" si="334"/>
        <v>0</v>
      </c>
    </row>
    <row r="2082" spans="1:20" ht="22.2" hidden="1" customHeight="1">
      <c r="A2082" s="379"/>
      <c r="B2082" s="410" t="s">
        <v>104</v>
      </c>
      <c r="C2082" s="469" t="str">
        <f t="shared" si="336"/>
        <v xml:space="preserve"> </v>
      </c>
      <c r="D2082" s="440"/>
      <c r="E2082" s="422"/>
      <c r="F2082" s="441" t="str">
        <f>VLOOKUP($B2082,[1]DG!A:D,[1]DG!$C$2,)</f>
        <v>Cáp đồng bọc CV25</v>
      </c>
      <c r="G2082" s="422" t="str">
        <f>VLOOKUP($B2082,[1]DG!A:D,[1]DG!$D$2,)</f>
        <v>mét</v>
      </c>
      <c r="H2082" s="435">
        <f t="shared" si="339"/>
        <v>0</v>
      </c>
      <c r="I2082" s="435"/>
      <c r="J2082" s="435"/>
      <c r="K2082" s="435"/>
      <c r="L2082" s="435"/>
      <c r="M2082" s="435"/>
      <c r="N2082" s="435">
        <f t="shared" si="340"/>
        <v>0</v>
      </c>
      <c r="O2082" s="435"/>
      <c r="P2082" s="435">
        <f t="shared" si="332"/>
        <v>0</v>
      </c>
      <c r="Q2082" s="442"/>
      <c r="R2082" s="442"/>
      <c r="S2082" s="442"/>
      <c r="T2082" s="432">
        <f t="shared" si="334"/>
        <v>0</v>
      </c>
    </row>
    <row r="2083" spans="1:20" ht="22.2" hidden="1" customHeight="1">
      <c r="A2083" s="379"/>
      <c r="B2083" s="410" t="s">
        <v>1328</v>
      </c>
      <c r="C2083" s="469" t="str">
        <f t="shared" si="336"/>
        <v xml:space="preserve"> </v>
      </c>
      <c r="D2083" s="494">
        <f>[1]ppht!DI337</f>
        <v>0</v>
      </c>
      <c r="E2083" s="422" t="str">
        <f>VLOOKUP($B2083,[1]DG!A:D,[1]DG!$B$2,)</f>
        <v>06.1201</v>
      </c>
      <c r="F2083" s="441" t="s">
        <v>1329</v>
      </c>
      <c r="G2083" s="422" t="str">
        <f>VLOOKUP($B2083,[1]DG!A:D,[1]DG!$D$2,)</f>
        <v>cái</v>
      </c>
      <c r="H2083" s="435">
        <f t="shared" si="339"/>
        <v>0</v>
      </c>
      <c r="I2083" s="435"/>
      <c r="J2083" s="435"/>
      <c r="K2083" s="435"/>
      <c r="L2083" s="435"/>
      <c r="M2083" s="435"/>
      <c r="N2083" s="435">
        <f t="shared" si="340"/>
        <v>0</v>
      </c>
      <c r="O2083" s="435"/>
      <c r="P2083" s="435">
        <f t="shared" ref="P2083:P2149" si="341">H2083+Q2083-R2083</f>
        <v>0</v>
      </c>
      <c r="Q2083" s="442"/>
      <c r="R2083" s="442"/>
      <c r="S2083" s="442"/>
      <c r="T2083" s="432">
        <f t="shared" si="334"/>
        <v>0</v>
      </c>
    </row>
    <row r="2084" spans="1:20" ht="22.2" hidden="1" customHeight="1">
      <c r="A2084" s="379"/>
      <c r="B2084" s="410" t="s">
        <v>1330</v>
      </c>
      <c r="C2084" s="469" t="str">
        <f t="shared" si="336"/>
        <v xml:space="preserve"> </v>
      </c>
      <c r="D2084" s="494">
        <f>[1]ppht!DA337</f>
        <v>0</v>
      </c>
      <c r="E2084" s="422"/>
      <c r="F2084" s="441" t="str">
        <f>VLOOKUP($B2084,[1]DG!A:D,[1]DG!$C$2,)</f>
        <v>Kẹp treo cáp ABC4x120mm2</v>
      </c>
      <c r="G2084" s="422" t="str">
        <f>VLOOKUP($B2084,[1]DG!A:D,[1]DG!$D$2,)</f>
        <v>cái</v>
      </c>
      <c r="H2084" s="435">
        <f t="shared" si="339"/>
        <v>0</v>
      </c>
      <c r="I2084" s="435"/>
      <c r="J2084" s="435"/>
      <c r="K2084" s="435"/>
      <c r="L2084" s="435"/>
      <c r="M2084" s="435"/>
      <c r="N2084" s="435">
        <f t="shared" si="340"/>
        <v>0</v>
      </c>
      <c r="O2084" s="435"/>
      <c r="P2084" s="435">
        <f t="shared" si="341"/>
        <v>0</v>
      </c>
      <c r="Q2084" s="442"/>
      <c r="R2084" s="442"/>
      <c r="S2084" s="442"/>
      <c r="T2084" s="432">
        <f t="shared" si="334"/>
        <v>0</v>
      </c>
    </row>
    <row r="2085" spans="1:20" ht="22.2" hidden="1" customHeight="1">
      <c r="A2085" s="379"/>
      <c r="B2085" s="534" t="s">
        <v>1331</v>
      </c>
      <c r="C2085" s="469" t="str">
        <f t="shared" si="336"/>
        <v xml:space="preserve"> </v>
      </c>
      <c r="D2085" s="494">
        <f>[1]ppht!DB337*0</f>
        <v>0</v>
      </c>
      <c r="E2085" s="422"/>
      <c r="F2085" s="441" t="str">
        <f>VLOOKUP($B2085,[1]DG!A:D,[1]DG!$C$2,)</f>
        <v>Kẹp treo cáp ABC4x95mm2</v>
      </c>
      <c r="G2085" s="422" t="str">
        <f>VLOOKUP($B2085,[1]DG!A:D,[1]DG!$D$2,)</f>
        <v>cái</v>
      </c>
      <c r="H2085" s="435">
        <f t="shared" si="339"/>
        <v>0</v>
      </c>
      <c r="I2085" s="435"/>
      <c r="J2085" s="435"/>
      <c r="K2085" s="435"/>
      <c r="L2085" s="435"/>
      <c r="M2085" s="435"/>
      <c r="N2085" s="435">
        <f t="shared" si="340"/>
        <v>0</v>
      </c>
      <c r="O2085" s="435"/>
      <c r="P2085" s="435">
        <f t="shared" si="341"/>
        <v>0</v>
      </c>
      <c r="Q2085" s="442"/>
      <c r="R2085" s="442"/>
      <c r="S2085" s="442"/>
      <c r="T2085" s="432">
        <f t="shared" si="334"/>
        <v>0</v>
      </c>
    </row>
    <row r="2086" spans="1:20" ht="22.2" hidden="1" customHeight="1">
      <c r="A2086" s="379"/>
      <c r="B2086" s="410" t="s">
        <v>1332</v>
      </c>
      <c r="C2086" s="469" t="str">
        <f t="shared" si="336"/>
        <v xml:space="preserve"> </v>
      </c>
      <c r="D2086" s="494">
        <f>[1]ppht!DC337</f>
        <v>0</v>
      </c>
      <c r="E2086" s="422" t="str">
        <f>VLOOKUP($B2086,[1]DG!A:D,[1]DG!$B$2,)</f>
        <v>06.1201</v>
      </c>
      <c r="F2086" s="441" t="str">
        <f>VLOOKUP($B2086,[1]DG!A:D,[1]DG!$C$2,)</f>
        <v>Kẹp treo cáp ABC4x70mm2</v>
      </c>
      <c r="G2086" s="422" t="str">
        <f>VLOOKUP($B2086,[1]DG!A:D,[1]DG!$D$2,)</f>
        <v>cái</v>
      </c>
      <c r="H2086" s="435">
        <f t="shared" si="339"/>
        <v>0</v>
      </c>
      <c r="I2086" s="435"/>
      <c r="J2086" s="435"/>
      <c r="K2086" s="435"/>
      <c r="L2086" s="435"/>
      <c r="M2086" s="435"/>
      <c r="N2086" s="435">
        <f t="shared" si="340"/>
        <v>0</v>
      </c>
      <c r="O2086" s="435"/>
      <c r="P2086" s="435">
        <f t="shared" si="341"/>
        <v>0</v>
      </c>
      <c r="Q2086" s="442"/>
      <c r="R2086" s="442"/>
      <c r="S2086" s="442"/>
      <c r="T2086" s="432">
        <f t="shared" si="334"/>
        <v>0</v>
      </c>
    </row>
    <row r="2087" spans="1:20" ht="22.2" hidden="1" customHeight="1">
      <c r="A2087" s="379"/>
      <c r="B2087" s="410" t="s">
        <v>1333</v>
      </c>
      <c r="C2087" s="469" t="str">
        <f t="shared" si="336"/>
        <v xml:space="preserve"> </v>
      </c>
      <c r="D2087" s="494">
        <f>[1]ppht!DD337</f>
        <v>0</v>
      </c>
      <c r="E2087" s="422"/>
      <c r="F2087" s="441" t="str">
        <f>VLOOKUP($B2087,[1]DG!A:D,[1]DG!$C$2,)</f>
        <v>Kẹp treo cáp ABC4x50mm2</v>
      </c>
      <c r="G2087" s="422" t="str">
        <f>VLOOKUP($B2087,[1]DG!A:D,[1]DG!$D$2,)</f>
        <v>cái</v>
      </c>
      <c r="H2087" s="435">
        <f t="shared" si="339"/>
        <v>0</v>
      </c>
      <c r="I2087" s="435"/>
      <c r="J2087" s="435"/>
      <c r="K2087" s="435"/>
      <c r="L2087" s="435"/>
      <c r="M2087" s="435"/>
      <c r="N2087" s="435">
        <f t="shared" si="340"/>
        <v>0</v>
      </c>
      <c r="O2087" s="435"/>
      <c r="P2087" s="435">
        <f t="shared" si="341"/>
        <v>0</v>
      </c>
      <c r="Q2087" s="442"/>
      <c r="R2087" s="442"/>
      <c r="S2087" s="442"/>
      <c r="T2087" s="432">
        <f t="shared" si="334"/>
        <v>0</v>
      </c>
    </row>
    <row r="2088" spans="1:20" ht="22.2" hidden="1" customHeight="1">
      <c r="A2088" s="379"/>
      <c r="B2088" s="534" t="s">
        <v>1334</v>
      </c>
      <c r="C2088" s="469" t="str">
        <f t="shared" si="336"/>
        <v xml:space="preserve"> </v>
      </c>
      <c r="D2088" s="440">
        <f>[1]ppht!DO337</f>
        <v>0</v>
      </c>
      <c r="E2088" s="422"/>
      <c r="F2088" s="441" t="str">
        <f>VLOOKUP($B2088,[1]DG!A:D,[1]DG!$C$2,)</f>
        <v>Móc treo chữ A</v>
      </c>
      <c r="G2088" s="422" t="str">
        <f>VLOOKUP($B2088,[1]DG!A:D,[1]DG!$D$2,)</f>
        <v>cái</v>
      </c>
      <c r="H2088" s="435">
        <f t="shared" si="339"/>
        <v>0</v>
      </c>
      <c r="I2088" s="435"/>
      <c r="J2088" s="435"/>
      <c r="K2088" s="435"/>
      <c r="L2088" s="435"/>
      <c r="M2088" s="435"/>
      <c r="N2088" s="435">
        <f t="shared" si="340"/>
        <v>0</v>
      </c>
      <c r="O2088" s="435"/>
      <c r="P2088" s="435">
        <f t="shared" si="341"/>
        <v>0</v>
      </c>
      <c r="Q2088" s="442"/>
      <c r="R2088" s="442"/>
      <c r="S2088" s="442"/>
      <c r="T2088" s="432">
        <f t="shared" si="334"/>
        <v>0</v>
      </c>
    </row>
    <row r="2089" spans="1:20" ht="22.2" hidden="1" customHeight="1">
      <c r="A2089" s="379"/>
      <c r="B2089" s="410" t="s">
        <v>1335</v>
      </c>
      <c r="C2089" s="469" t="str">
        <f t="shared" si="336"/>
        <v xml:space="preserve"> </v>
      </c>
      <c r="D2089" s="440">
        <f>[1]ppht!DE337</f>
        <v>0</v>
      </c>
      <c r="E2089" s="422"/>
      <c r="F2089" s="441" t="str">
        <f>VLOOKUP($B2089,[1]DG!A:D,[1]DG!$C$2,)</f>
        <v>Kẹp ngừng cáp ABC4x150mm2</v>
      </c>
      <c r="G2089" s="422" t="str">
        <f>VLOOKUP($B2089,[1]DG!A:D,[1]DG!$D$2,)</f>
        <v>cái</v>
      </c>
      <c r="H2089" s="435">
        <f t="shared" si="339"/>
        <v>0</v>
      </c>
      <c r="I2089" s="435"/>
      <c r="J2089" s="435"/>
      <c r="K2089" s="435"/>
      <c r="L2089" s="435"/>
      <c r="M2089" s="435"/>
      <c r="N2089" s="435">
        <f t="shared" si="340"/>
        <v>0</v>
      </c>
      <c r="O2089" s="435"/>
      <c r="P2089" s="435">
        <f t="shared" si="341"/>
        <v>0</v>
      </c>
      <c r="Q2089" s="442"/>
      <c r="R2089" s="442"/>
      <c r="S2089" s="442"/>
      <c r="T2089" s="432">
        <f t="shared" si="334"/>
        <v>0</v>
      </c>
    </row>
    <row r="2090" spans="1:20" ht="22.2" hidden="1" customHeight="1">
      <c r="A2090" s="379"/>
      <c r="B2090" s="534" t="s">
        <v>1276</v>
      </c>
      <c r="C2090" s="469" t="str">
        <f t="shared" si="336"/>
        <v xml:space="preserve"> </v>
      </c>
      <c r="D2090" s="440">
        <f>[1]ppht!DF337</f>
        <v>0</v>
      </c>
      <c r="E2090" s="422"/>
      <c r="F2090" s="441" t="str">
        <f>VLOOKUP($B2090,[1]DG!A:D,[1]DG!$C$2,)</f>
        <v>Kẹp ngừng cáp ABC4x95mm2</v>
      </c>
      <c r="G2090" s="422" t="str">
        <f>VLOOKUP($B2090,[1]DG!A:D,[1]DG!$D$2,)</f>
        <v>cái</v>
      </c>
      <c r="H2090" s="435">
        <f t="shared" si="339"/>
        <v>0</v>
      </c>
      <c r="I2090" s="435"/>
      <c r="J2090" s="435"/>
      <c r="K2090" s="435"/>
      <c r="L2090" s="435"/>
      <c r="M2090" s="435"/>
      <c r="N2090" s="435">
        <f t="shared" si="340"/>
        <v>0</v>
      </c>
      <c r="O2090" s="435"/>
      <c r="P2090" s="435">
        <f t="shared" si="341"/>
        <v>0</v>
      </c>
      <c r="Q2090" s="442"/>
      <c r="R2090" s="442"/>
      <c r="S2090" s="442"/>
      <c r="T2090" s="432">
        <f t="shared" si="334"/>
        <v>0</v>
      </c>
    </row>
    <row r="2091" spans="1:20" ht="22.2" hidden="1" customHeight="1">
      <c r="A2091" s="379"/>
      <c r="B2091" s="410" t="s">
        <v>1336</v>
      </c>
      <c r="C2091" s="469" t="str">
        <f t="shared" si="336"/>
        <v xml:space="preserve"> </v>
      </c>
      <c r="D2091" s="440">
        <f>[1]ppht!DG337</f>
        <v>0</v>
      </c>
      <c r="E2091" s="422" t="str">
        <f>VLOOKUP($B2091,[1]DG!A:D,[1]DG!$B$2,)</f>
        <v>06.1201</v>
      </c>
      <c r="F2091" s="441" t="str">
        <f>VLOOKUP($B2091,[1]DG!A:D,[1]DG!$C$2,)</f>
        <v>Kẹp ngừng cáp ABC4x70mm2</v>
      </c>
      <c r="G2091" s="422" t="str">
        <f>VLOOKUP($B2091,[1]DG!A:D,[1]DG!$D$2,)</f>
        <v>cái</v>
      </c>
      <c r="H2091" s="435">
        <f t="shared" si="339"/>
        <v>0</v>
      </c>
      <c r="I2091" s="435"/>
      <c r="J2091" s="435"/>
      <c r="K2091" s="435"/>
      <c r="L2091" s="435"/>
      <c r="M2091" s="435"/>
      <c r="N2091" s="435">
        <f t="shared" si="340"/>
        <v>0</v>
      </c>
      <c r="O2091" s="435"/>
      <c r="P2091" s="435">
        <f t="shared" si="341"/>
        <v>0</v>
      </c>
      <c r="Q2091" s="442"/>
      <c r="R2091" s="442"/>
      <c r="S2091" s="442"/>
      <c r="T2091" s="432">
        <f t="shared" si="334"/>
        <v>0</v>
      </c>
    </row>
    <row r="2092" spans="1:20" ht="22.2" hidden="1" customHeight="1">
      <c r="A2092" s="379"/>
      <c r="B2092" s="410" t="s">
        <v>1337</v>
      </c>
      <c r="C2092" s="469" t="str">
        <f t="shared" si="336"/>
        <v xml:space="preserve"> </v>
      </c>
      <c r="D2092" s="440">
        <f>[1]ppht!DH337</f>
        <v>0</v>
      </c>
      <c r="E2092" s="422"/>
      <c r="F2092" s="441" t="str">
        <f>VLOOKUP($B2092,[1]DG!A:D,[1]DG!$C$2,)</f>
        <v>Kẹp ngừng cáp ABC4x50mm2</v>
      </c>
      <c r="G2092" s="422" t="str">
        <f>VLOOKUP($B2092,[1]DG!A:D,[1]DG!$D$2,)</f>
        <v>cái</v>
      </c>
      <c r="H2092" s="435">
        <f t="shared" si="339"/>
        <v>0</v>
      </c>
      <c r="I2092" s="435"/>
      <c r="J2092" s="435"/>
      <c r="K2092" s="435"/>
      <c r="L2092" s="435"/>
      <c r="M2092" s="435"/>
      <c r="N2092" s="435">
        <f t="shared" si="340"/>
        <v>0</v>
      </c>
      <c r="O2092" s="435"/>
      <c r="P2092" s="435">
        <f t="shared" si="341"/>
        <v>0</v>
      </c>
      <c r="Q2092" s="442"/>
      <c r="R2092" s="442"/>
      <c r="S2092" s="442"/>
      <c r="T2092" s="432">
        <f t="shared" si="334"/>
        <v>0</v>
      </c>
    </row>
    <row r="2093" spans="1:20" ht="22.2" hidden="1" customHeight="1">
      <c r="A2093" s="379"/>
      <c r="B2093" s="410" t="s">
        <v>1338</v>
      </c>
      <c r="C2093" s="469" t="str">
        <f t="shared" si="336"/>
        <v xml:space="preserve"> </v>
      </c>
      <c r="D2093" s="440">
        <f>[1]ppht!CV337</f>
        <v>0</v>
      </c>
      <c r="E2093" s="422"/>
      <c r="F2093" s="441" t="str">
        <f>VLOOKUP($B2093,[1]DG!A:D,[1]DG!$C$2,)</f>
        <v>Nắp bịt đầu cáp ABC150mm2</v>
      </c>
      <c r="G2093" s="422" t="str">
        <f>VLOOKUP($B2093,[1]DG!A:D,[1]DG!$D$2,)</f>
        <v>cái</v>
      </c>
      <c r="H2093" s="435">
        <f t="shared" si="339"/>
        <v>0</v>
      </c>
      <c r="I2093" s="435"/>
      <c r="J2093" s="435"/>
      <c r="K2093" s="435"/>
      <c r="L2093" s="435"/>
      <c r="M2093" s="435"/>
      <c r="N2093" s="435">
        <f t="shared" si="340"/>
        <v>0</v>
      </c>
      <c r="O2093" s="435"/>
      <c r="P2093" s="435">
        <f t="shared" si="341"/>
        <v>0</v>
      </c>
      <c r="Q2093" s="442"/>
      <c r="R2093" s="442"/>
      <c r="S2093" s="442"/>
      <c r="T2093" s="432">
        <f t="shared" ref="T2093:T2156" si="342">IFERROR(HLOOKUP(B2093,BangKeTru,3,0),0)</f>
        <v>0</v>
      </c>
    </row>
    <row r="2094" spans="1:20" ht="22.2" hidden="1" customHeight="1">
      <c r="A2094" s="379"/>
      <c r="B2094" s="410" t="s">
        <v>1339</v>
      </c>
      <c r="C2094" s="469" t="str">
        <f t="shared" si="336"/>
        <v xml:space="preserve"> </v>
      </c>
      <c r="D2094" s="440">
        <f>[1]ppht!CW337</f>
        <v>0</v>
      </c>
      <c r="E2094" s="422"/>
      <c r="F2094" s="441" t="str">
        <f>VLOOKUP($B2094,[1]DG!A:D,[1]DG!$C$2,)</f>
        <v>Nắp bịt đầu cáp ABC95mm2</v>
      </c>
      <c r="G2094" s="422" t="str">
        <f>VLOOKUP($B2094,[1]DG!A:D,[1]DG!$D$2,)</f>
        <v>cái</v>
      </c>
      <c r="H2094" s="435">
        <f t="shared" si="339"/>
        <v>0</v>
      </c>
      <c r="I2094" s="435"/>
      <c r="J2094" s="435"/>
      <c r="K2094" s="435"/>
      <c r="L2094" s="435"/>
      <c r="M2094" s="435"/>
      <c r="N2094" s="435">
        <f t="shared" si="340"/>
        <v>0</v>
      </c>
      <c r="O2094" s="435"/>
      <c r="P2094" s="435">
        <f t="shared" si="341"/>
        <v>0</v>
      </c>
      <c r="Q2094" s="442"/>
      <c r="R2094" s="442"/>
      <c r="S2094" s="442"/>
      <c r="T2094" s="432">
        <f t="shared" si="342"/>
        <v>0</v>
      </c>
    </row>
    <row r="2095" spans="1:20" ht="22.2" hidden="1" customHeight="1">
      <c r="A2095" s="379"/>
      <c r="B2095" s="410" t="s">
        <v>1340</v>
      </c>
      <c r="C2095" s="469" t="str">
        <f t="shared" si="336"/>
        <v xml:space="preserve"> </v>
      </c>
      <c r="D2095" s="440">
        <f>[1]ppht!CX337</f>
        <v>0</v>
      </c>
      <c r="E2095" s="422"/>
      <c r="F2095" s="441" t="str">
        <f>VLOOKUP($B2095,[1]DG!A:D,[1]DG!$C$2,)</f>
        <v>Nắp bịt đầu cáp ABC70mm2</v>
      </c>
      <c r="G2095" s="422" t="str">
        <f>VLOOKUP($B2095,[1]DG!A:D,[1]DG!$D$2,)</f>
        <v>cái</v>
      </c>
      <c r="H2095" s="435">
        <f t="shared" si="339"/>
        <v>0</v>
      </c>
      <c r="I2095" s="435"/>
      <c r="J2095" s="435"/>
      <c r="K2095" s="435"/>
      <c r="L2095" s="435"/>
      <c r="M2095" s="435"/>
      <c r="N2095" s="435">
        <f t="shared" si="340"/>
        <v>0</v>
      </c>
      <c r="O2095" s="435"/>
      <c r="P2095" s="435">
        <f t="shared" si="341"/>
        <v>0</v>
      </c>
      <c r="Q2095" s="442"/>
      <c r="R2095" s="442"/>
      <c r="S2095" s="442"/>
      <c r="T2095" s="432">
        <f t="shared" si="342"/>
        <v>0</v>
      </c>
    </row>
    <row r="2096" spans="1:20" ht="22.2" hidden="1" customHeight="1">
      <c r="A2096" s="379"/>
      <c r="B2096" s="410" t="s">
        <v>1341</v>
      </c>
      <c r="C2096" s="469" t="str">
        <f t="shared" si="336"/>
        <v xml:space="preserve"> </v>
      </c>
      <c r="D2096" s="440">
        <f>[1]ppht!CZ341</f>
        <v>0</v>
      </c>
      <c r="E2096" s="422"/>
      <c r="F2096" s="441" t="str">
        <f>VLOOKUP($B2096,[1]DG!A:D,[1]DG!$C$2,)</f>
        <v>Nắp bịt đầu cáp ABC50mm2</v>
      </c>
      <c r="G2096" s="422" t="str">
        <f>VLOOKUP($B2096,[1]DG!A:D,[1]DG!$D$2,)</f>
        <v>cái</v>
      </c>
      <c r="H2096" s="435">
        <f t="shared" si="339"/>
        <v>0</v>
      </c>
      <c r="I2096" s="435"/>
      <c r="J2096" s="435"/>
      <c r="K2096" s="435"/>
      <c r="L2096" s="435"/>
      <c r="M2096" s="435"/>
      <c r="N2096" s="435">
        <f t="shared" si="340"/>
        <v>0</v>
      </c>
      <c r="O2096" s="435"/>
      <c r="P2096" s="435">
        <f t="shared" si="341"/>
        <v>0</v>
      </c>
      <c r="Q2096" s="442"/>
      <c r="R2096" s="442"/>
      <c r="S2096" s="442"/>
      <c r="T2096" s="432">
        <f t="shared" si="342"/>
        <v>0</v>
      </c>
    </row>
    <row r="2097" spans="1:20" ht="22.2" hidden="1" customHeight="1">
      <c r="A2097" s="379"/>
      <c r="B2097" s="410" t="s">
        <v>1342</v>
      </c>
      <c r="C2097" s="469" t="str">
        <f t="shared" si="336"/>
        <v xml:space="preserve"> </v>
      </c>
      <c r="D2097" s="440">
        <f>+[1]ppht!CY341</f>
        <v>0</v>
      </c>
      <c r="E2097" s="422"/>
      <c r="F2097" s="441" t="str">
        <f>VLOOKUP($B2097,[1]DG!A:D,[1]DG!$C$2,)</f>
        <v>Nắp bịt đầu cáp 35mm2</v>
      </c>
      <c r="G2097" s="422" t="str">
        <f>VLOOKUP($B2097,[1]DG!A:D,[1]DG!$D$2,)</f>
        <v>cái</v>
      </c>
      <c r="H2097" s="435">
        <f t="shared" si="339"/>
        <v>0</v>
      </c>
      <c r="I2097" s="435"/>
      <c r="J2097" s="435"/>
      <c r="K2097" s="435"/>
      <c r="L2097" s="435"/>
      <c r="M2097" s="435"/>
      <c r="N2097" s="435">
        <f t="shared" si="340"/>
        <v>0</v>
      </c>
      <c r="O2097" s="435"/>
      <c r="P2097" s="435">
        <f t="shared" si="341"/>
        <v>0</v>
      </c>
      <c r="Q2097" s="442"/>
      <c r="R2097" s="442"/>
      <c r="S2097" s="442"/>
      <c r="T2097" s="432">
        <f t="shared" si="342"/>
        <v>0</v>
      </c>
    </row>
    <row r="2098" spans="1:20" ht="22.2" hidden="1" customHeight="1">
      <c r="A2098" s="379"/>
      <c r="B2098" s="380" t="s">
        <v>84</v>
      </c>
      <c r="C2098" s="469" t="str">
        <f t="shared" si="336"/>
        <v xml:space="preserve"> </v>
      </c>
      <c r="D2098" s="440"/>
      <c r="E2098" s="422"/>
      <c r="F2098" s="441" t="str">
        <f>VLOOKUP($B2098,[1]DG!A:D,[1]DG!$C$2,)</f>
        <v>Kẹp ép WR cỡ dây 50mm2</v>
      </c>
      <c r="G2098" s="422" t="str">
        <f>VLOOKUP($B2098,[1]DG!A:D,[1]DG!$D$2,)</f>
        <v>cái</v>
      </c>
      <c r="H2098" s="435">
        <f t="shared" si="339"/>
        <v>0</v>
      </c>
      <c r="I2098" s="435"/>
      <c r="J2098" s="435"/>
      <c r="K2098" s="435"/>
      <c r="L2098" s="435"/>
      <c r="M2098" s="435"/>
      <c r="N2098" s="435"/>
      <c r="O2098" s="435"/>
      <c r="P2098" s="435">
        <f t="shared" si="341"/>
        <v>0</v>
      </c>
      <c r="Q2098" s="437"/>
      <c r="R2098" s="437"/>
      <c r="S2098" s="437"/>
      <c r="T2098" s="432">
        <f t="shared" si="342"/>
        <v>0</v>
      </c>
    </row>
    <row r="2099" spans="1:20" ht="22.2" hidden="1" customHeight="1">
      <c r="A2099" s="379"/>
      <c r="B2099" s="535" t="s">
        <v>1343</v>
      </c>
      <c r="C2099" s="469" t="str">
        <f t="shared" si="336"/>
        <v xml:space="preserve"> </v>
      </c>
      <c r="D2099" s="440"/>
      <c r="E2099" s="422"/>
      <c r="F2099" s="532" t="str">
        <f>VLOOKUP($B2099,[1]DG!A:D,[1]DG!$C$2,)</f>
        <v>Bộ tiếp địa cố định cáp ABC</v>
      </c>
      <c r="G2099" s="422" t="str">
        <f>VLOOKUP($B2099,[1]DG!A:D,[1]DG!$D$2,)</f>
        <v>bộ</v>
      </c>
      <c r="H2099" s="435">
        <f t="shared" si="339"/>
        <v>0</v>
      </c>
      <c r="I2099" s="435"/>
      <c r="J2099" s="435"/>
      <c r="K2099" s="435"/>
      <c r="L2099" s="435"/>
      <c r="M2099" s="435"/>
      <c r="N2099" s="435"/>
      <c r="O2099" s="435"/>
      <c r="P2099" s="435">
        <f t="shared" si="341"/>
        <v>0</v>
      </c>
      <c r="Q2099" s="442"/>
      <c r="R2099" s="442"/>
      <c r="S2099" s="442"/>
      <c r="T2099" s="432">
        <f t="shared" si="342"/>
        <v>0</v>
      </c>
    </row>
    <row r="2100" spans="1:20" ht="22.2" hidden="1" customHeight="1">
      <c r="A2100" s="379"/>
      <c r="B2100" s="410" t="s">
        <v>272</v>
      </c>
      <c r="C2100" s="469" t="str">
        <f>IF(OR(P2100&lt;&gt;0,H2100&lt;&gt;0),"x"," ")</f>
        <v xml:space="preserve"> </v>
      </c>
      <c r="D2100" s="440"/>
      <c r="E2100" s="422"/>
      <c r="F2100" s="532" t="str">
        <f>VLOOKUP($B2100,[1]DG!A:D,[1]DG!$C$2,)</f>
        <v>Cáp đồng bọc CV70</v>
      </c>
      <c r="G2100" s="422" t="str">
        <f>VLOOKUP($B2100,[1]DG!A:D,[1]DG!$D$2,)</f>
        <v>mét</v>
      </c>
      <c r="H2100" s="435">
        <f t="shared" si="339"/>
        <v>0</v>
      </c>
      <c r="I2100" s="435"/>
      <c r="J2100" s="435"/>
      <c r="K2100" s="435"/>
      <c r="L2100" s="435"/>
      <c r="M2100" s="435"/>
      <c r="N2100" s="435"/>
      <c r="O2100" s="435"/>
      <c r="P2100" s="435">
        <f>H2100+Q2100-R2100</f>
        <v>0</v>
      </c>
      <c r="Q2100" s="442"/>
      <c r="R2100" s="442"/>
      <c r="S2100" s="442"/>
      <c r="T2100" s="432">
        <f t="shared" si="342"/>
        <v>0</v>
      </c>
    </row>
    <row r="2101" spans="1:20" ht="22.2" hidden="1" customHeight="1">
      <c r="A2101" s="379"/>
      <c r="B2101" s="410" t="s">
        <v>1344</v>
      </c>
      <c r="C2101" s="469" t="str">
        <f>IF(OR(P2101&lt;&gt;0,H2101&lt;&gt;0),"x"," ")</f>
        <v xml:space="preserve"> </v>
      </c>
      <c r="D2101" s="440"/>
      <c r="E2101" s="422"/>
      <c r="F2101" s="532" t="str">
        <f>VLOOKUP($B2101,[1]DG!A:D,[1]DG!$C$2,)</f>
        <v>Hộp phân đoạn MCCB 3 cực 400V-125A - 30KA</v>
      </c>
      <c r="G2101" s="422" t="str">
        <f>VLOOKUP($B2101,[1]DG!A:D,[1]DG!$D$2,)</f>
        <v>hộp</v>
      </c>
      <c r="H2101" s="435">
        <f t="shared" si="339"/>
        <v>0</v>
      </c>
      <c r="I2101" s="435"/>
      <c r="J2101" s="435"/>
      <c r="K2101" s="435"/>
      <c r="L2101" s="435"/>
      <c r="M2101" s="435"/>
      <c r="N2101" s="435"/>
      <c r="O2101" s="435"/>
      <c r="P2101" s="435">
        <f>H2101+Q2101-R2101</f>
        <v>0</v>
      </c>
      <c r="Q2101" s="442"/>
      <c r="R2101" s="442"/>
      <c r="S2101" s="442"/>
      <c r="T2101" s="432">
        <f t="shared" si="342"/>
        <v>0</v>
      </c>
    </row>
    <row r="2102" spans="1:20" ht="22.2" hidden="1" customHeight="1">
      <c r="A2102" s="379"/>
      <c r="B2102" s="410" t="s">
        <v>118</v>
      </c>
      <c r="C2102" s="469" t="str">
        <f>IF(OR(P2102&lt;&gt;0,H2102&lt;&gt;0),"x"," ")</f>
        <v xml:space="preserve"> </v>
      </c>
      <c r="D2102" s="440"/>
      <c r="E2102" s="422"/>
      <c r="F2102" s="532" t="str">
        <f>VLOOKUP($B2102,[1]DG!A:D,[1]DG!$C$2,)</f>
        <v>MCCB 3 cực 400V -125A - 30KA</v>
      </c>
      <c r="G2102" s="422" t="str">
        <f>VLOOKUP($B2102,[1]DG!A:D,[1]DG!$D$2,)</f>
        <v>cái</v>
      </c>
      <c r="H2102" s="435">
        <f t="shared" si="339"/>
        <v>0</v>
      </c>
      <c r="I2102" s="435"/>
      <c r="J2102" s="435"/>
      <c r="K2102" s="435"/>
      <c r="L2102" s="435"/>
      <c r="M2102" s="435"/>
      <c r="N2102" s="435"/>
      <c r="O2102" s="435"/>
      <c r="P2102" s="435">
        <f>H2102+Q2102-R2102</f>
        <v>0</v>
      </c>
      <c r="Q2102" s="442"/>
      <c r="R2102" s="442"/>
      <c r="S2102" s="442"/>
      <c r="T2102" s="432">
        <f t="shared" si="342"/>
        <v>0</v>
      </c>
    </row>
    <row r="2103" spans="1:20" ht="22.2" hidden="1" customHeight="1">
      <c r="A2103" s="379"/>
      <c r="B2103" s="410" t="s">
        <v>1345</v>
      </c>
      <c r="C2103" s="469" t="str">
        <f>IF(OR(P2103&lt;&gt;0,H2103&lt;&gt;0),"x"," ")</f>
        <v xml:space="preserve"> </v>
      </c>
      <c r="D2103" s="494">
        <f>[1]ppht!DM337</f>
        <v>0</v>
      </c>
      <c r="E2103" s="422"/>
      <c r="F2103" s="441" t="str">
        <f>VLOOKUP($B2103,[1]DG!A:D,[1]DG!$C$2,)</f>
        <v xml:space="preserve">Móc dừng </v>
      </c>
      <c r="G2103" s="422" t="str">
        <f>VLOOKUP($B2103,[1]DG!A:D,[1]DG!$D$2,)</f>
        <v>cái</v>
      </c>
      <c r="H2103" s="435">
        <f t="shared" si="339"/>
        <v>0</v>
      </c>
      <c r="I2103" s="435"/>
      <c r="J2103" s="435"/>
      <c r="K2103" s="435"/>
      <c r="L2103" s="435"/>
      <c r="M2103" s="435"/>
      <c r="N2103" s="435">
        <f t="shared" ref="N2103:N2129" si="343">D2103</f>
        <v>0</v>
      </c>
      <c r="O2103" s="435"/>
      <c r="P2103" s="435">
        <f>H2103+Q2103-R2103</f>
        <v>0</v>
      </c>
      <c r="Q2103" s="442"/>
      <c r="R2103" s="442"/>
      <c r="S2103" s="442"/>
      <c r="T2103" s="432">
        <f t="shared" si="342"/>
        <v>0</v>
      </c>
    </row>
    <row r="2104" spans="1:20" ht="22.2" hidden="1" customHeight="1">
      <c r="A2104" s="379"/>
      <c r="B2104" s="410" t="s">
        <v>1346</v>
      </c>
      <c r="C2104" s="469" t="str">
        <f>IF(OR(P2104&lt;&gt;0,H2104&lt;&gt;0),"x"," ")</f>
        <v xml:space="preserve"> </v>
      </c>
      <c r="D2104" s="494"/>
      <c r="E2104" s="422"/>
      <c r="F2104" s="441" t="str">
        <f>VLOOKUP($B2104,[1]DG!A:D,[1]DG!$C$2,)</f>
        <v xml:space="preserve">Móc đơn treo cáp </v>
      </c>
      <c r="G2104" s="422" t="str">
        <f>VLOOKUP($B2104,[1]DG!A:D,[1]DG!$D$2,)</f>
        <v>cái</v>
      </c>
      <c r="H2104" s="435">
        <f t="shared" si="339"/>
        <v>0</v>
      </c>
      <c r="I2104" s="435"/>
      <c r="J2104" s="435"/>
      <c r="K2104" s="435"/>
      <c r="L2104" s="435"/>
      <c r="M2104" s="435"/>
      <c r="N2104" s="435">
        <f t="shared" si="343"/>
        <v>0</v>
      </c>
      <c r="O2104" s="435"/>
      <c r="P2104" s="435">
        <f>H2104+Q2104-R2104</f>
        <v>0</v>
      </c>
      <c r="Q2104" s="442"/>
      <c r="R2104" s="442"/>
      <c r="S2104" s="442"/>
      <c r="T2104" s="432">
        <f t="shared" si="342"/>
        <v>0</v>
      </c>
    </row>
    <row r="2105" spans="1:20" ht="22.2" hidden="1" customHeight="1">
      <c r="A2105" s="379"/>
      <c r="B2105" s="410" t="s">
        <v>1347</v>
      </c>
      <c r="C2105" s="469" t="str">
        <f t="shared" si="336"/>
        <v xml:space="preserve"> </v>
      </c>
      <c r="D2105" s="494">
        <f>[1]ppht!BY337</f>
        <v>0</v>
      </c>
      <c r="E2105" s="422"/>
      <c r="F2105" s="441" t="str">
        <f>VLOOKUP($B2105,[1]DG!A:D,[1]DG!$C$2,)</f>
        <v>Rack 2 sứ + sứ ống chỉ</v>
      </c>
      <c r="G2105" s="422" t="str">
        <f>VLOOKUP($B2105,[1]DG!A:D,[1]DG!$D$2,)</f>
        <v>bộ</v>
      </c>
      <c r="H2105" s="435">
        <f t="shared" si="339"/>
        <v>0</v>
      </c>
      <c r="I2105" s="435"/>
      <c r="J2105" s="435"/>
      <c r="K2105" s="435"/>
      <c r="L2105" s="435"/>
      <c r="M2105" s="435"/>
      <c r="N2105" s="435">
        <f t="shared" si="343"/>
        <v>0</v>
      </c>
      <c r="O2105" s="435"/>
      <c r="P2105" s="435">
        <f t="shared" si="341"/>
        <v>0</v>
      </c>
      <c r="Q2105" s="442"/>
      <c r="R2105" s="442"/>
      <c r="S2105" s="442"/>
      <c r="T2105" s="432">
        <f t="shared" si="342"/>
        <v>0</v>
      </c>
    </row>
    <row r="2106" spans="1:20" ht="22.2" hidden="1" customHeight="1">
      <c r="A2106" s="379"/>
      <c r="B2106" s="410" t="s">
        <v>1348</v>
      </c>
      <c r="C2106" s="469" t="str">
        <f t="shared" si="336"/>
        <v xml:space="preserve"> </v>
      </c>
      <c r="D2106" s="494">
        <f>[1]ppht!BZ337</f>
        <v>0</v>
      </c>
      <c r="E2106" s="422"/>
      <c r="F2106" s="441" t="str">
        <f>VLOOKUP($B2106,[1]DG!A:D,[1]DG!$C$2,)</f>
        <v>Rack 3 sứ + sứ ống chỉ</v>
      </c>
      <c r="G2106" s="422" t="str">
        <f>VLOOKUP($B2106,[1]DG!A:D,[1]DG!$D$2,)</f>
        <v>bộ</v>
      </c>
      <c r="H2106" s="435">
        <f t="shared" si="339"/>
        <v>0</v>
      </c>
      <c r="I2106" s="435"/>
      <c r="J2106" s="435"/>
      <c r="K2106" s="435"/>
      <c r="L2106" s="435"/>
      <c r="M2106" s="435"/>
      <c r="N2106" s="435">
        <f t="shared" si="343"/>
        <v>0</v>
      </c>
      <c r="O2106" s="435"/>
      <c r="P2106" s="435">
        <f t="shared" si="341"/>
        <v>0</v>
      </c>
      <c r="Q2106" s="442"/>
      <c r="R2106" s="442"/>
      <c r="S2106" s="442"/>
      <c r="T2106" s="432">
        <f t="shared" si="342"/>
        <v>0</v>
      </c>
    </row>
    <row r="2107" spans="1:20" ht="22.2" hidden="1" customHeight="1">
      <c r="A2107" s="379"/>
      <c r="B2107" s="410" t="s">
        <v>1349</v>
      </c>
      <c r="C2107" s="469" t="str">
        <f t="shared" si="336"/>
        <v xml:space="preserve"> </v>
      </c>
      <c r="D2107" s="494">
        <f>[1]ppht!CA337</f>
        <v>0</v>
      </c>
      <c r="E2107" s="422"/>
      <c r="F2107" s="441" t="str">
        <f>VLOOKUP($B2107,[1]DG!A:D,[1]DG!$C$2,)</f>
        <v>Rack 4 sứ + sứ ống chỉ</v>
      </c>
      <c r="G2107" s="422" t="str">
        <f>VLOOKUP($B2107,[1]DG!A:D,[1]DG!$D$2,)</f>
        <v>bộ</v>
      </c>
      <c r="H2107" s="435">
        <f t="shared" si="339"/>
        <v>0</v>
      </c>
      <c r="I2107" s="435"/>
      <c r="J2107" s="435"/>
      <c r="K2107" s="435"/>
      <c r="L2107" s="435"/>
      <c r="M2107" s="435"/>
      <c r="N2107" s="435">
        <f t="shared" si="343"/>
        <v>0</v>
      </c>
      <c r="O2107" s="435"/>
      <c r="P2107" s="435">
        <f t="shared" si="341"/>
        <v>0</v>
      </c>
      <c r="Q2107" s="442"/>
      <c r="R2107" s="442"/>
      <c r="S2107" s="442"/>
      <c r="T2107" s="432">
        <f t="shared" si="342"/>
        <v>0</v>
      </c>
    </row>
    <row r="2108" spans="1:20" ht="22.2" hidden="1" customHeight="1">
      <c r="A2108" s="379"/>
      <c r="B2108" s="410" t="s">
        <v>1350</v>
      </c>
      <c r="C2108" s="469" t="str">
        <f t="shared" si="336"/>
        <v xml:space="preserve"> </v>
      </c>
      <c r="D2108" s="510"/>
      <c r="E2108" s="422" t="str">
        <f>VLOOKUP($B2108,[1]DG!A:D,[1]DG!$B$2,)</f>
        <v>05.1101</v>
      </c>
      <c r="F2108" s="536" t="str">
        <f>VLOOKUP($B2108,[1]DG!A:D,[1]DG!$C$2,)</f>
        <v>Tủ phân phối hạ thế</v>
      </c>
      <c r="G2108" s="422" t="str">
        <f>VLOOKUP($B2108,[1]DG!A:D,[1]DG!$D$2,)</f>
        <v>cái</v>
      </c>
      <c r="H2108" s="435">
        <f t="shared" si="339"/>
        <v>0</v>
      </c>
      <c r="I2108" s="435"/>
      <c r="J2108" s="435"/>
      <c r="K2108" s="435"/>
      <c r="L2108" s="435"/>
      <c r="M2108" s="435"/>
      <c r="N2108" s="435">
        <f t="shared" si="343"/>
        <v>0</v>
      </c>
      <c r="O2108" s="435"/>
      <c r="P2108" s="435">
        <f t="shared" si="341"/>
        <v>0</v>
      </c>
      <c r="Q2108" s="442"/>
      <c r="R2108" s="442"/>
      <c r="S2108" s="442"/>
      <c r="T2108" s="432">
        <f t="shared" si="342"/>
        <v>0</v>
      </c>
    </row>
    <row r="2109" spans="1:20" ht="22.2" hidden="1" customHeight="1">
      <c r="A2109" s="379"/>
      <c r="B2109" s="410" t="s">
        <v>1351</v>
      </c>
      <c r="C2109" s="469" t="str">
        <f t="shared" si="336"/>
        <v xml:space="preserve"> </v>
      </c>
      <c r="D2109" s="510"/>
      <c r="E2109" s="422" t="str">
        <f>VLOOKUP($B2109,[1]DG!A:D,[1]DG!$B$2,)</f>
        <v>07.2404</v>
      </c>
      <c r="F2109" s="536" t="str">
        <f>VLOOKUP($B2109,[1]DG!A:D,[1]DG!$C$2,)&amp;": 6m/tuû"</f>
        <v>Ống PVC D60x2,8mm: 6m/tuû</v>
      </c>
      <c r="G2109" s="422" t="str">
        <f>VLOOKUP($B2109,[1]DG!A:D,[1]DG!$D$2,)</f>
        <v>m</v>
      </c>
      <c r="H2109" s="435">
        <f t="shared" si="339"/>
        <v>0</v>
      </c>
      <c r="I2109" s="435"/>
      <c r="J2109" s="435"/>
      <c r="K2109" s="435"/>
      <c r="L2109" s="435"/>
      <c r="M2109" s="435"/>
      <c r="N2109" s="435">
        <f t="shared" si="343"/>
        <v>0</v>
      </c>
      <c r="O2109" s="435"/>
      <c r="P2109" s="435">
        <f t="shared" si="341"/>
        <v>0</v>
      </c>
      <c r="Q2109" s="442"/>
      <c r="R2109" s="442"/>
      <c r="S2109" s="442"/>
      <c r="T2109" s="432">
        <f t="shared" si="342"/>
        <v>0</v>
      </c>
    </row>
    <row r="2110" spans="1:20" ht="22.2" hidden="1" customHeight="1">
      <c r="A2110" s="379"/>
      <c r="B2110" s="410" t="s">
        <v>1352</v>
      </c>
      <c r="C2110" s="469" t="str">
        <f t="shared" si="336"/>
        <v xml:space="preserve"> </v>
      </c>
      <c r="D2110" s="510"/>
      <c r="E2110" s="422" t="str">
        <f>VLOOKUP($B2110,[1]DG!A:D,[1]DG!$B$2,)</f>
        <v>06.3231</v>
      </c>
      <c r="F2110" s="536" t="str">
        <f>VLOOKUP($B2110,[1]DG!A:D,[1]DG!$C$2,)</f>
        <v>Cổ dê kẹp ống PVC Ø 60</v>
      </c>
      <c r="G2110" s="422" t="str">
        <f>VLOOKUP($B2110,[1]DG!A:D,[1]DG!$D$2,)</f>
        <v>bộ</v>
      </c>
      <c r="H2110" s="435">
        <f t="shared" si="339"/>
        <v>0</v>
      </c>
      <c r="I2110" s="435"/>
      <c r="J2110" s="435"/>
      <c r="K2110" s="435"/>
      <c r="L2110" s="435"/>
      <c r="M2110" s="435"/>
      <c r="N2110" s="435">
        <f t="shared" si="343"/>
        <v>0</v>
      </c>
      <c r="O2110" s="435"/>
      <c r="P2110" s="435">
        <f t="shared" si="341"/>
        <v>0</v>
      </c>
      <c r="Q2110" s="442"/>
      <c r="R2110" s="442"/>
      <c r="S2110" s="442"/>
      <c r="T2110" s="432">
        <f t="shared" si="342"/>
        <v>0</v>
      </c>
    </row>
    <row r="2111" spans="1:20" ht="22.2" hidden="1" customHeight="1">
      <c r="A2111" s="379"/>
      <c r="B2111" s="410" t="s">
        <v>1353</v>
      </c>
      <c r="C2111" s="469" t="str">
        <f t="shared" si="336"/>
        <v xml:space="preserve"> </v>
      </c>
      <c r="D2111" s="510"/>
      <c r="E2111" s="422"/>
      <c r="F2111" s="536" t="str">
        <f>VLOOKUP($B2111,[1]DG!A:D,[1]DG!$C$2,)&amp;": 3 caùi / tuû"</f>
        <v>Co 90 độ PVC 60: 3 caùi / tuû</v>
      </c>
      <c r="G2111" s="422" t="str">
        <f>VLOOKUP($B2111,[1]DG!A:D,[1]DG!$D$2,)</f>
        <v>cái</v>
      </c>
      <c r="H2111" s="435">
        <f t="shared" si="339"/>
        <v>0</v>
      </c>
      <c r="I2111" s="435"/>
      <c r="J2111" s="435"/>
      <c r="K2111" s="435"/>
      <c r="L2111" s="435"/>
      <c r="M2111" s="435"/>
      <c r="N2111" s="435">
        <f t="shared" si="343"/>
        <v>0</v>
      </c>
      <c r="O2111" s="435"/>
      <c r="P2111" s="435">
        <f t="shared" si="341"/>
        <v>0</v>
      </c>
      <c r="Q2111" s="442"/>
      <c r="R2111" s="442"/>
      <c r="S2111" s="442"/>
      <c r="T2111" s="432">
        <f t="shared" si="342"/>
        <v>0</v>
      </c>
    </row>
    <row r="2112" spans="1:20" ht="22.2" hidden="1" customHeight="1">
      <c r="A2112" s="379"/>
      <c r="B2112" s="410" t="s">
        <v>444</v>
      </c>
      <c r="C2112" s="469" t="str">
        <f t="shared" si="336"/>
        <v xml:space="preserve"> </v>
      </c>
      <c r="D2112" s="510"/>
      <c r="E2112" s="422"/>
      <c r="F2112" s="536" t="str">
        <f>VLOOKUP($B2112,[1]DG!A:D,[1]DG!$C$2,)&amp;": 6 caùi / tuû"</f>
        <v>Co 90 độ PVC 42: 6 caùi / tuû</v>
      </c>
      <c r="G2112" s="422" t="str">
        <f>VLOOKUP($B2112,[1]DG!A:D,[1]DG!$D$2,)</f>
        <v>cái</v>
      </c>
      <c r="H2112" s="435">
        <f t="shared" si="339"/>
        <v>0</v>
      </c>
      <c r="I2112" s="435"/>
      <c r="J2112" s="435"/>
      <c r="K2112" s="435"/>
      <c r="L2112" s="435"/>
      <c r="M2112" s="435"/>
      <c r="N2112" s="435">
        <f t="shared" si="343"/>
        <v>0</v>
      </c>
      <c r="O2112" s="435"/>
      <c r="P2112" s="435">
        <f t="shared" si="341"/>
        <v>0</v>
      </c>
      <c r="Q2112" s="442"/>
      <c r="R2112" s="442"/>
      <c r="S2112" s="442"/>
      <c r="T2112" s="432">
        <f t="shared" si="342"/>
        <v>0</v>
      </c>
    </row>
    <row r="2113" spans="1:20" ht="22.2" hidden="1" customHeight="1">
      <c r="A2113" s="379"/>
      <c r="B2113" s="410" t="s">
        <v>1354</v>
      </c>
      <c r="C2113" s="469" t="str">
        <f t="shared" si="336"/>
        <v xml:space="preserve"> </v>
      </c>
      <c r="D2113" s="537"/>
      <c r="E2113" s="422">
        <f>VLOOKUP($B2113,[1]DG!A:D,[1]DG!$B$2,)</f>
        <v>0</v>
      </c>
      <c r="F2113" s="538" t="str">
        <f>VLOOKUP($B2113,[1]DG!A:D,[1]DG!$C$2,)&amp;": 8m töø CB ñaáu noái leân löôùi"</f>
        <v>Cáp nhôm ABC 4x150mm2: 8m töø CB ñaáu noái leân löôùi</v>
      </c>
      <c r="G2113" s="422" t="str">
        <f>VLOOKUP($B2113,[1]DG!A:D,[1]DG!$D$2,)</f>
        <v>mét</v>
      </c>
      <c r="H2113" s="435">
        <f t="shared" si="339"/>
        <v>0</v>
      </c>
      <c r="I2113" s="435"/>
      <c r="J2113" s="435"/>
      <c r="K2113" s="435"/>
      <c r="L2113" s="435"/>
      <c r="M2113" s="435"/>
      <c r="N2113" s="435">
        <f t="shared" si="343"/>
        <v>0</v>
      </c>
      <c r="O2113" s="435"/>
      <c r="P2113" s="435">
        <f t="shared" si="341"/>
        <v>0</v>
      </c>
      <c r="Q2113" s="442"/>
      <c r="R2113" s="442"/>
      <c r="S2113" s="442"/>
      <c r="T2113" s="432">
        <f t="shared" si="342"/>
        <v>0</v>
      </c>
    </row>
    <row r="2114" spans="1:20" ht="22.2" hidden="1" customHeight="1">
      <c r="A2114" s="379"/>
      <c r="B2114" s="410" t="s">
        <v>1355</v>
      </c>
      <c r="C2114" s="469" t="str">
        <f t="shared" si="336"/>
        <v xml:space="preserve"> </v>
      </c>
      <c r="D2114" s="537"/>
      <c r="E2114" s="422">
        <f>VLOOKUP($B2114,[1]DG!A:D,[1]DG!$B$2,)</f>
        <v>0</v>
      </c>
      <c r="F2114" s="538" t="str">
        <f>VLOOKUP($B2114,[1]DG!A:D,[1]DG!$C$2,)</f>
        <v xml:space="preserve">Ống PVC D114x4,9mm </v>
      </c>
      <c r="G2114" s="422" t="str">
        <f>VLOOKUP($B2114,[1]DG!A:D,[1]DG!$D$2,)</f>
        <v>m</v>
      </c>
      <c r="H2114" s="435">
        <f t="shared" si="339"/>
        <v>0</v>
      </c>
      <c r="I2114" s="435"/>
      <c r="J2114" s="435"/>
      <c r="K2114" s="435"/>
      <c r="L2114" s="435"/>
      <c r="M2114" s="435"/>
      <c r="N2114" s="435">
        <f t="shared" si="343"/>
        <v>0</v>
      </c>
      <c r="O2114" s="435"/>
      <c r="P2114" s="435">
        <f t="shared" si="341"/>
        <v>0</v>
      </c>
      <c r="Q2114" s="442"/>
      <c r="R2114" s="442"/>
      <c r="S2114" s="442"/>
      <c r="T2114" s="432">
        <f t="shared" si="342"/>
        <v>0</v>
      </c>
    </row>
    <row r="2115" spans="1:20" ht="22.2" hidden="1" customHeight="1">
      <c r="A2115" s="379"/>
      <c r="B2115" s="410" t="s">
        <v>1356</v>
      </c>
      <c r="C2115" s="469" t="str">
        <f t="shared" si="336"/>
        <v xml:space="preserve"> </v>
      </c>
      <c r="D2115" s="537"/>
      <c r="E2115" s="422">
        <f>VLOOKUP($B2115,[1]DG!A:D,[1]DG!$B$2,)</f>
        <v>0</v>
      </c>
      <c r="F2115" s="538" t="str">
        <f>VLOOKUP($B2115,[1]DG!A:D,[1]DG!$C$2,)</f>
        <v>Co  90 độ PVC 114</v>
      </c>
      <c r="G2115" s="422" t="str">
        <f>VLOOKUP($B2115,[1]DG!A:D,[1]DG!$D$2,)</f>
        <v>cái</v>
      </c>
      <c r="H2115" s="435">
        <f t="shared" si="339"/>
        <v>0</v>
      </c>
      <c r="I2115" s="435"/>
      <c r="J2115" s="435"/>
      <c r="K2115" s="435"/>
      <c r="L2115" s="435"/>
      <c r="M2115" s="435"/>
      <c r="N2115" s="435">
        <f t="shared" si="343"/>
        <v>0</v>
      </c>
      <c r="O2115" s="435"/>
      <c r="P2115" s="435">
        <f t="shared" si="341"/>
        <v>0</v>
      </c>
      <c r="Q2115" s="442"/>
      <c r="R2115" s="442"/>
      <c r="S2115" s="442"/>
      <c r="T2115" s="432">
        <f t="shared" si="342"/>
        <v>0</v>
      </c>
    </row>
    <row r="2116" spans="1:20" ht="22.2" hidden="1" customHeight="1">
      <c r="A2116" s="379"/>
      <c r="B2116" s="410" t="s">
        <v>435</v>
      </c>
      <c r="C2116" s="469" t="str">
        <f t="shared" si="336"/>
        <v xml:space="preserve"> </v>
      </c>
      <c r="D2116" s="537"/>
      <c r="E2116" s="422" t="str">
        <f>VLOOKUP($B2116,[1]DG!A:D,[1]DG!$B$2,)</f>
        <v>06.3231</v>
      </c>
      <c r="F2116" s="538" t="str">
        <f>VLOOKUP($B2116,[1]DG!A:D,[1]DG!$C$2,)</f>
        <v>Cổ dê kẹp ống PVC Ø 114</v>
      </c>
      <c r="G2116" s="422" t="str">
        <f>VLOOKUP($B2116,[1]DG!A:D,[1]DG!$D$2,)</f>
        <v>bộ</v>
      </c>
      <c r="H2116" s="435">
        <f t="shared" si="339"/>
        <v>0</v>
      </c>
      <c r="I2116" s="435"/>
      <c r="J2116" s="435"/>
      <c r="K2116" s="435"/>
      <c r="L2116" s="435"/>
      <c r="M2116" s="435"/>
      <c r="N2116" s="435">
        <f t="shared" si="343"/>
        <v>0</v>
      </c>
      <c r="O2116" s="435"/>
      <c r="P2116" s="435">
        <f t="shared" si="341"/>
        <v>0</v>
      </c>
      <c r="Q2116" s="442"/>
      <c r="R2116" s="442"/>
      <c r="S2116" s="442"/>
      <c r="T2116" s="432">
        <f t="shared" si="342"/>
        <v>0</v>
      </c>
    </row>
    <row r="2117" spans="1:20" ht="22.2" hidden="1" customHeight="1">
      <c r="A2117" s="379"/>
      <c r="B2117" s="410" t="s">
        <v>231</v>
      </c>
      <c r="C2117" s="469" t="str">
        <f t="shared" si="336"/>
        <v xml:space="preserve"> </v>
      </c>
      <c r="D2117" s="494"/>
      <c r="E2117" s="422"/>
      <c r="F2117" s="441" t="str">
        <f>VLOOKUP($B2117,[1]DG!A:D,[1]DG!$C$2,)</f>
        <v>Boulon 16x50+ 2 long đền vuông D18-50x50x3/Zn</v>
      </c>
      <c r="G2117" s="422" t="str">
        <f>VLOOKUP($B2117,[1]DG!A:D,[1]DG!$D$2,)</f>
        <v>bộ</v>
      </c>
      <c r="H2117" s="435">
        <f t="shared" si="339"/>
        <v>0</v>
      </c>
      <c r="I2117" s="435"/>
      <c r="J2117" s="435"/>
      <c r="K2117" s="435"/>
      <c r="L2117" s="435"/>
      <c r="M2117" s="435"/>
      <c r="N2117" s="435">
        <f t="shared" si="343"/>
        <v>0</v>
      </c>
      <c r="O2117" s="435"/>
      <c r="P2117" s="435">
        <f t="shared" si="341"/>
        <v>0</v>
      </c>
      <c r="Q2117" s="442"/>
      <c r="R2117" s="442"/>
      <c r="S2117" s="442"/>
      <c r="T2117" s="432">
        <f t="shared" si="342"/>
        <v>0</v>
      </c>
    </row>
    <row r="2118" spans="1:20" ht="22.2" hidden="1" customHeight="1">
      <c r="A2118" s="379"/>
      <c r="B2118" s="410" t="s">
        <v>237</v>
      </c>
      <c r="C2118" s="469" t="str">
        <f t="shared" ref="C2118:C2181" si="344">IF(OR(P2118&lt;&gt;0,H2118&lt;&gt;0),"x"," ")</f>
        <v xml:space="preserve"> </v>
      </c>
      <c r="D2118" s="494">
        <f>[1]ppht!CB337</f>
        <v>0</v>
      </c>
      <c r="E2118" s="422"/>
      <c r="F2118" s="441" t="str">
        <f>VLOOKUP($B2118,[1]DG!A:D,[1]DG!$C$2,)</f>
        <v>Boulon 16x250+ 2 long đền vuông D18-50x50x3/Zn</v>
      </c>
      <c r="G2118" s="422" t="str">
        <f>VLOOKUP($B2118,[1]DG!A:D,[1]DG!$D$2,)</f>
        <v>bộ</v>
      </c>
      <c r="H2118" s="435">
        <f t="shared" si="339"/>
        <v>0</v>
      </c>
      <c r="I2118" s="435"/>
      <c r="J2118" s="435"/>
      <c r="K2118" s="435"/>
      <c r="L2118" s="435"/>
      <c r="M2118" s="435"/>
      <c r="N2118" s="435">
        <f t="shared" si="343"/>
        <v>0</v>
      </c>
      <c r="O2118" s="435"/>
      <c r="P2118" s="435">
        <f t="shared" si="341"/>
        <v>0</v>
      </c>
      <c r="Q2118" s="442"/>
      <c r="R2118" s="442"/>
      <c r="S2118" s="442"/>
      <c r="T2118" s="432">
        <f t="shared" si="342"/>
        <v>0</v>
      </c>
    </row>
    <row r="2119" spans="1:20" ht="22.2" hidden="1" customHeight="1">
      <c r="A2119" s="379"/>
      <c r="B2119" s="410" t="s">
        <v>65</v>
      </c>
      <c r="C2119" s="469" t="str">
        <f t="shared" si="344"/>
        <v xml:space="preserve"> </v>
      </c>
      <c r="D2119" s="494">
        <f>[1]ppht!CC337</f>
        <v>0</v>
      </c>
      <c r="E2119" s="422"/>
      <c r="F2119" s="441" t="str">
        <f>VLOOKUP($B2119,[1]DG!A:D,[1]DG!$C$2,)</f>
        <v>Boulon 16x300+ 2 long đền vuông D18-50x50x3/Zn</v>
      </c>
      <c r="G2119" s="422" t="str">
        <f>VLOOKUP($B2119,[1]DG!A:D,[1]DG!$D$2,)</f>
        <v>bộ</v>
      </c>
      <c r="H2119" s="435">
        <f t="shared" si="339"/>
        <v>0</v>
      </c>
      <c r="I2119" s="435"/>
      <c r="J2119" s="435"/>
      <c r="K2119" s="435"/>
      <c r="L2119" s="435"/>
      <c r="M2119" s="435"/>
      <c r="N2119" s="435">
        <f t="shared" si="343"/>
        <v>0</v>
      </c>
      <c r="O2119" s="435"/>
      <c r="P2119" s="435">
        <f t="shared" si="341"/>
        <v>0</v>
      </c>
      <c r="Q2119" s="442"/>
      <c r="R2119" s="442"/>
      <c r="S2119" s="442"/>
      <c r="T2119" s="432">
        <f t="shared" si="342"/>
        <v>0</v>
      </c>
    </row>
    <row r="2120" spans="1:20" ht="22.2" hidden="1" customHeight="1">
      <c r="A2120" s="379"/>
      <c r="B2120" s="410" t="s">
        <v>123</v>
      </c>
      <c r="C2120" s="469" t="str">
        <f t="shared" si="344"/>
        <v xml:space="preserve"> </v>
      </c>
      <c r="D2120" s="494">
        <f>[1]ppht!CD337</f>
        <v>0</v>
      </c>
      <c r="E2120" s="422"/>
      <c r="F2120" s="441" t="str">
        <f>VLOOKUP($B2120,[1]DG!A:D,[1]DG!$C$2,)</f>
        <v>Boulon 16x350+ 2 long đền vuông D18-50x50x3/Zn</v>
      </c>
      <c r="G2120" s="422" t="str">
        <f>VLOOKUP($B2120,[1]DG!A:D,[1]DG!$D$2,)</f>
        <v>bộ</v>
      </c>
      <c r="H2120" s="435">
        <f t="shared" si="339"/>
        <v>0</v>
      </c>
      <c r="I2120" s="435"/>
      <c r="J2120" s="435"/>
      <c r="K2120" s="435"/>
      <c r="L2120" s="435"/>
      <c r="M2120" s="435"/>
      <c r="N2120" s="435">
        <f t="shared" si="343"/>
        <v>0</v>
      </c>
      <c r="O2120" s="435"/>
      <c r="P2120" s="435">
        <f t="shared" si="341"/>
        <v>0</v>
      </c>
      <c r="Q2120" s="442"/>
      <c r="R2120" s="442"/>
      <c r="S2120" s="442"/>
      <c r="T2120" s="432">
        <f t="shared" si="342"/>
        <v>0</v>
      </c>
    </row>
    <row r="2121" spans="1:20" ht="22.2" hidden="1" customHeight="1">
      <c r="A2121" s="379"/>
      <c r="B2121" s="410" t="s">
        <v>1357</v>
      </c>
      <c r="C2121" s="469" t="str">
        <f t="shared" si="344"/>
        <v xml:space="preserve"> </v>
      </c>
      <c r="D2121" s="494">
        <f>[1]ppht!CE337</f>
        <v>0</v>
      </c>
      <c r="E2121" s="422"/>
      <c r="F2121" s="441" t="str">
        <f>VLOOKUP($B2121,[1]DG!A:D,[1]DG!$C$2,)</f>
        <v>Boulon móc 16x250+ long đền vuông D18-50x50x3/Zn</v>
      </c>
      <c r="G2121" s="422" t="str">
        <f>VLOOKUP($B2121,[1]DG!A:D,[1]DG!$D$2,)</f>
        <v>bộ</v>
      </c>
      <c r="H2121" s="435">
        <f t="shared" si="339"/>
        <v>0</v>
      </c>
      <c r="I2121" s="435"/>
      <c r="J2121" s="435"/>
      <c r="K2121" s="435"/>
      <c r="L2121" s="435"/>
      <c r="M2121" s="435"/>
      <c r="N2121" s="435">
        <f t="shared" si="343"/>
        <v>0</v>
      </c>
      <c r="O2121" s="435"/>
      <c r="P2121" s="435">
        <f t="shared" si="341"/>
        <v>0</v>
      </c>
      <c r="Q2121" s="442"/>
      <c r="R2121" s="442"/>
      <c r="S2121" s="442"/>
      <c r="T2121" s="432">
        <f t="shared" si="342"/>
        <v>0</v>
      </c>
    </row>
    <row r="2122" spans="1:20" ht="22.2" hidden="1" customHeight="1">
      <c r="A2122" s="379"/>
      <c r="B2122" s="410" t="s">
        <v>1358</v>
      </c>
      <c r="C2122" s="469" t="str">
        <f t="shared" si="344"/>
        <v xml:space="preserve"> </v>
      </c>
      <c r="D2122" s="494">
        <f>[1]ppht!CF337</f>
        <v>0</v>
      </c>
      <c r="E2122" s="422"/>
      <c r="F2122" s="441" t="str">
        <f>VLOOKUP($B2122,[1]DG!A:D,[1]DG!$C$2,)</f>
        <v>Boulon móc 16x300+ long đền vuông D18-50x50x3/Zn</v>
      </c>
      <c r="G2122" s="422" t="str">
        <f>VLOOKUP($B2122,[1]DG!A:D,[1]DG!$D$2,)</f>
        <v>bộ</v>
      </c>
      <c r="H2122" s="435">
        <f t="shared" si="339"/>
        <v>0</v>
      </c>
      <c r="I2122" s="435"/>
      <c r="J2122" s="435"/>
      <c r="K2122" s="435"/>
      <c r="L2122" s="435"/>
      <c r="M2122" s="435"/>
      <c r="N2122" s="435">
        <f t="shared" si="343"/>
        <v>0</v>
      </c>
      <c r="O2122" s="435"/>
      <c r="P2122" s="435">
        <f t="shared" si="341"/>
        <v>0</v>
      </c>
      <c r="Q2122" s="442"/>
      <c r="R2122" s="442"/>
      <c r="S2122" s="442"/>
      <c r="T2122" s="432">
        <f t="shared" si="342"/>
        <v>0</v>
      </c>
    </row>
    <row r="2123" spans="1:20" ht="22.2" hidden="1" customHeight="1">
      <c r="A2123" s="379"/>
      <c r="B2123" s="410" t="s">
        <v>1359</v>
      </c>
      <c r="C2123" s="469" t="str">
        <f t="shared" si="344"/>
        <v xml:space="preserve"> </v>
      </c>
      <c r="D2123" s="494">
        <f>+[1]ppht!AD341*2*0</f>
        <v>0</v>
      </c>
      <c r="E2123" s="422"/>
      <c r="F2123" s="441" t="str">
        <f>VLOOKUP($B2123,[1]DG!A:D,[1]DG!$C$2,)&amp;" bắt trụ đôi"</f>
        <v>Boulon 16x500VRS+ 4 long đền vuông D18-50x50x3/Zn bắt trụ đôi</v>
      </c>
      <c r="G2123" s="422" t="str">
        <f>VLOOKUP($B2123,[1]DG!A:D,[1]DG!$D$2,)</f>
        <v>bộ</v>
      </c>
      <c r="H2123" s="435">
        <f t="shared" si="339"/>
        <v>0</v>
      </c>
      <c r="I2123" s="435"/>
      <c r="J2123" s="435"/>
      <c r="K2123" s="435"/>
      <c r="L2123" s="435"/>
      <c r="M2123" s="435"/>
      <c r="N2123" s="435">
        <f t="shared" si="343"/>
        <v>0</v>
      </c>
      <c r="O2123" s="435"/>
      <c r="P2123" s="435">
        <f t="shared" si="341"/>
        <v>0</v>
      </c>
      <c r="Q2123" s="442"/>
      <c r="R2123" s="442"/>
      <c r="S2123" s="442"/>
      <c r="T2123" s="432">
        <f t="shared" si="342"/>
        <v>0</v>
      </c>
    </row>
    <row r="2124" spans="1:20" ht="22.2" hidden="1" customHeight="1">
      <c r="A2124" s="379"/>
      <c r="B2124" s="410" t="s">
        <v>1360</v>
      </c>
      <c r="C2124" s="469" t="str">
        <f t="shared" si="344"/>
        <v xml:space="preserve"> </v>
      </c>
      <c r="D2124" s="494">
        <f>[1]ppht!DL337</f>
        <v>0</v>
      </c>
      <c r="E2124" s="422"/>
      <c r="F2124" s="441" t="str">
        <f>VLOOKUP($B2124,[1]DG!A:D,[1]DG!$C$2,)&amp;" (Coå deâ 310)"</f>
        <v>Cổ dê trụ đôi 8,4m bắt móc dừng  (Coå deâ 310)</v>
      </c>
      <c r="G2124" s="422" t="str">
        <f>VLOOKUP($B2124,[1]DG!A:D,[1]DG!$D$2,)</f>
        <v>bộ</v>
      </c>
      <c r="H2124" s="435">
        <f t="shared" si="339"/>
        <v>0</v>
      </c>
      <c r="I2124" s="435"/>
      <c r="J2124" s="435"/>
      <c r="K2124" s="435"/>
      <c r="L2124" s="435"/>
      <c r="M2124" s="435"/>
      <c r="N2124" s="435">
        <f t="shared" si="343"/>
        <v>0</v>
      </c>
      <c r="O2124" s="435"/>
      <c r="P2124" s="435">
        <f t="shared" si="341"/>
        <v>0</v>
      </c>
      <c r="Q2124" s="442"/>
      <c r="R2124" s="442"/>
      <c r="S2124" s="442"/>
      <c r="T2124" s="432">
        <f t="shared" si="342"/>
        <v>0</v>
      </c>
    </row>
    <row r="2125" spans="1:20" ht="22.2" hidden="1" customHeight="1">
      <c r="A2125" s="379"/>
      <c r="B2125" s="410" t="s">
        <v>1299</v>
      </c>
      <c r="C2125" s="469" t="str">
        <f t="shared" si="344"/>
        <v xml:space="preserve"> </v>
      </c>
      <c r="D2125" s="494">
        <f>[1]ppht!BF337</f>
        <v>0</v>
      </c>
      <c r="E2125" s="422"/>
      <c r="F2125" s="441" t="str">
        <f>VLOOKUP($B2125,[1]DG!A:D,[1]DG!$C$2,)</f>
        <v>Cáp thép 3/8"</v>
      </c>
      <c r="G2125" s="422" t="str">
        <f>VLOOKUP($B2125,[1]DG!A:D,[1]DG!$D$2,)</f>
        <v>kg</v>
      </c>
      <c r="H2125" s="435">
        <f t="shared" si="339"/>
        <v>0</v>
      </c>
      <c r="I2125" s="435"/>
      <c r="J2125" s="435"/>
      <c r="K2125" s="435"/>
      <c r="L2125" s="435"/>
      <c r="M2125" s="435"/>
      <c r="N2125" s="435">
        <f t="shared" si="343"/>
        <v>0</v>
      </c>
      <c r="O2125" s="435"/>
      <c r="P2125" s="435">
        <f t="shared" si="341"/>
        <v>0</v>
      </c>
      <c r="Q2125" s="442"/>
      <c r="R2125" s="442"/>
      <c r="S2125" s="442"/>
      <c r="T2125" s="432">
        <f t="shared" si="342"/>
        <v>0</v>
      </c>
    </row>
    <row r="2126" spans="1:20" ht="22.2" hidden="1" customHeight="1">
      <c r="A2126" s="379"/>
      <c r="B2126" s="410" t="s">
        <v>1170</v>
      </c>
      <c r="C2126" s="469" t="str">
        <f t="shared" si="344"/>
        <v xml:space="preserve"> </v>
      </c>
      <c r="D2126" s="440">
        <f>ROUND(D2051/2000+D2052/0.195/1500,0)</f>
        <v>0</v>
      </c>
      <c r="E2126" s="422"/>
      <c r="F2126" s="441" t="str">
        <f>VLOOKUP($B2126,[1]DG!A:D,[1]DG!$C$2,)</f>
        <v>Ống nối dây cỡ 50mm2</v>
      </c>
      <c r="G2126" s="422" t="str">
        <f>VLOOKUP($B2126,[1]DG!A:D,[1]DG!$D$2,)</f>
        <v>cái</v>
      </c>
      <c r="H2126" s="435">
        <f t="shared" si="339"/>
        <v>0</v>
      </c>
      <c r="I2126" s="435"/>
      <c r="J2126" s="435"/>
      <c r="K2126" s="435"/>
      <c r="L2126" s="435"/>
      <c r="M2126" s="435"/>
      <c r="N2126" s="435">
        <f t="shared" si="343"/>
        <v>0</v>
      </c>
      <c r="O2126" s="435"/>
      <c r="P2126" s="435">
        <f t="shared" si="341"/>
        <v>0</v>
      </c>
      <c r="Q2126" s="442"/>
      <c r="R2126" s="442"/>
      <c r="S2126" s="442"/>
      <c r="T2126" s="432">
        <f t="shared" si="342"/>
        <v>0</v>
      </c>
    </row>
    <row r="2127" spans="1:20" ht="22.2" hidden="1" customHeight="1">
      <c r="A2127" s="379"/>
      <c r="B2127" s="410" t="s">
        <v>1171</v>
      </c>
      <c r="C2127" s="469" t="str">
        <f t="shared" si="344"/>
        <v xml:space="preserve"> </v>
      </c>
      <c r="D2127" s="440">
        <f>ROUND(D2050/2000,0)</f>
        <v>0</v>
      </c>
      <c r="E2127" s="422"/>
      <c r="F2127" s="441" t="str">
        <f>VLOOKUP($B2127,[1]DG!A:D,[1]DG!$C$2,)</f>
        <v>Ống nối dây cỡ 70mm2</v>
      </c>
      <c r="G2127" s="422" t="str">
        <f>VLOOKUP($B2127,[1]DG!A:D,[1]DG!$D$2,)</f>
        <v>cái</v>
      </c>
      <c r="H2127" s="435">
        <f t="shared" si="339"/>
        <v>0</v>
      </c>
      <c r="I2127" s="435"/>
      <c r="J2127" s="435"/>
      <c r="K2127" s="435"/>
      <c r="L2127" s="435"/>
      <c r="M2127" s="435"/>
      <c r="N2127" s="435">
        <f t="shared" si="343"/>
        <v>0</v>
      </c>
      <c r="O2127" s="435"/>
      <c r="P2127" s="435">
        <f t="shared" si="341"/>
        <v>0</v>
      </c>
      <c r="Q2127" s="442"/>
      <c r="R2127" s="442"/>
      <c r="S2127" s="442"/>
      <c r="T2127" s="432">
        <f t="shared" si="342"/>
        <v>0</v>
      </c>
    </row>
    <row r="2128" spans="1:20" ht="22.2" hidden="1" customHeight="1">
      <c r="A2128" s="379"/>
      <c r="B2128" s="410" t="s">
        <v>1178</v>
      </c>
      <c r="C2128" s="469" t="str">
        <f t="shared" si="344"/>
        <v xml:space="preserve"> </v>
      </c>
      <c r="D2128" s="440"/>
      <c r="E2128" s="422"/>
      <c r="F2128" s="441" t="str">
        <f>VLOOKUP($B2128,[1]DG!A:D,[1]DG!$C$2,)</f>
        <v>Biển số - Bảng nguy hiểm</v>
      </c>
      <c r="G2128" s="422" t="str">
        <f>VLOOKUP($B2128,[1]DG!A:D,[1]DG!$D$2,)</f>
        <v>cái</v>
      </c>
      <c r="H2128" s="435">
        <f t="shared" si="339"/>
        <v>0</v>
      </c>
      <c r="I2128" s="435"/>
      <c r="J2128" s="435"/>
      <c r="K2128" s="435"/>
      <c r="L2128" s="435"/>
      <c r="M2128" s="435"/>
      <c r="N2128" s="435">
        <f t="shared" si="343"/>
        <v>0</v>
      </c>
      <c r="O2128" s="435"/>
      <c r="P2128" s="435">
        <f t="shared" si="341"/>
        <v>0</v>
      </c>
      <c r="Q2128" s="442"/>
      <c r="R2128" s="442"/>
      <c r="S2128" s="442"/>
      <c r="T2128" s="432">
        <f t="shared" si="342"/>
        <v>0</v>
      </c>
    </row>
    <row r="2129" spans="1:20" ht="22.2" hidden="1" customHeight="1">
      <c r="A2129" s="379"/>
      <c r="B2129" s="410" t="s">
        <v>1177</v>
      </c>
      <c r="C2129" s="469" t="str">
        <f t="shared" si="344"/>
        <v xml:space="preserve"> </v>
      </c>
      <c r="D2129" s="440">
        <f>SUM(D2132:D2134)*5/1.4</f>
        <v>0</v>
      </c>
      <c r="E2129" s="422"/>
      <c r="F2129" s="441" t="str">
        <f>VLOOKUP($B2129,[1]DG!A:D,[1]DG!$C$2,)</f>
        <v xml:space="preserve">Dây nhôm buộc </v>
      </c>
      <c r="G2129" s="422" t="str">
        <f>VLOOKUP($B2129,[1]DG!A:D,[1]DG!$D$2,)</f>
        <v>kg</v>
      </c>
      <c r="H2129" s="435">
        <f t="shared" si="339"/>
        <v>0</v>
      </c>
      <c r="I2129" s="435"/>
      <c r="J2129" s="435"/>
      <c r="K2129" s="435"/>
      <c r="L2129" s="435"/>
      <c r="M2129" s="435"/>
      <c r="N2129" s="435">
        <f t="shared" si="343"/>
        <v>0</v>
      </c>
      <c r="O2129" s="435"/>
      <c r="P2129" s="435">
        <f t="shared" si="341"/>
        <v>0</v>
      </c>
      <c r="Q2129" s="442"/>
      <c r="R2129" s="442"/>
      <c r="S2129" s="442"/>
      <c r="T2129" s="432">
        <f t="shared" si="342"/>
        <v>0</v>
      </c>
    </row>
    <row r="2130" spans="1:20" ht="22.2" hidden="1" customHeight="1">
      <c r="A2130" s="379"/>
      <c r="B2130" s="539" t="s">
        <v>148</v>
      </c>
      <c r="C2130" s="469" t="str">
        <f t="shared" si="344"/>
        <v xml:space="preserve"> </v>
      </c>
      <c r="D2130" s="440"/>
      <c r="E2130" s="422"/>
      <c r="F2130" s="441" t="str">
        <f>VLOOKUP($B2130,[1]DG!A:D,[1]DG!$C$2,)</f>
        <v>Băng keo cách điện</v>
      </c>
      <c r="G2130" s="422" t="str">
        <f>VLOOKUP($B2130,[1]DG!A:D,[1]DG!$D$2,)</f>
        <v>cuộn</v>
      </c>
      <c r="H2130" s="435">
        <f t="shared" si="339"/>
        <v>0</v>
      </c>
      <c r="I2130" s="435"/>
      <c r="J2130" s="435"/>
      <c r="K2130" s="435"/>
      <c r="L2130" s="435"/>
      <c r="M2130" s="435"/>
      <c r="N2130" s="435"/>
      <c r="O2130" s="435"/>
      <c r="P2130" s="435">
        <f t="shared" si="341"/>
        <v>0</v>
      </c>
      <c r="Q2130" s="437"/>
      <c r="R2130" s="437"/>
      <c r="S2130" s="437"/>
      <c r="T2130" s="432">
        <f t="shared" si="342"/>
        <v>0</v>
      </c>
    </row>
    <row r="2131" spans="1:20" ht="22.2" hidden="1" customHeight="1">
      <c r="A2131" s="379"/>
      <c r="B2131" s="410" t="s">
        <v>1361</v>
      </c>
      <c r="C2131" s="469" t="str">
        <f t="shared" si="344"/>
        <v xml:space="preserve"> </v>
      </c>
      <c r="D2131" s="440"/>
      <c r="E2131" s="422"/>
      <c r="F2131" s="441" t="str">
        <f>VLOOKUP($B2131,[1]DG!A:D,[1]DG!$C$2,)</f>
        <v>Tủ điện kế 1 pha</v>
      </c>
      <c r="G2131" s="422" t="str">
        <f>VLOOKUP($B2131,[1]DG!A:D,[1]DG!$D$2,)</f>
        <v>cái</v>
      </c>
      <c r="H2131" s="435">
        <f t="shared" si="339"/>
        <v>0</v>
      </c>
      <c r="I2131" s="435"/>
      <c r="J2131" s="435"/>
      <c r="K2131" s="435"/>
      <c r="L2131" s="435"/>
      <c r="M2131" s="435"/>
      <c r="N2131" s="435">
        <f>D2131</f>
        <v>0</v>
      </c>
      <c r="O2131" s="435"/>
      <c r="P2131" s="435">
        <f t="shared" si="341"/>
        <v>0</v>
      </c>
      <c r="Q2131" s="442"/>
      <c r="R2131" s="442"/>
      <c r="S2131" s="442"/>
      <c r="T2131" s="432">
        <f t="shared" si="342"/>
        <v>0</v>
      </c>
    </row>
    <row r="2132" spans="1:20" ht="22.2" hidden="1" customHeight="1">
      <c r="A2132" s="379"/>
      <c r="B2132" s="410" t="s">
        <v>1188</v>
      </c>
      <c r="C2132" s="469" t="str">
        <f t="shared" si="344"/>
        <v xml:space="preserve"> </v>
      </c>
      <c r="D2132" s="439">
        <f>ROUND(E2050/1000,2)</f>
        <v>0</v>
      </c>
      <c r="E2132" s="422" t="str">
        <f>VLOOKUP($B2132,[1]DG!A:D,[1]DG!$B$2,)</f>
        <v>06.6105</v>
      </c>
      <c r="F2132" s="434" t="str">
        <f>VLOOKUP($B2132,[1]DG!A:D,[1]DG!$C$2,)</f>
        <v>Kéo dây nhôm bọc 70mm2</v>
      </c>
      <c r="G2132" s="422" t="str">
        <f>VLOOKUP($B2132,[1]DG!A:D,[1]DG!$D$2,)</f>
        <v>km</v>
      </c>
      <c r="H2132" s="435"/>
      <c r="I2132" s="435"/>
      <c r="J2132" s="435"/>
      <c r="K2132" s="435"/>
      <c r="L2132" s="435"/>
      <c r="M2132" s="435"/>
      <c r="N2132" s="435"/>
      <c r="O2132" s="435"/>
      <c r="P2132" s="435">
        <f t="shared" si="341"/>
        <v>0</v>
      </c>
      <c r="Q2132" s="442"/>
      <c r="R2132" s="442"/>
      <c r="S2132" s="442"/>
      <c r="T2132" s="432">
        <f t="shared" si="342"/>
        <v>0</v>
      </c>
    </row>
    <row r="2133" spans="1:20" ht="22.2" hidden="1" customHeight="1">
      <c r="A2133" s="379"/>
      <c r="B2133" s="410" t="s">
        <v>1270</v>
      </c>
      <c r="C2133" s="469" t="str">
        <f t="shared" si="344"/>
        <v xml:space="preserve"> </v>
      </c>
      <c r="D2133" s="439">
        <f>ROUND(E2051/1000,2)</f>
        <v>0</v>
      </c>
      <c r="E2133" s="422" t="str">
        <f>VLOOKUP($B2133,[1]DG!A:D,[1]DG!$B$2,)</f>
        <v>06.6124</v>
      </c>
      <c r="F2133" s="434" t="str">
        <f>VLOOKUP($B2133,[1]DG!A:D,[1]DG!$C$2,)</f>
        <v>Kéo dây nhôm bọc 50mm2</v>
      </c>
      <c r="G2133" s="422" t="str">
        <f>VLOOKUP($B2133,[1]DG!A:D,[1]DG!$D$2,)</f>
        <v>km</v>
      </c>
      <c r="H2133" s="435"/>
      <c r="I2133" s="435"/>
      <c r="J2133" s="435"/>
      <c r="K2133" s="435"/>
      <c r="L2133" s="435"/>
      <c r="M2133" s="435"/>
      <c r="N2133" s="435"/>
      <c r="O2133" s="435"/>
      <c r="P2133" s="435">
        <f t="shared" si="341"/>
        <v>0</v>
      </c>
      <c r="Q2133" s="442"/>
      <c r="R2133" s="442"/>
      <c r="S2133" s="442"/>
      <c r="T2133" s="432">
        <f t="shared" si="342"/>
        <v>0</v>
      </c>
    </row>
    <row r="2134" spans="1:20" ht="22.2" hidden="1" customHeight="1">
      <c r="A2134" s="379"/>
      <c r="B2134" s="410" t="s">
        <v>1179</v>
      </c>
      <c r="C2134" s="469" t="str">
        <f t="shared" si="344"/>
        <v xml:space="preserve"> </v>
      </c>
      <c r="D2134" s="439">
        <f>ROUND(E2052/1000,2)</f>
        <v>0</v>
      </c>
      <c r="E2134" s="422" t="str">
        <f>VLOOKUP($B2134,[1]DG!A:D,[1]DG!$B$2,)</f>
        <v>06.6114</v>
      </c>
      <c r="F2134" s="434" t="str">
        <f>VLOOKUP($B2134,[1]DG!A:D,[1]DG!$C$2,)</f>
        <v>Kéo dây nhôm lõi thép cỡ dây 50mm2</v>
      </c>
      <c r="G2134" s="422" t="str">
        <f>VLOOKUP($B2134,[1]DG!A:D,[1]DG!$D$2,)</f>
        <v>km</v>
      </c>
      <c r="H2134" s="435"/>
      <c r="I2134" s="435"/>
      <c r="J2134" s="435"/>
      <c r="K2134" s="435"/>
      <c r="L2134" s="435"/>
      <c r="M2134" s="435"/>
      <c r="N2134" s="435"/>
      <c r="O2134" s="435"/>
      <c r="P2134" s="435">
        <f t="shared" si="341"/>
        <v>0</v>
      </c>
      <c r="Q2134" s="442"/>
      <c r="R2134" s="442"/>
      <c r="S2134" s="442"/>
      <c r="T2134" s="432">
        <f t="shared" si="342"/>
        <v>0</v>
      </c>
    </row>
    <row r="2135" spans="1:20" ht="22.2" hidden="1" customHeight="1">
      <c r="A2135" s="379"/>
      <c r="B2135" s="410" t="s">
        <v>1362</v>
      </c>
      <c r="C2135" s="469" t="str">
        <f t="shared" si="344"/>
        <v xml:space="preserve"> </v>
      </c>
      <c r="D2135" s="445"/>
      <c r="E2135" s="422" t="str">
        <f>VLOOKUP($B2135,[1]DG!A:D,[1]DG!$B$2,)</f>
        <v>07.3404</v>
      </c>
      <c r="F2135" s="434" t="str">
        <f>VLOOKUP($B2135,[1]DG!A:D,[1]DG!$C$2,)</f>
        <v>Lắp cáp trong ống bảo vệ loại &lt;=4.5kg</v>
      </c>
      <c r="G2135" s="422" t="str">
        <f>VLOOKUP($B2135,[1]DG!A:D,[1]DG!$D$2,)</f>
        <v>mét</v>
      </c>
      <c r="H2135" s="436"/>
      <c r="I2135" s="436"/>
      <c r="J2135" s="436"/>
      <c r="K2135" s="436"/>
      <c r="L2135" s="436"/>
      <c r="M2135" s="436"/>
      <c r="N2135" s="436"/>
      <c r="O2135" s="436"/>
      <c r="P2135" s="435">
        <f t="shared" si="341"/>
        <v>0</v>
      </c>
      <c r="Q2135" s="444"/>
      <c r="R2135" s="444"/>
      <c r="S2135" s="444"/>
      <c r="T2135" s="432">
        <f t="shared" si="342"/>
        <v>0</v>
      </c>
    </row>
    <row r="2136" spans="1:20" ht="22.2" hidden="1" customHeight="1">
      <c r="A2136" s="379"/>
      <c r="B2136" s="410" t="s">
        <v>1363</v>
      </c>
      <c r="C2136" s="469" t="str">
        <f t="shared" si="344"/>
        <v xml:space="preserve"> </v>
      </c>
      <c r="D2136" s="445"/>
      <c r="E2136" s="422" t="str">
        <f>VLOOKUP($B2136,[1]DG!A:D,[1]DG!$B$2,)</f>
        <v>07.3403</v>
      </c>
      <c r="F2136" s="434" t="str">
        <f>VLOOKUP($B2136,[1]DG!A:D,[1]DG!$C$2,)</f>
        <v>Lắp cáp trong ống bảo vệ loại &lt;=3kg</v>
      </c>
      <c r="G2136" s="422" t="str">
        <f>VLOOKUP($B2136,[1]DG!A:D,[1]DG!$D$2,)</f>
        <v>mét</v>
      </c>
      <c r="H2136" s="436"/>
      <c r="I2136" s="436"/>
      <c r="J2136" s="436"/>
      <c r="K2136" s="436"/>
      <c r="L2136" s="436"/>
      <c r="M2136" s="436"/>
      <c r="N2136" s="436"/>
      <c r="O2136" s="436"/>
      <c r="P2136" s="435">
        <f t="shared" si="341"/>
        <v>0</v>
      </c>
      <c r="Q2136" s="444"/>
      <c r="R2136" s="444"/>
      <c r="S2136" s="444"/>
      <c r="T2136" s="432">
        <f t="shared" si="342"/>
        <v>0</v>
      </c>
    </row>
    <row r="2137" spans="1:20" ht="22.2" hidden="1" customHeight="1">
      <c r="A2137" s="379"/>
      <c r="B2137" s="410" t="s">
        <v>1364</v>
      </c>
      <c r="C2137" s="469" t="str">
        <f t="shared" si="344"/>
        <v xml:space="preserve"> </v>
      </c>
      <c r="D2137" s="433">
        <f>(E2058+D2113)/1000</f>
        <v>0</v>
      </c>
      <c r="E2137" s="422" t="str">
        <f>VLOOKUP($B2137,[1]DG!A:D,[1]DG!$B$2,)</f>
        <v>06.7007</v>
      </c>
      <c r="F2137" s="434" t="str">
        <f>VLOOKUP($B2137,[1]DG!A:D,[1]DG!$C$2,)</f>
        <v>Kéo dây ABC 4x150mm2</v>
      </c>
      <c r="G2137" s="422" t="str">
        <f>VLOOKUP($B2137,[1]DG!A:D,[1]DG!$D$2,)</f>
        <v>km</v>
      </c>
      <c r="H2137" s="435"/>
      <c r="I2137" s="435"/>
      <c r="J2137" s="435"/>
      <c r="K2137" s="435"/>
      <c r="L2137" s="435"/>
      <c r="M2137" s="435"/>
      <c r="N2137" s="435"/>
      <c r="O2137" s="435"/>
      <c r="P2137" s="435">
        <f t="shared" si="341"/>
        <v>0</v>
      </c>
      <c r="Q2137" s="442"/>
      <c r="R2137" s="442"/>
      <c r="S2137" s="442"/>
      <c r="T2137" s="432">
        <f t="shared" si="342"/>
        <v>0</v>
      </c>
    </row>
    <row r="2138" spans="1:20" ht="22.2" hidden="1" customHeight="1">
      <c r="A2138" s="379"/>
      <c r="B2138" s="410" t="s">
        <v>1365</v>
      </c>
      <c r="C2138" s="469" t="str">
        <f t="shared" si="344"/>
        <v xml:space="preserve"> </v>
      </c>
      <c r="D2138" s="433">
        <f>(E2054)/1000</f>
        <v>0</v>
      </c>
      <c r="E2138" s="422" t="str">
        <f>VLOOKUP($B2138,[1]DG!A:D,[1]DG!$B$2,)</f>
        <v>06.7006</v>
      </c>
      <c r="F2138" s="434" t="str">
        <f>VLOOKUP($B2138,[1]DG!A:D,[1]DG!$C$2,)</f>
        <v>Kéo dây ABC 3x95mm2</v>
      </c>
      <c r="G2138" s="422" t="str">
        <f>VLOOKUP($B2138,[1]DG!A:D,[1]DG!$D$2,)</f>
        <v>km</v>
      </c>
      <c r="H2138" s="435">
        <f>D2138</f>
        <v>0</v>
      </c>
      <c r="I2138" s="435"/>
      <c r="J2138" s="435"/>
      <c r="K2138" s="435"/>
      <c r="L2138" s="435"/>
      <c r="M2138" s="435"/>
      <c r="N2138" s="435"/>
      <c r="O2138" s="435"/>
      <c r="P2138" s="435">
        <f t="shared" si="341"/>
        <v>0</v>
      </c>
      <c r="Q2138" s="442"/>
      <c r="R2138" s="442"/>
      <c r="S2138" s="442"/>
      <c r="T2138" s="432">
        <f t="shared" si="342"/>
        <v>0</v>
      </c>
    </row>
    <row r="2139" spans="1:20" ht="22.2" hidden="1" customHeight="1">
      <c r="A2139" s="379"/>
      <c r="B2139" s="410" t="s">
        <v>1366</v>
      </c>
      <c r="C2139" s="469" t="str">
        <f t="shared" si="344"/>
        <v xml:space="preserve"> </v>
      </c>
      <c r="D2139" s="433">
        <f>(E2056+E2054)/1000</f>
        <v>0</v>
      </c>
      <c r="E2139" s="422" t="str">
        <f>VLOOKUP($B2139,[1]DG!A:D,[1]DG!$B$2,)</f>
        <v>06.6505</v>
      </c>
      <c r="F2139" s="434" t="str">
        <f>VLOOKUP($B2139,[1]DG!A:D,[1]DG!$C$2,)</f>
        <v>Kéo dây ABC 4x70mm2</v>
      </c>
      <c r="G2139" s="422" t="str">
        <f>VLOOKUP($B2139,[1]DG!A:D,[1]DG!$D$2,)</f>
        <v>km</v>
      </c>
      <c r="H2139" s="435">
        <f>H2056/1000</f>
        <v>0</v>
      </c>
      <c r="I2139" s="435"/>
      <c r="J2139" s="435"/>
      <c r="K2139" s="435"/>
      <c r="L2139" s="435"/>
      <c r="M2139" s="435"/>
      <c r="N2139" s="435"/>
      <c r="O2139" s="435"/>
      <c r="P2139" s="435">
        <f t="shared" si="341"/>
        <v>0</v>
      </c>
      <c r="Q2139" s="442"/>
      <c r="R2139" s="442"/>
      <c r="S2139" s="442"/>
      <c r="T2139" s="432">
        <f t="shared" si="342"/>
        <v>0</v>
      </c>
    </row>
    <row r="2140" spans="1:20" ht="22.2" hidden="1" customHeight="1">
      <c r="A2140" s="379"/>
      <c r="B2140" s="410" t="s">
        <v>1367</v>
      </c>
      <c r="C2140" s="469" t="str">
        <f t="shared" si="344"/>
        <v xml:space="preserve"> </v>
      </c>
      <c r="D2140" s="433">
        <f>E2055/1000</f>
        <v>0</v>
      </c>
      <c r="E2140" s="422" t="str">
        <f>VLOOKUP($B2140,[1]DG!A:D,[1]DG!$B$2,)</f>
        <v>06.6504</v>
      </c>
      <c r="F2140" s="434" t="str">
        <f>VLOOKUP($B2140,[1]DG!A:D,[1]DG!$C$2,)</f>
        <v>Kéo dây ABC 4x50mm2</v>
      </c>
      <c r="G2140" s="422" t="str">
        <f>VLOOKUP($B2140,[1]DG!A:D,[1]DG!$D$2,)</f>
        <v>km</v>
      </c>
      <c r="H2140" s="435"/>
      <c r="I2140" s="435"/>
      <c r="J2140" s="435"/>
      <c r="K2140" s="435"/>
      <c r="L2140" s="435"/>
      <c r="M2140" s="435"/>
      <c r="N2140" s="435"/>
      <c r="O2140" s="435"/>
      <c r="P2140" s="435">
        <f t="shared" si="341"/>
        <v>0</v>
      </c>
      <c r="Q2140" s="442"/>
      <c r="R2140" s="442"/>
      <c r="S2140" s="442"/>
      <c r="T2140" s="432">
        <f t="shared" si="342"/>
        <v>0</v>
      </c>
    </row>
    <row r="2141" spans="1:20" ht="22.2" hidden="1" customHeight="1">
      <c r="A2141" s="379"/>
      <c r="B2141" s="410" t="s">
        <v>1367</v>
      </c>
      <c r="C2141" s="469" t="str">
        <f t="shared" si="344"/>
        <v xml:space="preserve"> </v>
      </c>
      <c r="D2141" s="433">
        <f>E2053/1000</f>
        <v>0</v>
      </c>
      <c r="E2141" s="422" t="str">
        <f>VLOOKUP($B2141,[1]DG!A:D,[1]DG!$B$2,)</f>
        <v>06.6504</v>
      </c>
      <c r="F2141" s="434" t="s">
        <v>1368</v>
      </c>
      <c r="G2141" s="422" t="str">
        <f>VLOOKUP($B2141,[1]DG!A:D,[1]DG!$D$2,)</f>
        <v>km</v>
      </c>
      <c r="H2141" s="435"/>
      <c r="I2141" s="435"/>
      <c r="J2141" s="435"/>
      <c r="K2141" s="435"/>
      <c r="L2141" s="435"/>
      <c r="M2141" s="435"/>
      <c r="N2141" s="435"/>
      <c r="O2141" s="435"/>
      <c r="P2141" s="435">
        <f t="shared" si="341"/>
        <v>0</v>
      </c>
      <c r="Q2141" s="442"/>
      <c r="R2141" s="442"/>
      <c r="S2141" s="442"/>
      <c r="T2141" s="432">
        <f t="shared" si="342"/>
        <v>0</v>
      </c>
    </row>
    <row r="2142" spans="1:20" ht="22.2" hidden="1" customHeight="1">
      <c r="A2142" s="379"/>
      <c r="B2142" s="410" t="s">
        <v>1363</v>
      </c>
      <c r="C2142" s="469" t="str">
        <f t="shared" si="344"/>
        <v xml:space="preserve"> </v>
      </c>
      <c r="D2142" s="433">
        <f>D2059/1000</f>
        <v>0</v>
      </c>
      <c r="E2142" s="422" t="str">
        <f>VLOOKUP($B2142,[1]DG!A:D,[1]DG!$B$2,)</f>
        <v>07.3403</v>
      </c>
      <c r="F2142" s="434" t="str">
        <f>VLOOKUP($B2142,[1]DG!A:D,[1]DG!$C$2,)</f>
        <v>Lắp cáp trong ống bảo vệ loại &lt;=3kg</v>
      </c>
      <c r="G2142" s="422" t="str">
        <f>VLOOKUP($B2142,[1]DG!A:D,[1]DG!$D$2,)</f>
        <v>mét</v>
      </c>
      <c r="H2142" s="435"/>
      <c r="I2142" s="435"/>
      <c r="J2142" s="435"/>
      <c r="K2142" s="435"/>
      <c r="L2142" s="435"/>
      <c r="M2142" s="435"/>
      <c r="N2142" s="435"/>
      <c r="O2142" s="435"/>
      <c r="P2142" s="435">
        <f t="shared" si="341"/>
        <v>0</v>
      </c>
      <c r="Q2142" s="442"/>
      <c r="R2142" s="442"/>
      <c r="S2142" s="442"/>
      <c r="T2142" s="432">
        <f t="shared" si="342"/>
        <v>0</v>
      </c>
    </row>
    <row r="2143" spans="1:20" ht="22.2" hidden="1" customHeight="1">
      <c r="A2143" s="379"/>
      <c r="B2143" s="410" t="s">
        <v>1369</v>
      </c>
      <c r="C2143" s="469" t="str">
        <f t="shared" si="344"/>
        <v xml:space="preserve"> </v>
      </c>
      <c r="D2143" s="440">
        <f>D2105</f>
        <v>0</v>
      </c>
      <c r="E2143" s="422" t="str">
        <f>VLOOKUP($B2143,[1]DG!A:D,[1]DG!$B$2,)</f>
        <v>06.1213</v>
      </c>
      <c r="F2143" s="434" t="str">
        <f>VLOOKUP($B2143,[1]DG!A:D,[1]DG!$C$2,)</f>
        <v>Lắp rack 2 sứ + sứ ống chỉ</v>
      </c>
      <c r="G2143" s="422" t="str">
        <f>VLOOKUP($B2143,[1]DG!A:D,[1]DG!$D$2,)</f>
        <v>bộ</v>
      </c>
      <c r="H2143" s="435"/>
      <c r="I2143" s="435"/>
      <c r="J2143" s="435"/>
      <c r="K2143" s="435"/>
      <c r="L2143" s="435"/>
      <c r="M2143" s="435"/>
      <c r="N2143" s="435"/>
      <c r="O2143" s="435"/>
      <c r="P2143" s="435">
        <f t="shared" si="341"/>
        <v>0</v>
      </c>
      <c r="Q2143" s="442"/>
      <c r="R2143" s="442"/>
      <c r="S2143" s="442"/>
      <c r="T2143" s="432">
        <f t="shared" si="342"/>
        <v>0</v>
      </c>
    </row>
    <row r="2144" spans="1:20" ht="22.2" hidden="1" customHeight="1">
      <c r="A2144" s="379"/>
      <c r="B2144" s="410" t="s">
        <v>1200</v>
      </c>
      <c r="C2144" s="469" t="str">
        <f t="shared" si="344"/>
        <v xml:space="preserve"> </v>
      </c>
      <c r="D2144" s="440">
        <f>D2106</f>
        <v>0</v>
      </c>
      <c r="E2144" s="422" t="str">
        <f>VLOOKUP($B2144,[1]DG!A:D,[1]DG!$B$2,)</f>
        <v>06.1214</v>
      </c>
      <c r="F2144" s="434" t="str">
        <f>VLOOKUP($B2144,[1]DG!A:D,[1]DG!$C$2,)</f>
        <v>Lắp rack 3 sứ + sứ ống chỉ</v>
      </c>
      <c r="G2144" s="422" t="str">
        <f>VLOOKUP($B2144,[1]DG!A:D,[1]DG!$D$2,)</f>
        <v>bộ</v>
      </c>
      <c r="H2144" s="435"/>
      <c r="I2144" s="435"/>
      <c r="J2144" s="435"/>
      <c r="K2144" s="435"/>
      <c r="L2144" s="435"/>
      <c r="M2144" s="435"/>
      <c r="N2144" s="435"/>
      <c r="O2144" s="435"/>
      <c r="P2144" s="435">
        <f t="shared" si="341"/>
        <v>0</v>
      </c>
      <c r="Q2144" s="437"/>
      <c r="R2144" s="437"/>
      <c r="S2144" s="437"/>
      <c r="T2144" s="432">
        <f t="shared" si="342"/>
        <v>0</v>
      </c>
    </row>
    <row r="2145" spans="1:20" ht="22.2" hidden="1" customHeight="1">
      <c r="A2145" s="379"/>
      <c r="B2145" s="410" t="s">
        <v>1370</v>
      </c>
      <c r="C2145" s="469" t="str">
        <f t="shared" si="344"/>
        <v xml:space="preserve"> </v>
      </c>
      <c r="D2145" s="440">
        <f>D2107</f>
        <v>0</v>
      </c>
      <c r="E2145" s="422" t="str">
        <f>VLOOKUP($B2145,[1]DG!A:D,[1]DG!$B$2,)</f>
        <v>06.1215</v>
      </c>
      <c r="F2145" s="434" t="str">
        <f>VLOOKUP($B2145,[1]DG!A:D,[1]DG!$C$2,)</f>
        <v>Lắp rack 4 sứ + sứ ống chỉ</v>
      </c>
      <c r="G2145" s="422" t="str">
        <f>VLOOKUP($B2145,[1]DG!A:D,[1]DG!$D$2,)</f>
        <v>bộ</v>
      </c>
      <c r="H2145" s="435"/>
      <c r="I2145" s="435"/>
      <c r="J2145" s="435"/>
      <c r="K2145" s="435"/>
      <c r="L2145" s="435"/>
      <c r="M2145" s="435"/>
      <c r="N2145" s="435"/>
      <c r="O2145" s="435"/>
      <c r="P2145" s="435">
        <f t="shared" si="341"/>
        <v>0</v>
      </c>
      <c r="Q2145" s="442"/>
      <c r="R2145" s="442"/>
      <c r="S2145" s="442"/>
      <c r="T2145" s="432">
        <f t="shared" si="342"/>
        <v>0</v>
      </c>
    </row>
    <row r="2146" spans="1:20" ht="22.2" hidden="1" customHeight="1">
      <c r="A2146" s="379"/>
      <c r="B2146" s="410" t="s">
        <v>1371</v>
      </c>
      <c r="C2146" s="469" t="str">
        <f t="shared" si="344"/>
        <v xml:space="preserve"> </v>
      </c>
      <c r="D2146" s="440">
        <f>[1]ppht!S337*0</f>
        <v>0</v>
      </c>
      <c r="E2146" s="422" t="str">
        <f>VLOOKUP($B2146,[1]DG!A:D,[1]DG!$B$2,)</f>
        <v>06.2070</v>
      </c>
      <c r="F2146" s="441" t="str">
        <f>VLOOKUP($B2146,[1]DG!A:D,[1]DG!$C$2,)</f>
        <v>Sơn biển số- bảng nguy hiểm</v>
      </c>
      <c r="G2146" s="422" t="str">
        <f>VLOOKUP($B2146,[1]DG!A:D,[1]DG!$D$2,)</f>
        <v>cái</v>
      </c>
      <c r="H2146" s="435"/>
      <c r="I2146" s="435"/>
      <c r="J2146" s="435"/>
      <c r="K2146" s="435"/>
      <c r="L2146" s="435"/>
      <c r="M2146" s="435"/>
      <c r="N2146" s="435"/>
      <c r="O2146" s="435"/>
      <c r="P2146" s="435">
        <f t="shared" si="341"/>
        <v>0</v>
      </c>
      <c r="Q2146" s="442"/>
      <c r="R2146" s="442"/>
      <c r="S2146" s="442"/>
      <c r="T2146" s="432">
        <f t="shared" si="342"/>
        <v>0</v>
      </c>
    </row>
    <row r="2147" spans="1:20" ht="22.2" hidden="1" customHeight="1">
      <c r="A2147" s="379"/>
      <c r="B2147" s="410" t="s">
        <v>1211</v>
      </c>
      <c r="C2147" s="469" t="str">
        <f t="shared" si="344"/>
        <v xml:space="preserve"> </v>
      </c>
      <c r="D2147" s="439">
        <f>D2150</f>
        <v>0</v>
      </c>
      <c r="E2147" s="422" t="str">
        <f>VLOOKUP($B2147,[1]DG!A:D,[1]DG!$B$2,)</f>
        <v>02.1122</v>
      </c>
      <c r="F2147" s="434" t="str">
        <f>VLOOKUP($B2147,[1]DG!A:D,[1]DG!$C$2,)</f>
        <v>Bốc dỡ dây</v>
      </c>
      <c r="G2147" s="422" t="str">
        <f>VLOOKUP($B2147,[1]DG!A:D,[1]DG!$D$2,)</f>
        <v>tấn</v>
      </c>
      <c r="H2147" s="435"/>
      <c r="I2147" s="435"/>
      <c r="J2147" s="435"/>
      <c r="K2147" s="435"/>
      <c r="L2147" s="435"/>
      <c r="M2147" s="435"/>
      <c r="N2147" s="435"/>
      <c r="O2147" s="435"/>
      <c r="P2147" s="435">
        <f t="shared" si="341"/>
        <v>0</v>
      </c>
      <c r="Q2147" s="437"/>
      <c r="R2147" s="437"/>
      <c r="S2147" s="437"/>
      <c r="T2147" s="432">
        <f t="shared" si="342"/>
        <v>0</v>
      </c>
    </row>
    <row r="2148" spans="1:20" ht="22.2" hidden="1" customHeight="1">
      <c r="A2148" s="379"/>
      <c r="B2148" s="410" t="s">
        <v>796</v>
      </c>
      <c r="C2148" s="469" t="str">
        <f t="shared" si="344"/>
        <v xml:space="preserve"> </v>
      </c>
      <c r="D2148" s="439">
        <f>D2149</f>
        <v>0</v>
      </c>
      <c r="E2148" s="422" t="str">
        <f>VLOOKUP($B2148,[1]DG!A:D,[1]DG!$B$2,)</f>
        <v>02.1120</v>
      </c>
      <c r="F2148" s="434" t="str">
        <f>VLOOKUP($B2148,[1]DG!A:D,[1]DG!$C$2,)</f>
        <v>Bốc dỡ phụ kiện</v>
      </c>
      <c r="G2148" s="422" t="str">
        <f>VLOOKUP($B2148,[1]DG!A:D,[1]DG!$D$2,)</f>
        <v>tấn</v>
      </c>
      <c r="H2148" s="435"/>
      <c r="I2148" s="435"/>
      <c r="J2148" s="435"/>
      <c r="K2148" s="435"/>
      <c r="L2148" s="435"/>
      <c r="M2148" s="435"/>
      <c r="N2148" s="435"/>
      <c r="O2148" s="435"/>
      <c r="P2148" s="435">
        <f t="shared" si="341"/>
        <v>0</v>
      </c>
      <c r="Q2148" s="437"/>
      <c r="R2148" s="437"/>
      <c r="S2148" s="437"/>
      <c r="T2148" s="432">
        <f t="shared" si="342"/>
        <v>0</v>
      </c>
    </row>
    <row r="2149" spans="1:20" ht="22.2" hidden="1" customHeight="1">
      <c r="A2149" s="379"/>
      <c r="C2149" s="469" t="str">
        <f t="shared" si="344"/>
        <v xml:space="preserve"> </v>
      </c>
      <c r="D2149" s="439"/>
      <c r="E2149" s="422"/>
      <c r="F2149" s="441"/>
      <c r="G2149" s="422"/>
      <c r="H2149" s="435"/>
      <c r="I2149" s="435"/>
      <c r="J2149" s="435"/>
      <c r="K2149" s="435"/>
      <c r="L2149" s="435"/>
      <c r="M2149" s="435"/>
      <c r="N2149" s="435"/>
      <c r="O2149" s="435"/>
      <c r="P2149" s="435">
        <f t="shared" si="341"/>
        <v>0</v>
      </c>
      <c r="Q2149" s="437"/>
      <c r="R2149" s="437"/>
      <c r="S2149" s="437"/>
      <c r="T2149" s="432">
        <f t="shared" si="342"/>
        <v>0</v>
      </c>
    </row>
    <row r="2150" spans="1:20" ht="22.2" hidden="1" customHeight="1">
      <c r="A2150" s="379"/>
      <c r="C2150" s="469" t="str">
        <f t="shared" si="344"/>
        <v xml:space="preserve"> </v>
      </c>
      <c r="D2150" s="439"/>
      <c r="E2150" s="422"/>
      <c r="F2150" s="441"/>
      <c r="G2150" s="422"/>
      <c r="H2150" s="435"/>
      <c r="I2150" s="435"/>
      <c r="J2150" s="435"/>
      <c r="K2150" s="435"/>
      <c r="L2150" s="435"/>
      <c r="M2150" s="435"/>
      <c r="N2150" s="435"/>
      <c r="O2150" s="435"/>
      <c r="P2150" s="435">
        <f t="shared" ref="P2150:P2213" si="345">H2150+Q2150-R2150</f>
        <v>0</v>
      </c>
      <c r="Q2150" s="437"/>
      <c r="R2150" s="437"/>
      <c r="S2150" s="437"/>
      <c r="T2150" s="432">
        <f t="shared" si="342"/>
        <v>0</v>
      </c>
    </row>
    <row r="2151" spans="1:20" ht="22.2" hidden="1" customHeight="1">
      <c r="A2151" s="379"/>
      <c r="B2151" s="438"/>
      <c r="C2151" s="469" t="str">
        <f t="shared" si="344"/>
        <v xml:space="preserve"> </v>
      </c>
      <c r="D2151" s="439"/>
      <c r="E2151" s="422"/>
      <c r="F2151" s="441"/>
      <c r="G2151" s="422"/>
      <c r="H2151" s="435"/>
      <c r="I2151" s="435"/>
      <c r="J2151" s="435"/>
      <c r="K2151" s="435"/>
      <c r="L2151" s="435"/>
      <c r="M2151" s="435"/>
      <c r="N2151" s="435"/>
      <c r="O2151" s="435"/>
      <c r="P2151" s="435">
        <f t="shared" si="345"/>
        <v>0</v>
      </c>
      <c r="Q2151" s="437"/>
      <c r="R2151" s="437"/>
      <c r="S2151" s="437"/>
      <c r="T2151" s="432">
        <f t="shared" si="342"/>
        <v>0</v>
      </c>
    </row>
    <row r="2152" spans="1:20" ht="22.2" hidden="1" customHeight="1">
      <c r="A2152" s="423" t="s">
        <v>1372</v>
      </c>
      <c r="B2152" s="424" t="s">
        <v>1372</v>
      </c>
      <c r="C2152" s="469" t="str">
        <f>IF(D2152&lt;&gt;0,"x"," ")</f>
        <v xml:space="preserve"> </v>
      </c>
      <c r="D2152" s="426">
        <f>IF(SUM(D2153:D2175)=0,0,1)</f>
        <v>0</v>
      </c>
      <c r="E2152" s="349" t="s">
        <v>1373</v>
      </c>
      <c r="F2152" s="428" t="s">
        <v>1374</v>
      </c>
      <c r="G2152" s="349" t="s">
        <v>1098</v>
      </c>
      <c r="H2152" s="429">
        <f>SUM(I2152:O2152)</f>
        <v>0</v>
      </c>
      <c r="I2152" s="430"/>
      <c r="J2152" s="430"/>
      <c r="K2152" s="430"/>
      <c r="L2152" s="430">
        <f>IFERROR(HLOOKUP(chitiet!B2152,[1]pp1p!$1:$3,3,0),0)</f>
        <v>0</v>
      </c>
      <c r="M2152" s="430"/>
      <c r="N2152" s="430"/>
      <c r="O2152" s="430"/>
      <c r="P2152" s="435">
        <f t="shared" si="345"/>
        <v>0</v>
      </c>
      <c r="Q2152" s="431"/>
      <c r="R2152" s="431"/>
      <c r="S2152" s="431"/>
      <c r="T2152" s="432">
        <f t="shared" si="342"/>
        <v>0</v>
      </c>
    </row>
    <row r="2153" spans="1:20" ht="22.2" hidden="1" customHeight="1">
      <c r="A2153" s="379"/>
      <c r="B2153" s="410" t="s">
        <v>1304</v>
      </c>
      <c r="C2153" s="469" t="str">
        <f t="shared" si="344"/>
        <v xml:space="preserve"> </v>
      </c>
      <c r="D2153" s="440">
        <f>ROUND(E2153*1.03,0)</f>
        <v>0</v>
      </c>
      <c r="E2153" s="484">
        <f>+'[1]ppht NC'!E310</f>
        <v>0</v>
      </c>
      <c r="F2153" s="441" t="str">
        <f>VLOOKUP($B2153,[1]DG!A:D,[1]DG!$C$2,)</f>
        <v>Cáp nhôm bọc AV95</v>
      </c>
      <c r="G2153" s="422" t="str">
        <f>VLOOKUP($B2153,[1]DG!A:D,[1]DG!$D$2,)</f>
        <v>mét</v>
      </c>
      <c r="H2153" s="435">
        <f>$D2153</f>
        <v>0</v>
      </c>
      <c r="I2153" s="435"/>
      <c r="J2153" s="435"/>
      <c r="K2153" s="435"/>
      <c r="L2153" s="435"/>
      <c r="M2153" s="435">
        <f t="shared" ref="M2153:M2167" si="346">H2153</f>
        <v>0</v>
      </c>
      <c r="N2153" s="435"/>
      <c r="O2153" s="435"/>
      <c r="P2153" s="435">
        <f t="shared" si="345"/>
        <v>0</v>
      </c>
      <c r="Q2153" s="442"/>
      <c r="R2153" s="442"/>
      <c r="S2153" s="442"/>
      <c r="T2153" s="432">
        <f t="shared" si="342"/>
        <v>0</v>
      </c>
    </row>
    <row r="2154" spans="1:20" ht="22.2" hidden="1" customHeight="1">
      <c r="A2154" s="379"/>
      <c r="B2154" s="410" t="s">
        <v>1305</v>
      </c>
      <c r="C2154" s="469" t="str">
        <f t="shared" si="344"/>
        <v xml:space="preserve"> </v>
      </c>
      <c r="D2154" s="440">
        <f>ROUND(E2154*1.03,0)</f>
        <v>0</v>
      </c>
      <c r="E2154" s="484">
        <f>+'[1]ppht NC'!D310</f>
        <v>0</v>
      </c>
      <c r="F2154" s="441" t="str">
        <f>VLOOKUP($B2154,[1]DG!A:D,[1]DG!$C$2,)</f>
        <v>Cáp nhôm bọc AV50</v>
      </c>
      <c r="G2154" s="422" t="str">
        <f>VLOOKUP($B2154,[1]DG!A:D,[1]DG!$D$2,)</f>
        <v>mét</v>
      </c>
      <c r="H2154" s="435">
        <f>$D2154</f>
        <v>0</v>
      </c>
      <c r="I2154" s="435"/>
      <c r="J2154" s="435"/>
      <c r="K2154" s="435"/>
      <c r="L2154" s="435"/>
      <c r="M2154" s="435">
        <f t="shared" si="346"/>
        <v>0</v>
      </c>
      <c r="N2154" s="435"/>
      <c r="O2154" s="435"/>
      <c r="P2154" s="435">
        <f t="shared" si="345"/>
        <v>0</v>
      </c>
      <c r="Q2154" s="442"/>
      <c r="R2154" s="442"/>
      <c r="S2154" s="442"/>
      <c r="T2154" s="432">
        <f t="shared" si="342"/>
        <v>0</v>
      </c>
    </row>
    <row r="2155" spans="1:20" ht="22.2" hidden="1" customHeight="1">
      <c r="A2155" s="379"/>
      <c r="B2155" s="410" t="s">
        <v>1105</v>
      </c>
      <c r="C2155" s="469" t="str">
        <f t="shared" si="344"/>
        <v xml:space="preserve"> </v>
      </c>
      <c r="D2155" s="440">
        <f>ROUND(E2155*1.03,0)</f>
        <v>0</v>
      </c>
      <c r="E2155" s="484"/>
      <c r="F2155" s="441" t="str">
        <f>VLOOKUP($B2155,[1]DG!A:D,[1]DG!$C$2,)</f>
        <v>Cáp nhôm lõi thép AC-50/8</v>
      </c>
      <c r="G2155" s="422" t="str">
        <f>VLOOKUP($B2155,[1]DG!A:D,[1]DG!$D$2,)</f>
        <v>kg</v>
      </c>
      <c r="H2155" s="435">
        <f>$D2155</f>
        <v>0</v>
      </c>
      <c r="I2155" s="435"/>
      <c r="J2155" s="435"/>
      <c r="K2155" s="435"/>
      <c r="L2155" s="435"/>
      <c r="M2155" s="435">
        <f t="shared" si="346"/>
        <v>0</v>
      </c>
      <c r="N2155" s="435"/>
      <c r="O2155" s="435"/>
      <c r="P2155" s="435">
        <f t="shared" si="345"/>
        <v>0</v>
      </c>
      <c r="Q2155" s="442"/>
      <c r="R2155" s="442"/>
      <c r="S2155" s="442"/>
      <c r="T2155" s="432">
        <f t="shared" si="342"/>
        <v>0</v>
      </c>
    </row>
    <row r="2156" spans="1:20" ht="22.2" hidden="1" customHeight="1">
      <c r="A2156" s="379"/>
      <c r="B2156" s="410" t="s">
        <v>1375</v>
      </c>
      <c r="C2156" s="469" t="str">
        <f t="shared" si="344"/>
        <v xml:space="preserve"> </v>
      </c>
      <c r="D2156" s="440">
        <f>ROUND(E2156*1.02,0)</f>
        <v>0</v>
      </c>
      <c r="E2156" s="484">
        <f>[1]pp_NC!P200</f>
        <v>0</v>
      </c>
      <c r="F2156" s="441" t="str">
        <f>VLOOKUP($B2156,[1]DG!A:D,[1]DG!$C$2,)</f>
        <v>Cáp Duplex 2x11</v>
      </c>
      <c r="G2156" s="422" t="str">
        <f>VLOOKUP($B2156,[1]DG!A:D,[1]DG!$D$2,)</f>
        <v>m</v>
      </c>
      <c r="H2156" s="435">
        <f>$D2156</f>
        <v>0</v>
      </c>
      <c r="I2156" s="435"/>
      <c r="J2156" s="435"/>
      <c r="K2156" s="435"/>
      <c r="L2156" s="435"/>
      <c r="M2156" s="435">
        <f t="shared" si="346"/>
        <v>0</v>
      </c>
      <c r="N2156" s="435"/>
      <c r="O2156" s="435"/>
      <c r="P2156" s="435">
        <f t="shared" si="345"/>
        <v>0</v>
      </c>
      <c r="Q2156" s="442"/>
      <c r="R2156" s="442"/>
      <c r="S2156" s="442"/>
      <c r="T2156" s="432">
        <f t="shared" si="342"/>
        <v>0</v>
      </c>
    </row>
    <row r="2157" spans="1:20" ht="22.2" hidden="1" customHeight="1">
      <c r="A2157" s="379"/>
      <c r="B2157" s="410" t="s">
        <v>1156</v>
      </c>
      <c r="C2157" s="469" t="str">
        <f t="shared" si="344"/>
        <v xml:space="preserve"> </v>
      </c>
      <c r="D2157" s="494">
        <f>[1]ppht!DS339</f>
        <v>0</v>
      </c>
      <c r="E2157" s="422"/>
      <c r="F2157" s="441" t="str">
        <f>VLOOKUP($B2157,[1]DG!A:D,[1]DG!$C$2,)</f>
        <v>Kẹp 2 rãnh (APC) cỡ dây 50mm2</v>
      </c>
      <c r="G2157" s="422" t="str">
        <f>VLOOKUP($B2157,[1]DG!A:D,[1]DG!$D$2,)</f>
        <v>cái</v>
      </c>
      <c r="H2157" s="435">
        <f t="shared" ref="H2157:H2171" si="347">D2157</f>
        <v>0</v>
      </c>
      <c r="I2157" s="435"/>
      <c r="J2157" s="435"/>
      <c r="K2157" s="435"/>
      <c r="L2157" s="435"/>
      <c r="M2157" s="435">
        <f t="shared" si="346"/>
        <v>0</v>
      </c>
      <c r="N2157" s="435"/>
      <c r="O2157" s="435"/>
      <c r="P2157" s="435">
        <f t="shared" si="345"/>
        <v>0</v>
      </c>
      <c r="Q2157" s="442"/>
      <c r="R2157" s="442"/>
      <c r="S2157" s="442"/>
      <c r="T2157" s="432">
        <f t="shared" ref="T2157:T2220" si="348">IFERROR(HLOOKUP(B2157,BangKeTru,3,0),0)</f>
        <v>0</v>
      </c>
    </row>
    <row r="2158" spans="1:20" ht="22.2" hidden="1" customHeight="1">
      <c r="A2158" s="379"/>
      <c r="B2158" s="410" t="s">
        <v>1157</v>
      </c>
      <c r="C2158" s="469" t="str">
        <f t="shared" si="344"/>
        <v xml:space="preserve"> </v>
      </c>
      <c r="D2158" s="494">
        <f>[1]ppht!DT339</f>
        <v>0</v>
      </c>
      <c r="E2158" s="422"/>
      <c r="F2158" s="441" t="str">
        <f>VLOOKUP($B2158,[1]DG!A:D,[1]DG!$C$2,)</f>
        <v>Kẹp 2 rãnh (APC) cỡ dây 70mm2</v>
      </c>
      <c r="G2158" s="422" t="str">
        <f>VLOOKUP($B2158,[1]DG!A:D,[1]DG!$D$2,)</f>
        <v>cái</v>
      </c>
      <c r="H2158" s="435">
        <f t="shared" si="347"/>
        <v>0</v>
      </c>
      <c r="I2158" s="435"/>
      <c r="J2158" s="435"/>
      <c r="K2158" s="435"/>
      <c r="L2158" s="435"/>
      <c r="M2158" s="435">
        <f t="shared" si="346"/>
        <v>0</v>
      </c>
      <c r="N2158" s="435"/>
      <c r="O2158" s="435"/>
      <c r="P2158" s="435">
        <f t="shared" si="345"/>
        <v>0</v>
      </c>
      <c r="Q2158" s="442"/>
      <c r="R2158" s="442"/>
      <c r="S2158" s="442"/>
      <c r="T2158" s="432">
        <f t="shared" si="348"/>
        <v>0</v>
      </c>
    </row>
    <row r="2159" spans="1:20" ht="22.2" hidden="1" customHeight="1">
      <c r="A2159" s="379"/>
      <c r="B2159" s="410" t="s">
        <v>1376</v>
      </c>
      <c r="C2159" s="469" t="str">
        <f t="shared" si="344"/>
        <v xml:space="preserve"> </v>
      </c>
      <c r="D2159" s="494">
        <f>+'[1]ppht NC'!BW310</f>
        <v>0</v>
      </c>
      <c r="E2159" s="422"/>
      <c r="F2159" s="441" t="str">
        <f>VLOOKUP($B2159,[1]DG!A:D,[1]DG!$C$2,)</f>
        <v>Uclevis + sứ ống chỉ</v>
      </c>
      <c r="G2159" s="422" t="str">
        <f>VLOOKUP($B2159,[1]DG!A:D,[1]DG!$D$2,)</f>
        <v>bộ</v>
      </c>
      <c r="H2159" s="435">
        <f t="shared" si="347"/>
        <v>0</v>
      </c>
      <c r="I2159" s="435"/>
      <c r="J2159" s="435"/>
      <c r="K2159" s="435"/>
      <c r="L2159" s="435"/>
      <c r="M2159" s="435">
        <f t="shared" si="346"/>
        <v>0</v>
      </c>
      <c r="N2159" s="435"/>
      <c r="O2159" s="435"/>
      <c r="P2159" s="435">
        <f t="shared" si="345"/>
        <v>0</v>
      </c>
      <c r="Q2159" s="442"/>
      <c r="R2159" s="442"/>
      <c r="S2159" s="442"/>
      <c r="T2159" s="432">
        <f t="shared" si="348"/>
        <v>0</v>
      </c>
    </row>
    <row r="2160" spans="1:20" ht="22.2" hidden="1" customHeight="1">
      <c r="A2160" s="379"/>
      <c r="B2160" s="410" t="s">
        <v>1347</v>
      </c>
      <c r="C2160" s="469" t="str">
        <f t="shared" si="344"/>
        <v xml:space="preserve"> </v>
      </c>
      <c r="D2160" s="494">
        <f>[1]ppht!BY339+[1]pp_NC!EM182</f>
        <v>0</v>
      </c>
      <c r="E2160" s="422"/>
      <c r="F2160" s="441" t="str">
        <f>VLOOKUP($B2160,[1]DG!A:D,[1]DG!$C$2,)</f>
        <v>Rack 2 sứ + sứ ống chỉ</v>
      </c>
      <c r="G2160" s="422" t="str">
        <f>VLOOKUP($B2160,[1]DG!A:D,[1]DG!$D$2,)</f>
        <v>bộ</v>
      </c>
      <c r="H2160" s="435">
        <f t="shared" si="347"/>
        <v>0</v>
      </c>
      <c r="I2160" s="435"/>
      <c r="J2160" s="435"/>
      <c r="K2160" s="435"/>
      <c r="L2160" s="435"/>
      <c r="M2160" s="435">
        <f t="shared" si="346"/>
        <v>0</v>
      </c>
      <c r="N2160" s="435"/>
      <c r="O2160" s="435"/>
      <c r="P2160" s="435">
        <f t="shared" si="345"/>
        <v>0</v>
      </c>
      <c r="Q2160" s="442"/>
      <c r="R2160" s="442"/>
      <c r="S2160" s="442"/>
      <c r="T2160" s="432">
        <f t="shared" si="348"/>
        <v>0</v>
      </c>
    </row>
    <row r="2161" spans="1:20" ht="22.2" hidden="1" customHeight="1">
      <c r="A2161" s="379"/>
      <c r="B2161" s="410" t="s">
        <v>1348</v>
      </c>
      <c r="C2161" s="469" t="str">
        <f t="shared" si="344"/>
        <v xml:space="preserve"> </v>
      </c>
      <c r="D2161" s="494">
        <f>[1]ppht!BZ339+[1]pp_NC!EN182</f>
        <v>0</v>
      </c>
      <c r="E2161" s="422"/>
      <c r="F2161" s="441" t="str">
        <f>VLOOKUP($B2161,[1]DG!A:D,[1]DG!$C$2,)</f>
        <v>Rack 3 sứ + sứ ống chỉ</v>
      </c>
      <c r="G2161" s="422" t="str">
        <f>VLOOKUP($B2161,[1]DG!A:D,[1]DG!$D$2,)</f>
        <v>bộ</v>
      </c>
      <c r="H2161" s="435">
        <f t="shared" si="347"/>
        <v>0</v>
      </c>
      <c r="I2161" s="435"/>
      <c r="J2161" s="435"/>
      <c r="K2161" s="435"/>
      <c r="L2161" s="435"/>
      <c r="M2161" s="435">
        <f t="shared" si="346"/>
        <v>0</v>
      </c>
      <c r="N2161" s="435"/>
      <c r="O2161" s="435"/>
      <c r="P2161" s="435">
        <f t="shared" si="345"/>
        <v>0</v>
      </c>
      <c r="Q2161" s="442"/>
      <c r="R2161" s="442"/>
      <c r="S2161" s="442"/>
      <c r="T2161" s="432">
        <f t="shared" si="348"/>
        <v>0</v>
      </c>
    </row>
    <row r="2162" spans="1:20" ht="22.2" hidden="1" customHeight="1">
      <c r="A2162" s="379"/>
      <c r="B2162" s="410" t="s">
        <v>1377</v>
      </c>
      <c r="C2162" s="469" t="str">
        <f t="shared" si="344"/>
        <v xml:space="preserve"> </v>
      </c>
      <c r="D2162" s="494">
        <f>+'[1]ppht NC'!BZ310</f>
        <v>0</v>
      </c>
      <c r="E2162" s="422"/>
      <c r="F2162" s="441" t="str">
        <f>VLOOKUP($B2162,[1]DG!A:D,[1]DG!$C$2,)</f>
        <v>Rack 4</v>
      </c>
      <c r="G2162" s="422" t="str">
        <f>VLOOKUP($B2162,[1]DG!A:D,[1]DG!$D$2,)</f>
        <v>cái</v>
      </c>
      <c r="H2162" s="435">
        <f t="shared" si="347"/>
        <v>0</v>
      </c>
      <c r="I2162" s="435"/>
      <c r="J2162" s="435"/>
      <c r="K2162" s="435"/>
      <c r="L2162" s="435"/>
      <c r="M2162" s="435">
        <f t="shared" si="346"/>
        <v>0</v>
      </c>
      <c r="N2162" s="435"/>
      <c r="O2162" s="435"/>
      <c r="P2162" s="435">
        <f t="shared" si="345"/>
        <v>0</v>
      </c>
      <c r="Q2162" s="442"/>
      <c r="R2162" s="442"/>
      <c r="S2162" s="442"/>
      <c r="T2162" s="432">
        <f t="shared" si="348"/>
        <v>0</v>
      </c>
    </row>
    <row r="2163" spans="1:20" ht="22.2" hidden="1" customHeight="1">
      <c r="A2163" s="379"/>
      <c r="B2163" s="410" t="s">
        <v>1378</v>
      </c>
      <c r="C2163" s="469" t="str">
        <f t="shared" si="344"/>
        <v xml:space="preserve"> </v>
      </c>
      <c r="D2163" s="494">
        <f>+'[1]ppht NC'!BV310</f>
        <v>0</v>
      </c>
      <c r="E2163" s="422"/>
      <c r="F2163" s="441" t="str">
        <f>VLOOKUP($B2163,[1]DG!A:D,[1]DG!$C$2,)</f>
        <v xml:space="preserve">Sứ ống chỉ </v>
      </c>
      <c r="G2163" s="422" t="str">
        <f>VLOOKUP($B2163,[1]DG!A:D,[1]DG!$D$2,)</f>
        <v>cái</v>
      </c>
      <c r="H2163" s="435">
        <f t="shared" si="347"/>
        <v>0</v>
      </c>
      <c r="I2163" s="435"/>
      <c r="J2163" s="435"/>
      <c r="K2163" s="435"/>
      <c r="L2163" s="435"/>
      <c r="M2163" s="435">
        <f>H2163</f>
        <v>0</v>
      </c>
      <c r="N2163" s="435"/>
      <c r="O2163" s="435"/>
      <c r="P2163" s="435">
        <f t="shared" si="345"/>
        <v>0</v>
      </c>
      <c r="Q2163" s="442"/>
      <c r="R2163" s="442"/>
      <c r="S2163" s="442"/>
      <c r="T2163" s="432">
        <f t="shared" si="348"/>
        <v>0</v>
      </c>
    </row>
    <row r="2164" spans="1:20" ht="22.2" hidden="1" customHeight="1">
      <c r="A2164" s="379"/>
      <c r="B2164" s="491" t="s">
        <v>237</v>
      </c>
      <c r="C2164" s="469" t="str">
        <f t="shared" si="344"/>
        <v xml:space="preserve"> </v>
      </c>
      <c r="D2164" s="494">
        <f>+'[1]ppht NC'!CA310</f>
        <v>0</v>
      </c>
      <c r="E2164" s="422"/>
      <c r="F2164" s="441" t="str">
        <f>VLOOKUP($B2164,[1]DG!A:D,[1]DG!$C$2,)</f>
        <v>Boulon 16x250+ 2 long đền vuông D18-50x50x3/Zn</v>
      </c>
      <c r="G2164" s="422" t="str">
        <f>VLOOKUP($B2164,[1]DG!A:D,[1]DG!$D$2,)</f>
        <v>bộ</v>
      </c>
      <c r="H2164" s="435">
        <f t="shared" si="347"/>
        <v>0</v>
      </c>
      <c r="I2164" s="435"/>
      <c r="J2164" s="435"/>
      <c r="K2164" s="435"/>
      <c r="L2164" s="435"/>
      <c r="M2164" s="435">
        <f t="shared" si="346"/>
        <v>0</v>
      </c>
      <c r="N2164" s="435"/>
      <c r="O2164" s="435"/>
      <c r="P2164" s="435">
        <f t="shared" si="345"/>
        <v>0</v>
      </c>
      <c r="Q2164" s="442"/>
      <c r="R2164" s="442"/>
      <c r="S2164" s="442"/>
      <c r="T2164" s="432">
        <f t="shared" si="348"/>
        <v>0</v>
      </c>
    </row>
    <row r="2165" spans="1:20" ht="22.2" hidden="1" customHeight="1">
      <c r="A2165" s="379"/>
      <c r="B2165" s="491" t="s">
        <v>65</v>
      </c>
      <c r="C2165" s="469" t="str">
        <f t="shared" si="344"/>
        <v xml:space="preserve"> </v>
      </c>
      <c r="D2165" s="494">
        <f>+'[1]ppht NC'!CB310</f>
        <v>0</v>
      </c>
      <c r="E2165" s="422"/>
      <c r="F2165" s="441" t="str">
        <f>VLOOKUP($B2165,[1]DG!A:D,[1]DG!$C$2,)</f>
        <v>Boulon 16x300+ 2 long đền vuông D18-50x50x3/Zn</v>
      </c>
      <c r="G2165" s="422" t="str">
        <f>VLOOKUP($B2165,[1]DG!A:D,[1]DG!$D$2,)</f>
        <v>bộ</v>
      </c>
      <c r="H2165" s="435">
        <f t="shared" si="347"/>
        <v>0</v>
      </c>
      <c r="I2165" s="435"/>
      <c r="J2165" s="435"/>
      <c r="K2165" s="435"/>
      <c r="L2165" s="435"/>
      <c r="M2165" s="435">
        <f t="shared" si="346"/>
        <v>0</v>
      </c>
      <c r="N2165" s="435"/>
      <c r="O2165" s="435"/>
      <c r="P2165" s="435">
        <f t="shared" si="345"/>
        <v>0</v>
      </c>
      <c r="Q2165" s="442"/>
      <c r="R2165" s="442"/>
      <c r="S2165" s="442"/>
      <c r="T2165" s="432">
        <f t="shared" si="348"/>
        <v>0</v>
      </c>
    </row>
    <row r="2166" spans="1:20" ht="22.2" hidden="1" customHeight="1">
      <c r="A2166" s="379"/>
      <c r="B2166" s="491" t="s">
        <v>1264</v>
      </c>
      <c r="C2166" s="469" t="str">
        <f t="shared" si="344"/>
        <v xml:space="preserve"> </v>
      </c>
      <c r="D2166" s="494">
        <f>[1]ppht!CD339</f>
        <v>0</v>
      </c>
      <c r="E2166" s="422"/>
      <c r="F2166" s="441" t="str">
        <f>VLOOKUP($B2166,[1]DG!A:D,[1]DG!$C$2,)</f>
        <v>Boulon 16x350+ 2 long đền vuông D18-50x50x3/Zn</v>
      </c>
      <c r="G2166" s="422" t="str">
        <f>VLOOKUP($B2166,[1]DG!A:D,[1]DG!$D$2,)</f>
        <v>bộ</v>
      </c>
      <c r="H2166" s="435">
        <f t="shared" si="347"/>
        <v>0</v>
      </c>
      <c r="I2166" s="435"/>
      <c r="J2166" s="435"/>
      <c r="K2166" s="435"/>
      <c r="L2166" s="435"/>
      <c r="M2166" s="435">
        <f t="shared" si="346"/>
        <v>0</v>
      </c>
      <c r="N2166" s="435"/>
      <c r="O2166" s="435"/>
      <c r="P2166" s="435">
        <f t="shared" si="345"/>
        <v>0</v>
      </c>
      <c r="Q2166" s="442"/>
      <c r="R2166" s="442"/>
      <c r="S2166" s="442"/>
      <c r="T2166" s="432">
        <f t="shared" si="348"/>
        <v>0</v>
      </c>
    </row>
    <row r="2167" spans="1:20" ht="22.2" hidden="1" customHeight="1">
      <c r="A2167" s="379"/>
      <c r="B2167" s="491" t="s">
        <v>1299</v>
      </c>
      <c r="C2167" s="469" t="str">
        <f t="shared" si="344"/>
        <v xml:space="preserve"> </v>
      </c>
      <c r="D2167" s="494">
        <f>[1]ppht!BF339</f>
        <v>0</v>
      </c>
      <c r="E2167" s="422"/>
      <c r="F2167" s="441" t="str">
        <f>VLOOKUP($B2167,[1]DG!A:D,[1]DG!$C$2,)</f>
        <v>Cáp thép 3/8"</v>
      </c>
      <c r="G2167" s="422" t="str">
        <f>VLOOKUP($B2167,[1]DG!A:D,[1]DG!$D$2,)</f>
        <v>kg</v>
      </c>
      <c r="H2167" s="435">
        <f t="shared" si="347"/>
        <v>0</v>
      </c>
      <c r="I2167" s="435"/>
      <c r="J2167" s="435"/>
      <c r="K2167" s="435"/>
      <c r="L2167" s="435"/>
      <c r="M2167" s="435">
        <f t="shared" si="346"/>
        <v>0</v>
      </c>
      <c r="N2167" s="435"/>
      <c r="O2167" s="435"/>
      <c r="P2167" s="435">
        <f t="shared" si="345"/>
        <v>0</v>
      </c>
      <c r="Q2167" s="442"/>
      <c r="R2167" s="442"/>
      <c r="S2167" s="442"/>
      <c r="T2167" s="432">
        <f t="shared" si="348"/>
        <v>0</v>
      </c>
    </row>
    <row r="2168" spans="1:20" ht="22.2" hidden="1" customHeight="1">
      <c r="A2168" s="379"/>
      <c r="B2168" s="491" t="s">
        <v>1170</v>
      </c>
      <c r="C2168" s="469" t="str">
        <f t="shared" si="344"/>
        <v xml:space="preserve"> </v>
      </c>
      <c r="D2168" s="440"/>
      <c r="E2168" s="422"/>
      <c r="F2168" s="441" t="str">
        <f>VLOOKUP($B2168,[1]DG!A:D,[1]DG!$C$2,)</f>
        <v>Ống nối dây cỡ 50mm2</v>
      </c>
      <c r="G2168" s="422" t="str">
        <f>VLOOKUP($B2168,[1]DG!A:D,[1]DG!$D$2,)</f>
        <v>cái</v>
      </c>
      <c r="H2168" s="435">
        <f t="shared" si="347"/>
        <v>0</v>
      </c>
      <c r="I2168" s="435"/>
      <c r="J2168" s="435"/>
      <c r="K2168" s="435"/>
      <c r="L2168" s="435"/>
      <c r="M2168" s="435">
        <f>H2168</f>
        <v>0</v>
      </c>
      <c r="N2168" s="435"/>
      <c r="O2168" s="435"/>
      <c r="P2168" s="435">
        <f t="shared" si="345"/>
        <v>0</v>
      </c>
      <c r="Q2168" s="442"/>
      <c r="R2168" s="442"/>
      <c r="S2168" s="442"/>
      <c r="T2168" s="432">
        <f t="shared" si="348"/>
        <v>0</v>
      </c>
    </row>
    <row r="2169" spans="1:20" ht="22.2" hidden="1" customHeight="1">
      <c r="A2169" s="379"/>
      <c r="B2169" s="491" t="s">
        <v>1171</v>
      </c>
      <c r="C2169" s="469" t="str">
        <f t="shared" si="344"/>
        <v xml:space="preserve"> </v>
      </c>
      <c r="D2169" s="440">
        <f>ROUND(D2153/2000,0)</f>
        <v>0</v>
      </c>
      <c r="E2169" s="422"/>
      <c r="F2169" s="441" t="str">
        <f>VLOOKUP($B2169,[1]DG!A:D,[1]DG!$C$2,)</f>
        <v>Ống nối dây cỡ 70mm2</v>
      </c>
      <c r="G2169" s="422" t="str">
        <f>VLOOKUP($B2169,[1]DG!A:D,[1]DG!$D$2,)</f>
        <v>cái</v>
      </c>
      <c r="H2169" s="435">
        <f t="shared" si="347"/>
        <v>0</v>
      </c>
      <c r="I2169" s="435"/>
      <c r="J2169" s="435"/>
      <c r="K2169" s="435"/>
      <c r="L2169" s="435"/>
      <c r="M2169" s="435">
        <f>H2169</f>
        <v>0</v>
      </c>
      <c r="N2169" s="435"/>
      <c r="O2169" s="435"/>
      <c r="P2169" s="435">
        <f t="shared" si="345"/>
        <v>0</v>
      </c>
      <c r="Q2169" s="442"/>
      <c r="R2169" s="442"/>
      <c r="S2169" s="442"/>
      <c r="T2169" s="432">
        <f t="shared" si="348"/>
        <v>0</v>
      </c>
    </row>
    <row r="2170" spans="1:20" ht="22.2" hidden="1" customHeight="1">
      <c r="A2170" s="379"/>
      <c r="B2170" s="491" t="s">
        <v>1178</v>
      </c>
      <c r="C2170" s="469" t="str">
        <f t="shared" si="344"/>
        <v xml:space="preserve"> </v>
      </c>
      <c r="D2170" s="440"/>
      <c r="E2170" s="422"/>
      <c r="F2170" s="441" t="str">
        <f>VLOOKUP($B2170,[1]DG!A:D,[1]DG!$C$2,)</f>
        <v>Biển số - Bảng nguy hiểm</v>
      </c>
      <c r="G2170" s="422" t="str">
        <f>VLOOKUP($B2170,[1]DG!A:D,[1]DG!$D$2,)</f>
        <v>cái</v>
      </c>
      <c r="H2170" s="435">
        <f t="shared" si="347"/>
        <v>0</v>
      </c>
      <c r="I2170" s="435"/>
      <c r="J2170" s="435"/>
      <c r="K2170" s="435"/>
      <c r="L2170" s="435"/>
      <c r="M2170" s="435">
        <f>H2170</f>
        <v>0</v>
      </c>
      <c r="N2170" s="435"/>
      <c r="O2170" s="435"/>
      <c r="P2170" s="435">
        <f t="shared" si="345"/>
        <v>0</v>
      </c>
      <c r="Q2170" s="442"/>
      <c r="R2170" s="442"/>
      <c r="S2170" s="442"/>
      <c r="T2170" s="432">
        <f t="shared" si="348"/>
        <v>0</v>
      </c>
    </row>
    <row r="2171" spans="1:20" ht="22.2" hidden="1" customHeight="1">
      <c r="A2171" s="379"/>
      <c r="B2171" s="491" t="s">
        <v>1177</v>
      </c>
      <c r="C2171" s="469" t="str">
        <f t="shared" si="344"/>
        <v xml:space="preserve"> </v>
      </c>
      <c r="D2171" s="440">
        <f>SUM(D2173:D2173)*5/1.4</f>
        <v>0</v>
      </c>
      <c r="E2171" s="422"/>
      <c r="F2171" s="441" t="str">
        <f>VLOOKUP($B2171,[1]DG!A:D,[1]DG!$C$2,)</f>
        <v xml:space="preserve">Dây nhôm buộc </v>
      </c>
      <c r="G2171" s="422" t="str">
        <f>VLOOKUP($B2171,[1]DG!A:D,[1]DG!$D$2,)</f>
        <v>kg</v>
      </c>
      <c r="H2171" s="435">
        <f t="shared" si="347"/>
        <v>0</v>
      </c>
      <c r="I2171" s="435"/>
      <c r="J2171" s="435"/>
      <c r="K2171" s="435"/>
      <c r="L2171" s="435"/>
      <c r="M2171" s="435">
        <f>H2171</f>
        <v>0</v>
      </c>
      <c r="N2171" s="435"/>
      <c r="O2171" s="435"/>
      <c r="P2171" s="435">
        <f t="shared" si="345"/>
        <v>0</v>
      </c>
      <c r="Q2171" s="442"/>
      <c r="R2171" s="442"/>
      <c r="S2171" s="442"/>
      <c r="T2171" s="432">
        <f t="shared" si="348"/>
        <v>0</v>
      </c>
    </row>
    <row r="2172" spans="1:20" ht="22.2" hidden="1" customHeight="1">
      <c r="A2172" s="379"/>
      <c r="B2172" s="491" t="s">
        <v>1270</v>
      </c>
      <c r="C2172" s="469" t="str">
        <f t="shared" si="344"/>
        <v xml:space="preserve"> </v>
      </c>
      <c r="D2172" s="439">
        <f>ROUND(E2154/1000,2)</f>
        <v>0</v>
      </c>
      <c r="E2172" s="422" t="str">
        <f>VLOOKUP($B2172,[1]DG!A:D,[1]DG!$B$2,)</f>
        <v>06.6124</v>
      </c>
      <c r="F2172" s="434" t="str">
        <f>VLOOKUP($B2172,[1]DG!A:D,[1]DG!$C$2,)</f>
        <v>Kéo dây nhôm bọc 50mm2</v>
      </c>
      <c r="G2172" s="422" t="str">
        <f>VLOOKUP($B2172,[1]DG!A:D,[1]DG!$D$2,)</f>
        <v>km</v>
      </c>
      <c r="H2172" s="435"/>
      <c r="I2172" s="435"/>
      <c r="J2172" s="435"/>
      <c r="K2172" s="435"/>
      <c r="L2172" s="435"/>
      <c r="M2172" s="435"/>
      <c r="N2172" s="435"/>
      <c r="O2172" s="435"/>
      <c r="P2172" s="435">
        <f t="shared" si="345"/>
        <v>0</v>
      </c>
      <c r="Q2172" s="442"/>
      <c r="R2172" s="442"/>
      <c r="S2172" s="442"/>
      <c r="T2172" s="432">
        <f t="shared" si="348"/>
        <v>0</v>
      </c>
    </row>
    <row r="2173" spans="1:20" ht="22.2" hidden="1" customHeight="1">
      <c r="A2173" s="379"/>
      <c r="B2173" s="491" t="s">
        <v>1188</v>
      </c>
      <c r="C2173" s="469" t="str">
        <f t="shared" si="344"/>
        <v xml:space="preserve"> </v>
      </c>
      <c r="D2173" s="439">
        <f>ROUND(E2153/1000,2)</f>
        <v>0</v>
      </c>
      <c r="E2173" s="422" t="str">
        <f>VLOOKUP($B2173,[1]DG!A:D,[1]DG!$B$2,)</f>
        <v>06.6105</v>
      </c>
      <c r="F2173" s="434" t="str">
        <f>VLOOKUP($B2173,[1]DG!A:D,[1]DG!$C$2,)</f>
        <v>Kéo dây nhôm bọc 70mm2</v>
      </c>
      <c r="G2173" s="422" t="str">
        <f>VLOOKUP($B2173,[1]DG!A:D,[1]DG!$D$2,)</f>
        <v>km</v>
      </c>
      <c r="H2173" s="435"/>
      <c r="I2173" s="435"/>
      <c r="J2173" s="435"/>
      <c r="K2173" s="435"/>
      <c r="L2173" s="435"/>
      <c r="M2173" s="435"/>
      <c r="N2173" s="435"/>
      <c r="O2173" s="435"/>
      <c r="P2173" s="435">
        <f t="shared" si="345"/>
        <v>0</v>
      </c>
      <c r="Q2173" s="442"/>
      <c r="R2173" s="442"/>
      <c r="S2173" s="442"/>
      <c r="T2173" s="432">
        <f t="shared" si="348"/>
        <v>0</v>
      </c>
    </row>
    <row r="2174" spans="1:20" ht="22.2" hidden="1" customHeight="1">
      <c r="A2174" s="379"/>
      <c r="B2174" s="491" t="s">
        <v>1179</v>
      </c>
      <c r="C2174" s="469" t="str">
        <f t="shared" si="344"/>
        <v xml:space="preserve"> </v>
      </c>
      <c r="D2174" s="439">
        <f>ROUND(E2155/1000,2)</f>
        <v>0</v>
      </c>
      <c r="E2174" s="422" t="str">
        <f>VLOOKUP($B2174,[1]DG!A:D,[1]DG!$B$2,)</f>
        <v>06.6114</v>
      </c>
      <c r="F2174" s="434" t="str">
        <f>VLOOKUP($B2174,[1]DG!A:D,[1]DG!$C$2,)</f>
        <v>Kéo dây nhôm lõi thép cỡ dây 50mm2</v>
      </c>
      <c r="G2174" s="422" t="str">
        <f>VLOOKUP($B2174,[1]DG!A:D,[1]DG!$D$2,)</f>
        <v>km</v>
      </c>
      <c r="H2174" s="435"/>
      <c r="I2174" s="435"/>
      <c r="J2174" s="435"/>
      <c r="K2174" s="435"/>
      <c r="L2174" s="435"/>
      <c r="M2174" s="435"/>
      <c r="N2174" s="435"/>
      <c r="O2174" s="435"/>
      <c r="P2174" s="435">
        <f t="shared" si="345"/>
        <v>0</v>
      </c>
      <c r="Q2174" s="442"/>
      <c r="R2174" s="442"/>
      <c r="S2174" s="442"/>
      <c r="T2174" s="432">
        <f t="shared" si="348"/>
        <v>0</v>
      </c>
    </row>
    <row r="2175" spans="1:20" ht="22.2" hidden="1" customHeight="1">
      <c r="A2175" s="379"/>
      <c r="B2175" s="410" t="s">
        <v>1379</v>
      </c>
      <c r="C2175" s="469" t="str">
        <f t="shared" si="344"/>
        <v xml:space="preserve"> </v>
      </c>
      <c r="D2175" s="440">
        <f>D2159</f>
        <v>0</v>
      </c>
      <c r="E2175" s="422" t="str">
        <f>VLOOKUP($B2175,[1]DG!A:D,[1]DG!$B$2,)</f>
        <v>06.1211</v>
      </c>
      <c r="F2175" s="434" t="str">
        <f>VLOOKUP($B2175,[1]DG!A:D,[1]DG!$C$2,)</f>
        <v>Lắp rack sứ + sứ ống chỉ</v>
      </c>
      <c r="G2175" s="422" t="str">
        <f>VLOOKUP($B2175,[1]DG!A:D,[1]DG!$D$2,)</f>
        <v>bộ</v>
      </c>
      <c r="H2175" s="435"/>
      <c r="I2175" s="435"/>
      <c r="J2175" s="435"/>
      <c r="K2175" s="435"/>
      <c r="L2175" s="435"/>
      <c r="M2175" s="435"/>
      <c r="N2175" s="435"/>
      <c r="O2175" s="435"/>
      <c r="P2175" s="435">
        <f t="shared" si="345"/>
        <v>0</v>
      </c>
      <c r="Q2175" s="442"/>
      <c r="R2175" s="442"/>
      <c r="S2175" s="442"/>
      <c r="T2175" s="432">
        <f t="shared" si="348"/>
        <v>0</v>
      </c>
    </row>
    <row r="2176" spans="1:20" ht="22.2" hidden="1" customHeight="1">
      <c r="A2176" s="379"/>
      <c r="B2176" s="410" t="s">
        <v>1369</v>
      </c>
      <c r="C2176" s="469" t="str">
        <f t="shared" si="344"/>
        <v xml:space="preserve"> </v>
      </c>
      <c r="D2176" s="440">
        <f>D2160</f>
        <v>0</v>
      </c>
      <c r="E2176" s="422" t="str">
        <f>VLOOKUP($B2176,[1]DG!A:D,[1]DG!$B$2,)</f>
        <v>06.1213</v>
      </c>
      <c r="F2176" s="434" t="str">
        <f>VLOOKUP($B2176,[1]DG!A:D,[1]DG!$C$2,)</f>
        <v>Lắp rack 2 sứ + sứ ống chỉ</v>
      </c>
      <c r="G2176" s="422" t="str">
        <f>VLOOKUP($B2176,[1]DG!A:D,[1]DG!$D$2,)</f>
        <v>bộ</v>
      </c>
      <c r="H2176" s="435"/>
      <c r="I2176" s="435"/>
      <c r="J2176" s="435"/>
      <c r="K2176" s="435"/>
      <c r="L2176" s="435"/>
      <c r="M2176" s="435"/>
      <c r="N2176" s="435"/>
      <c r="O2176" s="435"/>
      <c r="P2176" s="435">
        <f t="shared" si="345"/>
        <v>0</v>
      </c>
      <c r="Q2176" s="442"/>
      <c r="R2176" s="442"/>
      <c r="S2176" s="442"/>
      <c r="T2176" s="432">
        <f t="shared" si="348"/>
        <v>0</v>
      </c>
    </row>
    <row r="2177" spans="1:20" ht="22.2" hidden="1" customHeight="1">
      <c r="A2177" s="379"/>
      <c r="B2177" s="410" t="s">
        <v>1200</v>
      </c>
      <c r="C2177" s="469" t="str">
        <f t="shared" si="344"/>
        <v xml:space="preserve"> </v>
      </c>
      <c r="D2177" s="440">
        <f>D2161</f>
        <v>0</v>
      </c>
      <c r="E2177" s="422" t="str">
        <f>VLOOKUP($B2177,[1]DG!A:D,[1]DG!$B$2,)</f>
        <v>06.1214</v>
      </c>
      <c r="F2177" s="434" t="str">
        <f>VLOOKUP($B2177,[1]DG!A:D,[1]DG!$C$2,)</f>
        <v>Lắp rack 3 sứ + sứ ống chỉ</v>
      </c>
      <c r="G2177" s="422" t="str">
        <f>VLOOKUP($B2177,[1]DG!A:D,[1]DG!$D$2,)</f>
        <v>bộ</v>
      </c>
      <c r="H2177" s="435"/>
      <c r="I2177" s="435"/>
      <c r="J2177" s="435"/>
      <c r="K2177" s="435"/>
      <c r="L2177" s="435"/>
      <c r="M2177" s="435"/>
      <c r="N2177" s="435"/>
      <c r="O2177" s="435"/>
      <c r="P2177" s="435">
        <f t="shared" si="345"/>
        <v>0</v>
      </c>
      <c r="Q2177" s="437"/>
      <c r="R2177" s="437"/>
      <c r="S2177" s="437"/>
      <c r="T2177" s="432">
        <f t="shared" si="348"/>
        <v>0</v>
      </c>
    </row>
    <row r="2178" spans="1:20" ht="22.2" hidden="1" customHeight="1">
      <c r="A2178" s="379"/>
      <c r="B2178" s="410" t="s">
        <v>1370</v>
      </c>
      <c r="C2178" s="469" t="str">
        <f t="shared" si="344"/>
        <v xml:space="preserve"> </v>
      </c>
      <c r="D2178" s="440">
        <f>D2162</f>
        <v>0</v>
      </c>
      <c r="E2178" s="422" t="str">
        <f>VLOOKUP($B2178,[1]DG!A:D,[1]DG!$B$2,)</f>
        <v>06.1215</v>
      </c>
      <c r="F2178" s="434" t="str">
        <f>VLOOKUP($B2178,[1]DG!A:D,[1]DG!$C$2,)</f>
        <v>Lắp rack 4 sứ + sứ ống chỉ</v>
      </c>
      <c r="G2178" s="422" t="str">
        <f>VLOOKUP($B2178,[1]DG!A:D,[1]DG!$D$2,)</f>
        <v>bộ</v>
      </c>
      <c r="H2178" s="435"/>
      <c r="I2178" s="435"/>
      <c r="J2178" s="435"/>
      <c r="K2178" s="435"/>
      <c r="L2178" s="435"/>
      <c r="M2178" s="435"/>
      <c r="N2178" s="435"/>
      <c r="O2178" s="435"/>
      <c r="P2178" s="435">
        <f t="shared" si="345"/>
        <v>0</v>
      </c>
      <c r="Q2178" s="442"/>
      <c r="R2178" s="442"/>
      <c r="S2178" s="442"/>
      <c r="T2178" s="432">
        <f t="shared" si="348"/>
        <v>0</v>
      </c>
    </row>
    <row r="2179" spans="1:20" ht="22.2" hidden="1" customHeight="1">
      <c r="A2179" s="379"/>
      <c r="B2179" s="410" t="s">
        <v>1371</v>
      </c>
      <c r="C2179" s="469" t="str">
        <f t="shared" si="344"/>
        <v xml:space="preserve"> </v>
      </c>
      <c r="D2179" s="440">
        <f>D2170</f>
        <v>0</v>
      </c>
      <c r="E2179" s="422" t="str">
        <f>VLOOKUP($B2179,[1]DG!A:D,[1]DG!$B$2,)</f>
        <v>06.2070</v>
      </c>
      <c r="F2179" s="441" t="str">
        <f>VLOOKUP($B2179,[1]DG!A:D,[1]DG!$C$2,)</f>
        <v>Sơn biển số- bảng nguy hiểm</v>
      </c>
      <c r="G2179" s="422" t="str">
        <f>VLOOKUP($B2179,[1]DG!A:D,[1]DG!$D$2,)</f>
        <v>cái</v>
      </c>
      <c r="H2179" s="435"/>
      <c r="I2179" s="435"/>
      <c r="J2179" s="435"/>
      <c r="K2179" s="435"/>
      <c r="L2179" s="435"/>
      <c r="M2179" s="435"/>
      <c r="N2179" s="435"/>
      <c r="O2179" s="435"/>
      <c r="P2179" s="435">
        <f t="shared" si="345"/>
        <v>0</v>
      </c>
      <c r="Q2179" s="442"/>
      <c r="R2179" s="442"/>
      <c r="S2179" s="442"/>
      <c r="T2179" s="432">
        <f t="shared" si="348"/>
        <v>0</v>
      </c>
    </row>
    <row r="2180" spans="1:20" ht="22.2" hidden="1" customHeight="1">
      <c r="A2180" s="379"/>
      <c r="B2180" s="410" t="s">
        <v>1211</v>
      </c>
      <c r="C2180" s="469" t="str">
        <f t="shared" si="344"/>
        <v xml:space="preserve"> </v>
      </c>
      <c r="D2180" s="439">
        <f>D2183</f>
        <v>0</v>
      </c>
      <c r="E2180" s="422" t="str">
        <f>VLOOKUP($B2180,[1]DG!A:D,[1]DG!$B$2,)</f>
        <v>02.1122</v>
      </c>
      <c r="F2180" s="434" t="str">
        <f>VLOOKUP($B2180,[1]DG!A:D,[1]DG!$C$2,)</f>
        <v>Bốc dỡ dây</v>
      </c>
      <c r="G2180" s="422" t="str">
        <f>VLOOKUP($B2180,[1]DG!A:D,[1]DG!$D$2,)</f>
        <v>tấn</v>
      </c>
      <c r="H2180" s="435"/>
      <c r="I2180" s="435"/>
      <c r="J2180" s="435"/>
      <c r="K2180" s="435"/>
      <c r="L2180" s="435"/>
      <c r="M2180" s="435"/>
      <c r="N2180" s="435"/>
      <c r="O2180" s="435"/>
      <c r="P2180" s="435">
        <f t="shared" si="345"/>
        <v>0</v>
      </c>
      <c r="Q2180" s="437"/>
      <c r="R2180" s="437"/>
      <c r="S2180" s="437"/>
      <c r="T2180" s="432">
        <f t="shared" si="348"/>
        <v>0</v>
      </c>
    </row>
    <row r="2181" spans="1:20" ht="22.2" hidden="1" customHeight="1">
      <c r="A2181" s="379"/>
      <c r="B2181" s="410" t="s">
        <v>796</v>
      </c>
      <c r="C2181" s="469" t="str">
        <f t="shared" si="344"/>
        <v xml:space="preserve"> </v>
      </c>
      <c r="D2181" s="439">
        <f>D2182</f>
        <v>0</v>
      </c>
      <c r="E2181" s="422" t="str">
        <f>VLOOKUP($B2181,[1]DG!A:D,[1]DG!$B$2,)</f>
        <v>02.1120</v>
      </c>
      <c r="F2181" s="434" t="str">
        <f>VLOOKUP($B2181,[1]DG!A:D,[1]DG!$C$2,)</f>
        <v>Bốc dỡ phụ kiện</v>
      </c>
      <c r="G2181" s="422" t="str">
        <f>VLOOKUP($B2181,[1]DG!A:D,[1]DG!$D$2,)</f>
        <v>tấn</v>
      </c>
      <c r="H2181" s="435"/>
      <c r="I2181" s="435"/>
      <c r="J2181" s="435"/>
      <c r="K2181" s="435"/>
      <c r="L2181" s="435"/>
      <c r="M2181" s="435"/>
      <c r="N2181" s="435"/>
      <c r="O2181" s="435"/>
      <c r="P2181" s="435">
        <f t="shared" si="345"/>
        <v>0</v>
      </c>
      <c r="Q2181" s="437"/>
      <c r="R2181" s="437"/>
      <c r="S2181" s="437"/>
      <c r="T2181" s="432">
        <f t="shared" si="348"/>
        <v>0</v>
      </c>
    </row>
    <row r="2182" spans="1:20" ht="22.2" hidden="1" customHeight="1">
      <c r="A2182" s="379"/>
      <c r="B2182" s="380" t="s">
        <v>993</v>
      </c>
      <c r="C2182" s="469" t="str">
        <f t="shared" ref="C2182:C2245" si="349">IF(OR(P2182&lt;&gt;0,H2182&lt;&gt;0),"x"," ")</f>
        <v xml:space="preserve"> </v>
      </c>
      <c r="D2182" s="439">
        <f>(D2159*1+D2160*2+D2161*3+D2162*4)/1000</f>
        <v>0</v>
      </c>
      <c r="E2182" s="422" t="str">
        <f>VLOOKUP($B2182,[1]DG!A:C,2,)</f>
        <v>02.1421</v>
      </c>
      <c r="F2182" s="434" t="str">
        <f>VLOOKUP($B2182,[1]DG!A:C,3,)</f>
        <v>V/c phụ kiện vào vị trí (cự ly &lt;=100m)</v>
      </c>
      <c r="G2182" s="422" t="str">
        <f>VLOOKUP($B2182,[1]DG!A:D,4,0)</f>
        <v>tấn</v>
      </c>
      <c r="H2182" s="435"/>
      <c r="I2182" s="435"/>
      <c r="J2182" s="435"/>
      <c r="K2182" s="435"/>
      <c r="L2182" s="435"/>
      <c r="M2182" s="435"/>
      <c r="N2182" s="435"/>
      <c r="O2182" s="435"/>
      <c r="P2182" s="435">
        <f t="shared" si="345"/>
        <v>0</v>
      </c>
      <c r="Q2182" s="437"/>
      <c r="R2182" s="437"/>
      <c r="S2182" s="437"/>
      <c r="T2182" s="432">
        <f t="shared" si="348"/>
        <v>0</v>
      </c>
    </row>
    <row r="2183" spans="1:20" ht="22.2" hidden="1" customHeight="1">
      <c r="A2183" s="379"/>
      <c r="B2183" s="380" t="s">
        <v>1212</v>
      </c>
      <c r="C2183" s="469" t="str">
        <f t="shared" si="349"/>
        <v xml:space="preserve"> </v>
      </c>
      <c r="D2183" s="439">
        <f>ROUND((D2153*0.308+D2154*0.229)*1.05/1000,2)</f>
        <v>0</v>
      </c>
      <c r="E2183" s="422" t="str">
        <f>VLOOKUP($B2183,[1]DG!A:C,2,)</f>
        <v>02.1441</v>
      </c>
      <c r="F2183" s="434" t="str">
        <f>VLOOKUP($B2183,[1]DG!A:C,3,)</f>
        <v>V/c dây vào vị trí (cự ly &lt;=100m)</v>
      </c>
      <c r="G2183" s="422" t="str">
        <f>VLOOKUP($B2183,[1]DG!A:D,4,0)</f>
        <v>tấn</v>
      </c>
      <c r="H2183" s="435"/>
      <c r="I2183" s="435"/>
      <c r="J2183" s="435"/>
      <c r="K2183" s="435"/>
      <c r="L2183" s="435"/>
      <c r="M2183" s="435"/>
      <c r="N2183" s="435"/>
      <c r="O2183" s="435"/>
      <c r="P2183" s="435">
        <f t="shared" si="345"/>
        <v>0</v>
      </c>
      <c r="Q2183" s="437"/>
      <c r="R2183" s="437"/>
      <c r="S2183" s="437"/>
      <c r="T2183" s="432">
        <f t="shared" si="348"/>
        <v>0</v>
      </c>
    </row>
    <row r="2184" spans="1:20" ht="22.2" hidden="1" customHeight="1">
      <c r="A2184" s="379"/>
      <c r="B2184" s="438" t="s">
        <v>1065</v>
      </c>
      <c r="C2184" s="469" t="str">
        <f t="shared" si="349"/>
        <v xml:space="preserve"> </v>
      </c>
      <c r="D2184" s="439">
        <f>IF(D2183&lt;&gt;0,2,0)</f>
        <v>0</v>
      </c>
      <c r="E2184" s="422" t="str">
        <f>VLOOKUP($B2184,[1]DG!A:C,2,)</f>
        <v>02.1482</v>
      </c>
      <c r="F2184" s="434" t="str">
        <f>VLOOKUP($B2184,[1]DG!A:C,3,)</f>
        <v>V/c dụng cụ thi công vào vị trí (cự ly &lt;=100m)</v>
      </c>
      <c r="G2184" s="422" t="str">
        <f>VLOOKUP($B2184,[1]DG!A:D,4,0)</f>
        <v>tấn</v>
      </c>
      <c r="H2184" s="435"/>
      <c r="I2184" s="435"/>
      <c r="J2184" s="435"/>
      <c r="K2184" s="435"/>
      <c r="L2184" s="435"/>
      <c r="M2184" s="435"/>
      <c r="N2184" s="435"/>
      <c r="O2184" s="435"/>
      <c r="P2184" s="435">
        <f t="shared" si="345"/>
        <v>0</v>
      </c>
      <c r="Q2184" s="437"/>
      <c r="R2184" s="437"/>
      <c r="S2184" s="437"/>
      <c r="T2184" s="432">
        <f t="shared" si="348"/>
        <v>0</v>
      </c>
    </row>
    <row r="2185" spans="1:20" ht="22.2" hidden="1" customHeight="1">
      <c r="A2185" s="423" t="s">
        <v>611</v>
      </c>
      <c r="B2185" s="424" t="s">
        <v>611</v>
      </c>
      <c r="C2185" s="469" t="str">
        <f t="shared" si="349"/>
        <v xml:space="preserve"> </v>
      </c>
      <c r="D2185" s="426"/>
      <c r="E2185" s="349" t="s">
        <v>1380</v>
      </c>
      <c r="F2185" s="428" t="s">
        <v>1381</v>
      </c>
      <c r="G2185" s="349" t="s">
        <v>1098</v>
      </c>
      <c r="H2185" s="429">
        <f>SUM(I2185:O2185)</f>
        <v>0</v>
      </c>
      <c r="I2185" s="430"/>
      <c r="J2185" s="430"/>
      <c r="K2185" s="430"/>
      <c r="L2185" s="430">
        <f>IFERROR(HLOOKUP(chitiet!B2185,[1]pp1p!$1:$3,3,0),0)</f>
        <v>0</v>
      </c>
      <c r="M2185" s="430"/>
      <c r="N2185" s="430"/>
      <c r="O2185" s="430"/>
      <c r="P2185" s="435">
        <f t="shared" si="345"/>
        <v>0</v>
      </c>
      <c r="Q2185" s="431"/>
      <c r="R2185" s="431"/>
      <c r="S2185" s="431"/>
      <c r="T2185" s="432">
        <f t="shared" si="348"/>
        <v>0</v>
      </c>
    </row>
    <row r="2186" spans="1:20" ht="22.2" hidden="1" customHeight="1">
      <c r="A2186" s="379"/>
      <c r="B2186" s="410" t="s">
        <v>1382</v>
      </c>
      <c r="C2186" s="469" t="str">
        <f t="shared" si="349"/>
        <v xml:space="preserve"> </v>
      </c>
      <c r="D2186" s="453">
        <f>ROUND(E2186*1.02,0)</f>
        <v>0</v>
      </c>
      <c r="E2186" s="484">
        <f>[1]PPHTCS!C74</f>
        <v>0</v>
      </c>
      <c r="F2186" s="441" t="str">
        <f>VLOOKUP($B2186,[1]DG!A:D,[1]DG!$C$2,)</f>
        <v>Cáp Triplex 3x16</v>
      </c>
      <c r="G2186" s="422" t="str">
        <f>VLOOKUP($B2186,[1]DG!A:D,[1]DG!$D$2,)</f>
        <v>m</v>
      </c>
      <c r="H2186" s="435">
        <f t="shared" ref="H2186:H2232" si="350">D2186</f>
        <v>0</v>
      </c>
      <c r="I2186" s="435"/>
      <c r="J2186" s="435"/>
      <c r="K2186" s="435"/>
      <c r="L2186" s="435"/>
      <c r="M2186" s="435"/>
      <c r="N2186" s="435"/>
      <c r="O2186" s="435"/>
      <c r="P2186" s="435">
        <f t="shared" si="345"/>
        <v>0</v>
      </c>
      <c r="Q2186" s="442"/>
      <c r="R2186" s="442"/>
      <c r="S2186" s="442"/>
      <c r="T2186" s="432">
        <f t="shared" si="348"/>
        <v>0</v>
      </c>
    </row>
    <row r="2187" spans="1:20" ht="22.2" hidden="1" customHeight="1">
      <c r="A2187" s="379"/>
      <c r="B2187" s="410" t="s">
        <v>1383</v>
      </c>
      <c r="C2187" s="469" t="str">
        <f t="shared" si="349"/>
        <v xml:space="preserve"> </v>
      </c>
      <c r="D2187" s="453">
        <f>ROUND(E2187*1.02,0)</f>
        <v>0</v>
      </c>
      <c r="E2187" s="484">
        <f>[1]PPHTCS!C75</f>
        <v>0</v>
      </c>
      <c r="F2187" s="441" t="str">
        <f>VLOOKUP($B2187,[1]DG!A:D,[1]DG!$C$2,)</f>
        <v>Cáp Quadruplex 4x11</v>
      </c>
      <c r="G2187" s="422" t="str">
        <f>VLOOKUP($B2187,[1]DG!A:D,[1]DG!$D$2,)</f>
        <v>m</v>
      </c>
      <c r="H2187" s="435">
        <f t="shared" si="350"/>
        <v>0</v>
      </c>
      <c r="I2187" s="435"/>
      <c r="J2187" s="435"/>
      <c r="K2187" s="435"/>
      <c r="L2187" s="435"/>
      <c r="M2187" s="435"/>
      <c r="N2187" s="435"/>
      <c r="O2187" s="435"/>
      <c r="P2187" s="435">
        <f t="shared" si="345"/>
        <v>0</v>
      </c>
      <c r="Q2187" s="442"/>
      <c r="R2187" s="442"/>
      <c r="S2187" s="442"/>
      <c r="T2187" s="432">
        <f t="shared" si="348"/>
        <v>0</v>
      </c>
    </row>
    <row r="2188" spans="1:20" ht="22.2" hidden="1" customHeight="1">
      <c r="A2188" s="379"/>
      <c r="B2188" s="410" t="s">
        <v>1384</v>
      </c>
      <c r="C2188" s="469" t="str">
        <f t="shared" si="349"/>
        <v xml:space="preserve"> </v>
      </c>
      <c r="D2188" s="453">
        <f>ROUND(E2188*1.02,0)</f>
        <v>0</v>
      </c>
      <c r="E2188" s="484">
        <f>[1]PPHTCS!C76</f>
        <v>0</v>
      </c>
      <c r="F2188" s="441" t="str">
        <f>VLOOKUP($B2188,[1]DG!A:D,[1]DG!$C$2,)</f>
        <v>Cáp Quadruplex 4x16</v>
      </c>
      <c r="G2188" s="422" t="str">
        <f>VLOOKUP($B2188,[1]DG!A:D,[1]DG!$D$2,)</f>
        <v>m</v>
      </c>
      <c r="H2188" s="435">
        <f t="shared" si="350"/>
        <v>0</v>
      </c>
      <c r="I2188" s="435"/>
      <c r="J2188" s="435"/>
      <c r="K2188" s="435"/>
      <c r="L2188" s="435"/>
      <c r="M2188" s="435"/>
      <c r="N2188" s="435"/>
      <c r="O2188" s="435"/>
      <c r="P2188" s="435">
        <f t="shared" si="345"/>
        <v>0</v>
      </c>
      <c r="Q2188" s="442"/>
      <c r="R2188" s="442"/>
      <c r="S2188" s="442"/>
      <c r="T2188" s="432">
        <f t="shared" si="348"/>
        <v>0</v>
      </c>
    </row>
    <row r="2189" spans="1:20" ht="22.2" hidden="1" customHeight="1">
      <c r="A2189" s="379"/>
      <c r="B2189" s="410" t="s">
        <v>1385</v>
      </c>
      <c r="C2189" s="469" t="str">
        <f t="shared" si="349"/>
        <v xml:space="preserve"> </v>
      </c>
      <c r="D2189" s="453">
        <f>ROUND(E2189*1.02,0)</f>
        <v>0</v>
      </c>
      <c r="E2189" s="484">
        <f>[1]PPHTCS!C77</f>
        <v>0</v>
      </c>
      <c r="F2189" s="441" t="str">
        <f>VLOOKUP($B2189,[1]DG!A:D,[1]DG!$C$2,)</f>
        <v>Cáp nhôm ABC 4x50mm2</v>
      </c>
      <c r="G2189" s="422" t="str">
        <f>VLOOKUP($B2189,[1]DG!A:D,[1]DG!$D$2,)</f>
        <v>mét</v>
      </c>
      <c r="H2189" s="435">
        <f t="shared" si="350"/>
        <v>0</v>
      </c>
      <c r="I2189" s="435"/>
      <c r="J2189" s="435"/>
      <c r="K2189" s="435"/>
      <c r="L2189" s="435"/>
      <c r="M2189" s="435"/>
      <c r="N2189" s="435"/>
      <c r="O2189" s="435"/>
      <c r="P2189" s="435">
        <f t="shared" si="345"/>
        <v>0</v>
      </c>
      <c r="Q2189" s="442"/>
      <c r="R2189" s="442"/>
      <c r="S2189" s="442"/>
      <c r="T2189" s="432">
        <f t="shared" si="348"/>
        <v>0</v>
      </c>
    </row>
    <row r="2190" spans="1:20" ht="22.2" hidden="1" customHeight="1">
      <c r="A2190" s="379"/>
      <c r="B2190" s="410" t="s">
        <v>1386</v>
      </c>
      <c r="C2190" s="469" t="str">
        <f t="shared" si="349"/>
        <v xml:space="preserve"> </v>
      </c>
      <c r="D2190" s="453">
        <f>ROUND(E2190*1.05,0)</f>
        <v>0</v>
      </c>
      <c r="E2190" s="484"/>
      <c r="F2190" s="441" t="str">
        <f>VLOOKUP($B2190,[1]DG!A:D,[1]DG!$C$2,)</f>
        <v>Cáp đồng bọc CV16</v>
      </c>
      <c r="G2190" s="422" t="str">
        <f>VLOOKUP($B2190,[1]DG!A:D,[1]DG!$D$2,)</f>
        <v>mét</v>
      </c>
      <c r="H2190" s="435">
        <f t="shared" si="350"/>
        <v>0</v>
      </c>
      <c r="I2190" s="435"/>
      <c r="J2190" s="435"/>
      <c r="K2190" s="435"/>
      <c r="L2190" s="435"/>
      <c r="M2190" s="435"/>
      <c r="N2190" s="435"/>
      <c r="O2190" s="435"/>
      <c r="P2190" s="435">
        <f t="shared" si="345"/>
        <v>0</v>
      </c>
      <c r="Q2190" s="442"/>
      <c r="R2190" s="442"/>
      <c r="S2190" s="442"/>
      <c r="T2190" s="432">
        <f t="shared" si="348"/>
        <v>0</v>
      </c>
    </row>
    <row r="2191" spans="1:20" ht="22.2" hidden="1" customHeight="1">
      <c r="A2191" s="379"/>
      <c r="B2191" s="410" t="s">
        <v>1387</v>
      </c>
      <c r="C2191" s="469" t="str">
        <f t="shared" si="349"/>
        <v xml:space="preserve"> </v>
      </c>
      <c r="D2191" s="453">
        <f>ROUND((D2194+D2193*2)*8*1.02,0)</f>
        <v>0</v>
      </c>
      <c r="E2191" s="484"/>
      <c r="F2191" s="441" t="str">
        <f>VLOOKUP($B2191,[1]DG!A:D,[1]DG!$C$2,)&amp;": 8m/ñeøn"</f>
        <v>Cáp đồng mềm CV2,5: 8m/ñeøn</v>
      </c>
      <c r="G2191" s="422" t="str">
        <f>VLOOKUP($B2191,[1]DG!A:D,[1]DG!$D$2,)</f>
        <v>mét</v>
      </c>
      <c r="H2191" s="435">
        <f t="shared" si="350"/>
        <v>0</v>
      </c>
      <c r="I2191" s="435"/>
      <c r="J2191" s="435"/>
      <c r="K2191" s="435"/>
      <c r="L2191" s="435"/>
      <c r="M2191" s="435"/>
      <c r="N2191" s="435"/>
      <c r="O2191" s="435"/>
      <c r="P2191" s="435">
        <f t="shared" si="345"/>
        <v>0</v>
      </c>
      <c r="Q2191" s="442"/>
      <c r="R2191" s="442"/>
      <c r="S2191" s="442"/>
      <c r="T2191" s="432">
        <f t="shared" si="348"/>
        <v>0</v>
      </c>
    </row>
    <row r="2192" spans="1:20" ht="22.2" hidden="1" customHeight="1">
      <c r="A2192" s="379"/>
      <c r="B2192" s="410" t="s">
        <v>1388</v>
      </c>
      <c r="C2192" s="469" t="str">
        <f t="shared" si="349"/>
        <v xml:space="preserve"> </v>
      </c>
      <c r="D2192" s="453">
        <f>ROUND(D2195*5*1.02,0)</f>
        <v>0</v>
      </c>
      <c r="E2192" s="484"/>
      <c r="F2192" s="441" t="str">
        <f>VLOOKUP($B2192,[1]DG!A:D,[1]DG!$C$2,)&amp;": 5m/ñeøn"</f>
        <v>Cáp CVV 2x2,5mm2  : 5m/ñeøn</v>
      </c>
      <c r="G2192" s="422" t="str">
        <f>VLOOKUP($B2192,[1]DG!A:D,[1]DG!$D$2,)</f>
        <v>mét</v>
      </c>
      <c r="H2192" s="435">
        <f t="shared" si="350"/>
        <v>0</v>
      </c>
      <c r="I2192" s="435"/>
      <c r="J2192" s="435"/>
      <c r="K2192" s="435"/>
      <c r="L2192" s="435"/>
      <c r="M2192" s="435"/>
      <c r="N2192" s="435"/>
      <c r="O2192" s="435"/>
      <c r="P2192" s="435">
        <f t="shared" si="345"/>
        <v>0</v>
      </c>
      <c r="Q2192" s="442"/>
      <c r="R2192" s="442"/>
      <c r="S2192" s="442"/>
      <c r="T2192" s="432">
        <f t="shared" si="348"/>
        <v>0</v>
      </c>
    </row>
    <row r="2193" spans="1:20" ht="22.2" hidden="1" customHeight="1">
      <c r="A2193" s="379"/>
      <c r="B2193" s="410" t="s">
        <v>1389</v>
      </c>
      <c r="C2193" s="469" t="str">
        <f t="shared" si="349"/>
        <v xml:space="preserve"> </v>
      </c>
      <c r="D2193" s="440">
        <f>[1]PPHTCS!Z69</f>
        <v>0</v>
      </c>
      <c r="E2193" s="484"/>
      <c r="F2193" s="455" t="str">
        <f>VLOOKUP($B2193,[1]DG!A:D,[1]DG!$C$2,)</f>
        <v>Cần đèn STK D60 đôi cao 2m vươn 1,5m nghiêng 15 độ</v>
      </c>
      <c r="G2193" s="528" t="str">
        <f>VLOOKUP($B2193,[1]DG!A:D,[1]DG!$D$2,)</f>
        <v>cần</v>
      </c>
      <c r="H2193" s="529">
        <f t="shared" si="350"/>
        <v>0</v>
      </c>
      <c r="I2193" s="529"/>
      <c r="J2193" s="529"/>
      <c r="K2193" s="529"/>
      <c r="L2193" s="529"/>
      <c r="M2193" s="529"/>
      <c r="N2193" s="529"/>
      <c r="O2193" s="529"/>
      <c r="P2193" s="435">
        <f t="shared" si="345"/>
        <v>0</v>
      </c>
      <c r="Q2193" s="530"/>
      <c r="R2193" s="530"/>
      <c r="S2193" s="530"/>
      <c r="T2193" s="432">
        <f t="shared" si="348"/>
        <v>0</v>
      </c>
    </row>
    <row r="2194" spans="1:20" ht="22.2" hidden="1" customHeight="1">
      <c r="A2194" s="379"/>
      <c r="B2194" s="410" t="s">
        <v>1390</v>
      </c>
      <c r="C2194" s="469" t="str">
        <f t="shared" si="349"/>
        <v xml:space="preserve"> </v>
      </c>
      <c r="D2194" s="440">
        <f>[1]PPHTCS!AA69</f>
        <v>0</v>
      </c>
      <c r="E2194" s="422"/>
      <c r="F2194" s="441" t="str">
        <f>VLOOKUP($B2194,[1]DG!A:D,[1]DG!$C$2,)</f>
        <v>Cần đèn STK D60 đơn cao 1m vươn 1,8m nghiêng 15 độ + chụp đầu trụ</v>
      </c>
      <c r="G2194" s="422" t="str">
        <f>VLOOKUP($B2194,[1]DG!A:D,[1]DG!$D$2,)</f>
        <v>cần</v>
      </c>
      <c r="H2194" s="529">
        <f t="shared" si="350"/>
        <v>0</v>
      </c>
      <c r="I2194" s="529"/>
      <c r="J2194" s="529"/>
      <c r="K2194" s="529"/>
      <c r="L2194" s="529"/>
      <c r="M2194" s="529"/>
      <c r="N2194" s="529"/>
      <c r="O2194" s="529"/>
      <c r="P2194" s="435">
        <f t="shared" si="345"/>
        <v>0</v>
      </c>
      <c r="Q2194" s="530"/>
      <c r="R2194" s="530"/>
      <c r="S2194" s="530"/>
      <c r="T2194" s="432">
        <f t="shared" si="348"/>
        <v>0</v>
      </c>
    </row>
    <row r="2195" spans="1:20" ht="22.2" hidden="1" customHeight="1">
      <c r="A2195" s="379"/>
      <c r="B2195" s="410" t="s">
        <v>1391</v>
      </c>
      <c r="C2195" s="469" t="str">
        <f t="shared" si="349"/>
        <v xml:space="preserve"> </v>
      </c>
      <c r="D2195" s="440">
        <f>[1]PPHTCS!AB69</f>
        <v>0</v>
      </c>
      <c r="E2195" s="422"/>
      <c r="F2195" s="441" t="str">
        <f>VLOOKUP($B2195,[1]DG!A:D,[1]DG!$C$2,)</f>
        <v>Cần đèn STK D60 đơn cao 1,7m vươn 2,8m (CĐT cung cấp)</v>
      </c>
      <c r="G2195" s="422" t="str">
        <f>VLOOKUP($B2195,[1]DG!A:D,[1]DG!$D$2,)</f>
        <v>cần</v>
      </c>
      <c r="H2195" s="529">
        <f t="shared" si="350"/>
        <v>0</v>
      </c>
      <c r="I2195" s="529"/>
      <c r="J2195" s="529"/>
      <c r="K2195" s="529"/>
      <c r="L2195" s="529"/>
      <c r="M2195" s="529"/>
      <c r="N2195" s="529"/>
      <c r="O2195" s="529"/>
      <c r="P2195" s="435">
        <f t="shared" si="345"/>
        <v>0</v>
      </c>
      <c r="Q2195" s="530"/>
      <c r="R2195" s="530"/>
      <c r="S2195" s="530"/>
      <c r="T2195" s="432">
        <f t="shared" si="348"/>
        <v>0</v>
      </c>
    </row>
    <row r="2196" spans="1:20" ht="22.2" hidden="1" customHeight="1">
      <c r="A2196" s="379"/>
      <c r="B2196" s="410" t="s">
        <v>1392</v>
      </c>
      <c r="C2196" s="469" t="str">
        <f t="shared" si="349"/>
        <v xml:space="preserve"> </v>
      </c>
      <c r="D2196" s="440">
        <f>[1]PPHTCS!AD69</f>
        <v>0</v>
      </c>
      <c r="E2196" s="422"/>
      <c r="F2196" s="441" t="str">
        <f>VLOOKUP($B2196,[1]DG!A:D,[1]DG!$C$2,)</f>
        <v>Choá đèn 73FS 10 + bóng OSAM-250W + tụ điện + ballast</v>
      </c>
      <c r="G2196" s="422" t="str">
        <f>VLOOKUP($B2196,[1]DG!A:D,[1]DG!$D$2,)</f>
        <v>bộ</v>
      </c>
      <c r="H2196" s="529">
        <f t="shared" si="350"/>
        <v>0</v>
      </c>
      <c r="I2196" s="529"/>
      <c r="J2196" s="529"/>
      <c r="K2196" s="529"/>
      <c r="L2196" s="529"/>
      <c r="M2196" s="529"/>
      <c r="N2196" s="529"/>
      <c r="O2196" s="529"/>
      <c r="P2196" s="435">
        <f t="shared" si="345"/>
        <v>0</v>
      </c>
      <c r="Q2196" s="530"/>
      <c r="R2196" s="530"/>
      <c r="S2196" s="530"/>
      <c r="T2196" s="432">
        <f t="shared" si="348"/>
        <v>0</v>
      </c>
    </row>
    <row r="2197" spans="1:20" ht="22.2" hidden="1" customHeight="1">
      <c r="A2197" s="379"/>
      <c r="B2197" s="410" t="s">
        <v>1393</v>
      </c>
      <c r="C2197" s="469" t="str">
        <f t="shared" si="349"/>
        <v xml:space="preserve"> </v>
      </c>
      <c r="D2197" s="540"/>
      <c r="E2197" s="541" t="str">
        <f>VLOOKUP($B2197,[1]DG!A:D,[1]DG!$B$2,)</f>
        <v>CS4.09.021</v>
      </c>
      <c r="F2197" s="538" t="str">
        <f>VLOOKUP($B2197,[1]DG!A:D,[1]DG!$C$2,)</f>
        <v>Tủ điều khiển chiếu sáng</v>
      </c>
      <c r="G2197" s="541" t="str">
        <f>VLOOKUP($B2197,[1]DG!A:D,[1]DG!$D$2,)</f>
        <v>cái</v>
      </c>
      <c r="H2197" s="529">
        <f t="shared" si="350"/>
        <v>0</v>
      </c>
      <c r="I2197" s="529"/>
      <c r="J2197" s="529"/>
      <c r="K2197" s="529"/>
      <c r="L2197" s="529"/>
      <c r="M2197" s="529"/>
      <c r="N2197" s="529"/>
      <c r="O2197" s="529"/>
      <c r="P2197" s="435">
        <f t="shared" si="345"/>
        <v>0</v>
      </c>
      <c r="Q2197" s="530"/>
      <c r="R2197" s="530"/>
      <c r="S2197" s="530"/>
      <c r="T2197" s="432">
        <f t="shared" si="348"/>
        <v>0</v>
      </c>
    </row>
    <row r="2198" spans="1:20" ht="22.2" hidden="1" customHeight="1">
      <c r="A2198" s="379"/>
      <c r="B2198" s="410" t="s">
        <v>1351</v>
      </c>
      <c r="C2198" s="469" t="str">
        <f t="shared" si="349"/>
        <v xml:space="preserve"> </v>
      </c>
      <c r="D2198" s="540">
        <f>D2197*12</f>
        <v>0</v>
      </c>
      <c r="E2198" s="541"/>
      <c r="F2198" s="538" t="str">
        <f>VLOOKUP($B2198,[1]DG!A:D,[1]DG!$C$2,)</f>
        <v>Ống PVC D60x2,8mm</v>
      </c>
      <c r="G2198" s="541" t="str">
        <f>VLOOKUP($B2198,[1]DG!A:D,[1]DG!$D$2,)</f>
        <v>m</v>
      </c>
      <c r="H2198" s="529">
        <f t="shared" si="350"/>
        <v>0</v>
      </c>
      <c r="I2198" s="529"/>
      <c r="J2198" s="529"/>
      <c r="K2198" s="529"/>
      <c r="L2198" s="529"/>
      <c r="M2198" s="529"/>
      <c r="N2198" s="529"/>
      <c r="O2198" s="529"/>
      <c r="P2198" s="435">
        <f t="shared" si="345"/>
        <v>0</v>
      </c>
      <c r="Q2198" s="530"/>
      <c r="R2198" s="530"/>
      <c r="S2198" s="530"/>
      <c r="T2198" s="432">
        <f t="shared" si="348"/>
        <v>0</v>
      </c>
    </row>
    <row r="2199" spans="1:20" ht="22.2" hidden="1" customHeight="1">
      <c r="A2199" s="379"/>
      <c r="B2199" s="410" t="s">
        <v>1394</v>
      </c>
      <c r="C2199" s="469" t="str">
        <f t="shared" si="349"/>
        <v xml:space="preserve"> </v>
      </c>
      <c r="D2199" s="540">
        <f>D2197*6</f>
        <v>0</v>
      </c>
      <c r="E2199" s="541">
        <f>VLOOKUP($B2199,[1]DG!A:D,[1]DG!$B$2,)</f>
        <v>0</v>
      </c>
      <c r="F2199" s="538" t="str">
        <f>VLOOKUP($B2199,[1]DG!A:D,[1]DG!$C$2,)</f>
        <v>Co 90 độ PVC 60</v>
      </c>
      <c r="G2199" s="541" t="str">
        <f>VLOOKUP($B2199,[1]DG!A:D,[1]DG!$D$2,)</f>
        <v>cái</v>
      </c>
      <c r="H2199" s="529">
        <f t="shared" si="350"/>
        <v>0</v>
      </c>
      <c r="I2199" s="529"/>
      <c r="J2199" s="529"/>
      <c r="K2199" s="529"/>
      <c r="L2199" s="529"/>
      <c r="M2199" s="529"/>
      <c r="N2199" s="529"/>
      <c r="O2199" s="529"/>
      <c r="P2199" s="435">
        <f t="shared" si="345"/>
        <v>0</v>
      </c>
      <c r="Q2199" s="530"/>
      <c r="R2199" s="530"/>
      <c r="S2199" s="530"/>
      <c r="T2199" s="432">
        <f t="shared" si="348"/>
        <v>0</v>
      </c>
    </row>
    <row r="2200" spans="1:20" ht="22.2" hidden="1" customHeight="1">
      <c r="A2200" s="379"/>
      <c r="B2200" s="410" t="s">
        <v>1312</v>
      </c>
      <c r="C2200" s="469" t="str">
        <f t="shared" si="349"/>
        <v xml:space="preserve"> </v>
      </c>
      <c r="D2200" s="540">
        <f>D2197*18</f>
        <v>0</v>
      </c>
      <c r="E2200" s="541">
        <f>VLOOKUP($B2200,[1]DG!A:D,[1]DG!$B$2,)</f>
        <v>0</v>
      </c>
      <c r="F2200" s="538" t="str">
        <f>VLOOKUP($B2200,[1]DG!A:D,[1]DG!$C$2,)</f>
        <v>Cáp C/XLPE/DSTA/PVC -0.6/1kV-3x50+35mm2</v>
      </c>
      <c r="G2200" s="541" t="str">
        <f>VLOOKUP($B2200,[1]DG!A:D,[1]DG!$D$2,)</f>
        <v>mét</v>
      </c>
      <c r="H2200" s="529">
        <f t="shared" si="350"/>
        <v>0</v>
      </c>
      <c r="I2200" s="529"/>
      <c r="J2200" s="529"/>
      <c r="K2200" s="529"/>
      <c r="L2200" s="529"/>
      <c r="M2200" s="529"/>
      <c r="N2200" s="529"/>
      <c r="O2200" s="529"/>
      <c r="P2200" s="435">
        <f t="shared" si="345"/>
        <v>0</v>
      </c>
      <c r="Q2200" s="530"/>
      <c r="R2200" s="530"/>
      <c r="S2200" s="530"/>
      <c r="T2200" s="432">
        <f t="shared" si="348"/>
        <v>0</v>
      </c>
    </row>
    <row r="2201" spans="1:20" ht="22.2" hidden="1" customHeight="1">
      <c r="A2201" s="379"/>
      <c r="B2201" s="410" t="s">
        <v>1395</v>
      </c>
      <c r="C2201" s="469" t="str">
        <f t="shared" si="349"/>
        <v xml:space="preserve"> </v>
      </c>
      <c r="D2201" s="540">
        <f>D2197*4</f>
        <v>0</v>
      </c>
      <c r="E2201" s="541">
        <f>VLOOKUP($B2201,[1]DG!A:D,[1]DG!$B$2,)</f>
        <v>0</v>
      </c>
      <c r="F2201" s="538" t="str">
        <f>VLOOKUP($B2201,[1]DG!A:D,[1]DG!$C$2,)</f>
        <v>Đầu cáp ngầm hạ thế 3x50</v>
      </c>
      <c r="G2201" s="541" t="str">
        <f>VLOOKUP($B2201,[1]DG!A:D,[1]DG!$D$2,)</f>
        <v>cái</v>
      </c>
      <c r="H2201" s="529">
        <f t="shared" si="350"/>
        <v>0</v>
      </c>
      <c r="I2201" s="529"/>
      <c r="J2201" s="529"/>
      <c r="K2201" s="529"/>
      <c r="L2201" s="529"/>
      <c r="M2201" s="529"/>
      <c r="N2201" s="529"/>
      <c r="O2201" s="529"/>
      <c r="P2201" s="435">
        <f t="shared" si="345"/>
        <v>0</v>
      </c>
      <c r="Q2201" s="530"/>
      <c r="R2201" s="530"/>
      <c r="S2201" s="530"/>
      <c r="T2201" s="432">
        <f t="shared" si="348"/>
        <v>0</v>
      </c>
    </row>
    <row r="2202" spans="1:20" ht="22.2" hidden="1" customHeight="1">
      <c r="A2202" s="379"/>
      <c r="B2202" s="410" t="s">
        <v>1396</v>
      </c>
      <c r="C2202" s="469" t="str">
        <f t="shared" si="349"/>
        <v xml:space="preserve"> </v>
      </c>
      <c r="D2202" s="540">
        <f>D2197*4</f>
        <v>0</v>
      </c>
      <c r="E2202" s="541"/>
      <c r="F2202" s="538" t="str">
        <f>VLOOKUP($B2202,[1]DG!A:D,[1]DG!$C$2,)&amp;": ñaáu noái töø löôùi ABC vaøo tuû"</f>
        <v>Ghíp nối IPC 150-50: ñaáu noái töø löôùi ABC vaøo tuû</v>
      </c>
      <c r="G2202" s="541" t="str">
        <f>VLOOKUP($B2202,[1]DG!A:D,[1]DG!$D$2,)</f>
        <v>cái</v>
      </c>
      <c r="H2202" s="435">
        <f t="shared" si="350"/>
        <v>0</v>
      </c>
      <c r="I2202" s="435"/>
      <c r="J2202" s="435"/>
      <c r="K2202" s="435"/>
      <c r="L2202" s="435"/>
      <c r="M2202" s="435"/>
      <c r="N2202" s="435"/>
      <c r="O2202" s="435"/>
      <c r="P2202" s="435">
        <f t="shared" si="345"/>
        <v>0</v>
      </c>
      <c r="Q2202" s="442"/>
      <c r="R2202" s="442"/>
      <c r="S2202" s="442"/>
      <c r="T2202" s="432">
        <f t="shared" si="348"/>
        <v>0</v>
      </c>
    </row>
    <row r="2203" spans="1:20" ht="22.2" hidden="1" customHeight="1">
      <c r="A2203" s="379"/>
      <c r="B2203" s="410" t="s">
        <v>806</v>
      </c>
      <c r="C2203" s="469" t="str">
        <f t="shared" si="349"/>
        <v xml:space="preserve"> </v>
      </c>
      <c r="D2203" s="540">
        <f>D2202</f>
        <v>0</v>
      </c>
      <c r="E2203" s="541"/>
      <c r="F2203" s="538" t="str">
        <f>VLOOKUP($B2203,[1]DG!A:D,[1]DG!$C$2,)&amp;": ñaáu noái töø tuû leân löôùi chieáu saùng"</f>
        <v>Ghíp nối IPC 50-35: ñaáu noái töø tuû leân löôùi chieáu saùng</v>
      </c>
      <c r="G2203" s="541" t="str">
        <f>VLOOKUP($B2203,[1]DG!A:D,[1]DG!$D$2,)</f>
        <v>cái</v>
      </c>
      <c r="H2203" s="435">
        <f t="shared" si="350"/>
        <v>0</v>
      </c>
      <c r="I2203" s="435"/>
      <c r="J2203" s="435"/>
      <c r="K2203" s="435"/>
      <c r="L2203" s="435"/>
      <c r="M2203" s="435"/>
      <c r="N2203" s="435"/>
      <c r="O2203" s="435"/>
      <c r="P2203" s="435">
        <f t="shared" si="345"/>
        <v>0</v>
      </c>
      <c r="Q2203" s="442"/>
      <c r="R2203" s="442"/>
      <c r="S2203" s="442"/>
      <c r="T2203" s="432">
        <f t="shared" si="348"/>
        <v>0</v>
      </c>
    </row>
    <row r="2204" spans="1:20" ht="22.2" hidden="1" customHeight="1">
      <c r="A2204" s="379"/>
      <c r="B2204" s="410" t="s">
        <v>1397</v>
      </c>
      <c r="C2204" s="469" t="str">
        <f t="shared" si="349"/>
        <v xml:space="preserve"> </v>
      </c>
      <c r="D2204" s="440">
        <f>D2203*6</f>
        <v>0</v>
      </c>
      <c r="E2204" s="422" t="str">
        <f>VLOOKUP($B2204,[1]DG!A:D,[1]DG!$B$2,)</f>
        <v>03.4001</v>
      </c>
      <c r="F2204" s="441" t="str">
        <f>VLOOKUP($B2204,[1]DG!A:D,[1]DG!$C$2,)</f>
        <v>Đầu cosse ép Cu-Al 16mm2</v>
      </c>
      <c r="G2204" s="422" t="str">
        <f>VLOOKUP($B2204,[1]DG!A:D,[1]DG!$D$2,)</f>
        <v>cái</v>
      </c>
      <c r="H2204" s="435">
        <f t="shared" si="350"/>
        <v>0</v>
      </c>
      <c r="I2204" s="435"/>
      <c r="J2204" s="435"/>
      <c r="K2204" s="435"/>
      <c r="L2204" s="435"/>
      <c r="M2204" s="435"/>
      <c r="N2204" s="435"/>
      <c r="O2204" s="435"/>
      <c r="P2204" s="435">
        <f t="shared" si="345"/>
        <v>0</v>
      </c>
      <c r="Q2204" s="442"/>
      <c r="R2204" s="442"/>
      <c r="S2204" s="442"/>
      <c r="T2204" s="432">
        <f t="shared" si="348"/>
        <v>0</v>
      </c>
    </row>
    <row r="2205" spans="1:20" ht="22.2" hidden="1" customHeight="1">
      <c r="A2205" s="379"/>
      <c r="B2205" s="410" t="s">
        <v>441</v>
      </c>
      <c r="C2205" s="469" t="str">
        <f t="shared" si="349"/>
        <v xml:space="preserve"> </v>
      </c>
      <c r="D2205" s="440">
        <f>4*D2193+D2194*2+D2195*2</f>
        <v>0</v>
      </c>
      <c r="E2205" s="422"/>
      <c r="F2205" s="441" t="str">
        <f>VLOOKUP($B2205,[1]DG!A:D,[1]DG!$C$2,)</f>
        <v xml:space="preserve">Đầu cosse ép Cu 2,5mm2 + bao PVC </v>
      </c>
      <c r="G2205" s="422" t="str">
        <f>VLOOKUP($B2205,[1]DG!A:D,[1]DG!$D$2,)</f>
        <v>cái</v>
      </c>
      <c r="H2205" s="435">
        <f t="shared" si="350"/>
        <v>0</v>
      </c>
      <c r="I2205" s="435"/>
      <c r="J2205" s="435"/>
      <c r="K2205" s="435"/>
      <c r="L2205" s="435"/>
      <c r="M2205" s="435"/>
      <c r="N2205" s="435"/>
      <c r="O2205" s="435"/>
      <c r="P2205" s="435">
        <f t="shared" si="345"/>
        <v>0</v>
      </c>
      <c r="Q2205" s="442"/>
      <c r="R2205" s="442"/>
      <c r="S2205" s="442"/>
      <c r="T2205" s="432">
        <f t="shared" si="348"/>
        <v>0</v>
      </c>
    </row>
    <row r="2206" spans="1:20" ht="22.2" hidden="1" customHeight="1">
      <c r="A2206" s="379"/>
      <c r="B2206" s="410" t="s">
        <v>1398</v>
      </c>
      <c r="C2206" s="469" t="str">
        <f t="shared" si="349"/>
        <v xml:space="preserve"> </v>
      </c>
      <c r="D2206" s="440">
        <f>D2193*2+D2194</f>
        <v>0</v>
      </c>
      <c r="E2206" s="422">
        <f>VLOOKUP($B2206,[1]DG!A:D,[1]DG!$B$2,)</f>
        <v>0</v>
      </c>
      <c r="F2206" s="441" t="str">
        <f>VLOOKUP($B2206,[1]DG!A:D,[1]DG!$C$2,)</f>
        <v>Cầu chì nhựa trong nhà 5A+ chì 5A</v>
      </c>
      <c r="G2206" s="422" t="str">
        <f>VLOOKUP($B2206,[1]DG!A:D,[1]DG!$D$2,)</f>
        <v>cái</v>
      </c>
      <c r="H2206" s="435">
        <f t="shared" si="350"/>
        <v>0</v>
      </c>
      <c r="I2206" s="435"/>
      <c r="J2206" s="435"/>
      <c r="K2206" s="435"/>
      <c r="L2206" s="435"/>
      <c r="M2206" s="435"/>
      <c r="N2206" s="435"/>
      <c r="O2206" s="435"/>
      <c r="P2206" s="435">
        <f t="shared" si="345"/>
        <v>0</v>
      </c>
      <c r="Q2206" s="442"/>
      <c r="R2206" s="442"/>
      <c r="S2206" s="442"/>
      <c r="T2206" s="432">
        <f t="shared" si="348"/>
        <v>0</v>
      </c>
    </row>
    <row r="2207" spans="1:20" ht="22.2" hidden="1" customHeight="1">
      <c r="A2207" s="379"/>
      <c r="B2207" s="410" t="s">
        <v>1399</v>
      </c>
      <c r="C2207" s="469" t="str">
        <f t="shared" si="349"/>
        <v xml:space="preserve"> </v>
      </c>
      <c r="D2207" s="440">
        <f>D2209</f>
        <v>0</v>
      </c>
      <c r="E2207" s="422">
        <f>VLOOKUP($B2207,[1]DG!A:D,[1]DG!$B$2,)</f>
        <v>0</v>
      </c>
      <c r="F2207" s="441" t="str">
        <f>VLOOKUP($B2207,[1]DG!A:D,[1]DG!$C$2,)</f>
        <v>Tấm bakelit hay nhựa cách điện 600V (200x60x6)</v>
      </c>
      <c r="G2207" s="422" t="str">
        <f>VLOOKUP($B2207,[1]DG!A:D,[1]DG!$D$2,)</f>
        <v>cái</v>
      </c>
      <c r="H2207" s="435">
        <f t="shared" si="350"/>
        <v>0</v>
      </c>
      <c r="I2207" s="435"/>
      <c r="J2207" s="435"/>
      <c r="K2207" s="435"/>
      <c r="L2207" s="435"/>
      <c r="M2207" s="435"/>
      <c r="N2207" s="435"/>
      <c r="O2207" s="435"/>
      <c r="P2207" s="435">
        <f t="shared" si="345"/>
        <v>0</v>
      </c>
      <c r="Q2207" s="442"/>
      <c r="R2207" s="442"/>
      <c r="S2207" s="442"/>
      <c r="T2207" s="432">
        <f t="shared" si="348"/>
        <v>0</v>
      </c>
    </row>
    <row r="2208" spans="1:20" ht="22.2" hidden="1" customHeight="1">
      <c r="A2208" s="379"/>
      <c r="B2208" s="410" t="s">
        <v>1315</v>
      </c>
      <c r="C2208" s="469" t="str">
        <f t="shared" si="349"/>
        <v xml:space="preserve"> </v>
      </c>
      <c r="D2208" s="440">
        <f>D2207*4</f>
        <v>0</v>
      </c>
      <c r="E2208" s="422">
        <f>VLOOKUP($B2208,[1]DG!A:D,[1]DG!$B$2,)</f>
        <v>0</v>
      </c>
      <c r="F2208" s="441" t="str">
        <f>VLOOKUP($B2208,[1]DG!A:D,[1]DG!$C$2,)</f>
        <v>Boulon thau 12x50 + 2 long đền vuông D14-50x50x3/Zn</v>
      </c>
      <c r="G2208" s="422" t="str">
        <f>VLOOKUP($B2208,[1]DG!A:D,[1]DG!$D$2,)</f>
        <v>bộ</v>
      </c>
      <c r="H2208" s="435">
        <f t="shared" si="350"/>
        <v>0</v>
      </c>
      <c r="I2208" s="435"/>
      <c r="J2208" s="435"/>
      <c r="K2208" s="435"/>
      <c r="L2208" s="435"/>
      <c r="M2208" s="435"/>
      <c r="N2208" s="435"/>
      <c r="O2208" s="435"/>
      <c r="P2208" s="435">
        <f t="shared" si="345"/>
        <v>0</v>
      </c>
      <c r="Q2208" s="442"/>
      <c r="R2208" s="442"/>
      <c r="S2208" s="442"/>
      <c r="T2208" s="432">
        <f t="shared" si="348"/>
        <v>0</v>
      </c>
    </row>
    <row r="2209" spans="1:20" ht="22.2" hidden="1" customHeight="1">
      <c r="A2209" s="379"/>
      <c r="B2209" s="410" t="s">
        <v>82</v>
      </c>
      <c r="C2209" s="469" t="str">
        <f t="shared" si="349"/>
        <v xml:space="preserve"> </v>
      </c>
      <c r="D2209" s="440"/>
      <c r="E2209" s="422">
        <f>VLOOKUP($B2209,[1]DG!A:D,[1]DG!$B$2,)</f>
        <v>0</v>
      </c>
      <c r="F2209" s="441" t="str">
        <f>VLOOKUP($B2209,[1]DG!A:D,[1]DG!$C$2,)</f>
        <v>Cọc tiếp đất Þ 16- 2,4m + kẹp cọc mạ đồng</v>
      </c>
      <c r="G2209" s="422" t="str">
        <f>VLOOKUP($B2209,[1]DG!A:D,[1]DG!$D$2,)</f>
        <v>bộ</v>
      </c>
      <c r="H2209" s="435">
        <f t="shared" si="350"/>
        <v>0</v>
      </c>
      <c r="I2209" s="435"/>
      <c r="J2209" s="435"/>
      <c r="K2209" s="435"/>
      <c r="L2209" s="435"/>
      <c r="M2209" s="435"/>
      <c r="N2209" s="435"/>
      <c r="O2209" s="435"/>
      <c r="P2209" s="435">
        <f t="shared" si="345"/>
        <v>0</v>
      </c>
      <c r="Q2209" s="442"/>
      <c r="R2209" s="442"/>
      <c r="S2209" s="442"/>
      <c r="T2209" s="432">
        <f t="shared" si="348"/>
        <v>0</v>
      </c>
    </row>
    <row r="2210" spans="1:20" ht="22.2" hidden="1" customHeight="1">
      <c r="A2210" s="379"/>
      <c r="B2210" s="410" t="s">
        <v>1400</v>
      </c>
      <c r="C2210" s="469" t="str">
        <f t="shared" si="349"/>
        <v xml:space="preserve"> </v>
      </c>
      <c r="D2210" s="440">
        <f>[1]PPHTCS!BB69</f>
        <v>0</v>
      </c>
      <c r="E2210" s="422">
        <f>VLOOKUP($B2210,[1]DG!A:D,[1]DG!$B$2,)</f>
        <v>0</v>
      </c>
      <c r="F2210" s="441" t="str">
        <f>VLOOKUP($B2210,[1]DG!A:D,[1]DG!$C$2,)</f>
        <v>Kẹp treo cáp ABC4x35mm2</v>
      </c>
      <c r="G2210" s="422" t="str">
        <f>VLOOKUP($B2210,[1]DG!A:D,[1]DG!$D$2,)</f>
        <v>cái</v>
      </c>
      <c r="H2210" s="435">
        <f t="shared" si="350"/>
        <v>0</v>
      </c>
      <c r="I2210" s="435"/>
      <c r="J2210" s="435"/>
      <c r="K2210" s="435"/>
      <c r="L2210" s="435"/>
      <c r="M2210" s="435"/>
      <c r="N2210" s="435"/>
      <c r="O2210" s="435"/>
      <c r="P2210" s="435">
        <f t="shared" si="345"/>
        <v>0</v>
      </c>
      <c r="Q2210" s="442"/>
      <c r="R2210" s="442"/>
      <c r="S2210" s="442"/>
      <c r="T2210" s="432">
        <f t="shared" si="348"/>
        <v>0</v>
      </c>
    </row>
    <row r="2211" spans="1:20" ht="22.2" hidden="1" customHeight="1">
      <c r="A2211" s="379"/>
      <c r="B2211" s="410" t="s">
        <v>1401</v>
      </c>
      <c r="C2211" s="469" t="str">
        <f t="shared" si="349"/>
        <v xml:space="preserve"> </v>
      </c>
      <c r="D2211" s="440">
        <f>[1]PPHTCS!BE69</f>
        <v>0</v>
      </c>
      <c r="E2211" s="422">
        <f>VLOOKUP($B2211,[1]DG!A:D,[1]DG!$B$2,)</f>
        <v>0</v>
      </c>
      <c r="F2211" s="441" t="str">
        <f>VLOOKUP($B2211,[1]DG!A:D,[1]DG!$C$2,)</f>
        <v>Kẹp ngừng cáp ABC4x35mm2</v>
      </c>
      <c r="G2211" s="422" t="str">
        <f>VLOOKUP($B2211,[1]DG!A:D,[1]DG!$D$2,)</f>
        <v>cái</v>
      </c>
      <c r="H2211" s="435">
        <f t="shared" si="350"/>
        <v>0</v>
      </c>
      <c r="I2211" s="435"/>
      <c r="J2211" s="435"/>
      <c r="K2211" s="435"/>
      <c r="L2211" s="435"/>
      <c r="M2211" s="435"/>
      <c r="N2211" s="435"/>
      <c r="O2211" s="435"/>
      <c r="P2211" s="435">
        <f t="shared" si="345"/>
        <v>0</v>
      </c>
      <c r="Q2211" s="442"/>
      <c r="R2211" s="442"/>
      <c r="S2211" s="442"/>
      <c r="T2211" s="432">
        <f t="shared" si="348"/>
        <v>0</v>
      </c>
    </row>
    <row r="2212" spans="1:20" ht="22.2" hidden="1" customHeight="1">
      <c r="A2212" s="379"/>
      <c r="B2212" s="410" t="s">
        <v>1402</v>
      </c>
      <c r="C2212" s="469" t="str">
        <f t="shared" si="349"/>
        <v xml:space="preserve"> </v>
      </c>
      <c r="D2212" s="540"/>
      <c r="E2212" s="541"/>
      <c r="F2212" s="538" t="str">
        <f>VLOOKUP($B2212,[1]DG!A:D,[1]DG!$C$2,)&amp;": ñaáu reõ nhaùnh truï 15"</f>
        <v>Ghíp nối IPC 35-35: ñaáu reõ nhaùnh truï 15</v>
      </c>
      <c r="G2212" s="541" t="str">
        <f>VLOOKUP($B2212,[1]DG!A:D,[1]DG!$D$2,)</f>
        <v>cái</v>
      </c>
      <c r="H2212" s="435">
        <f t="shared" si="350"/>
        <v>0</v>
      </c>
      <c r="I2212" s="435"/>
      <c r="J2212" s="435"/>
      <c r="K2212" s="435"/>
      <c r="L2212" s="435"/>
      <c r="M2212" s="435"/>
      <c r="N2212" s="435"/>
      <c r="O2212" s="435"/>
      <c r="P2212" s="435">
        <f t="shared" si="345"/>
        <v>0</v>
      </c>
      <c r="Q2212" s="442"/>
      <c r="R2212" s="442"/>
      <c r="S2212" s="442"/>
      <c r="T2212" s="432">
        <f t="shared" si="348"/>
        <v>0</v>
      </c>
    </row>
    <row r="2213" spans="1:20" ht="22.2" hidden="1" customHeight="1">
      <c r="A2213" s="379"/>
      <c r="B2213" s="410" t="s">
        <v>1334</v>
      </c>
      <c r="C2213" s="469" t="str">
        <f t="shared" si="349"/>
        <v xml:space="preserve"> </v>
      </c>
      <c r="D2213" s="440">
        <f>[1]PPHTCS!BK69</f>
        <v>0</v>
      </c>
      <c r="E2213" s="422">
        <f>VLOOKUP($B2213,[1]DG!A:D,[1]DG!$B$2,)</f>
        <v>0</v>
      </c>
      <c r="F2213" s="441" t="str">
        <f>VLOOKUP($B2213,[1]DG!A:D,[1]DG!$C$2,)</f>
        <v>Móc treo chữ A</v>
      </c>
      <c r="G2213" s="422" t="str">
        <f>VLOOKUP($B2213,[1]DG!A:D,[1]DG!$D$2,)</f>
        <v>cái</v>
      </c>
      <c r="H2213" s="435">
        <f t="shared" si="350"/>
        <v>0</v>
      </c>
      <c r="I2213" s="435"/>
      <c r="J2213" s="435"/>
      <c r="K2213" s="435"/>
      <c r="L2213" s="435"/>
      <c r="M2213" s="435"/>
      <c r="N2213" s="435"/>
      <c r="O2213" s="435"/>
      <c r="P2213" s="435">
        <f t="shared" si="345"/>
        <v>0</v>
      </c>
      <c r="Q2213" s="442"/>
      <c r="R2213" s="442"/>
      <c r="S2213" s="442"/>
      <c r="T2213" s="432">
        <f t="shared" si="348"/>
        <v>0</v>
      </c>
    </row>
    <row r="2214" spans="1:20" ht="22.2" hidden="1" customHeight="1">
      <c r="A2214" s="379"/>
      <c r="B2214" s="410" t="s">
        <v>1346</v>
      </c>
      <c r="C2214" s="469" t="str">
        <f t="shared" si="349"/>
        <v xml:space="preserve"> </v>
      </c>
      <c r="D2214" s="440">
        <f>[1]PPHTCS!BJ69</f>
        <v>0</v>
      </c>
      <c r="E2214" s="422">
        <f>VLOOKUP($B2214,[1]DG!A:D,[1]DG!$B$2,)</f>
        <v>0</v>
      </c>
      <c r="F2214" s="441" t="str">
        <f>VLOOKUP($B2214,[1]DG!A:D,[1]DG!$C$2,)</f>
        <v xml:space="preserve">Móc đơn treo cáp </v>
      </c>
      <c r="G2214" s="422" t="str">
        <f>VLOOKUP($B2214,[1]DG!A:D,[1]DG!$D$2,)</f>
        <v>cái</v>
      </c>
      <c r="H2214" s="435">
        <f t="shared" si="350"/>
        <v>0</v>
      </c>
      <c r="I2214" s="435"/>
      <c r="J2214" s="435"/>
      <c r="K2214" s="435"/>
      <c r="L2214" s="435"/>
      <c r="M2214" s="435"/>
      <c r="N2214" s="435"/>
      <c r="O2214" s="435"/>
      <c r="P2214" s="435">
        <f t="shared" ref="P2214:P2277" si="351">H2214+Q2214-R2214</f>
        <v>0</v>
      </c>
      <c r="Q2214" s="442"/>
      <c r="R2214" s="442"/>
      <c r="S2214" s="442"/>
      <c r="T2214" s="432">
        <f t="shared" si="348"/>
        <v>0</v>
      </c>
    </row>
    <row r="2215" spans="1:20" ht="22.2" hidden="1" customHeight="1">
      <c r="A2215" s="379"/>
      <c r="B2215" s="410" t="s">
        <v>1403</v>
      </c>
      <c r="C2215" s="469" t="str">
        <f t="shared" si="349"/>
        <v xml:space="preserve"> </v>
      </c>
      <c r="D2215" s="440">
        <f>[1]PPHTCS!AO69</f>
        <v>0</v>
      </c>
      <c r="E2215" s="422">
        <f>VLOOKUP($B2215,[1]DG!A:D,[1]DG!$B$2,)</f>
        <v>0</v>
      </c>
      <c r="F2215" s="441" t="str">
        <f>VLOOKUP($B2215,[1]DG!A:D,[1]DG!$C$2,)</f>
        <v>Boulon móc 16x250+ long đền vuông D18-50x50x3/Zn</v>
      </c>
      <c r="G2215" s="422" t="str">
        <f>VLOOKUP($B2215,[1]DG!A:D,[1]DG!$D$2,)</f>
        <v>bộ</v>
      </c>
      <c r="H2215" s="435">
        <f t="shared" si="350"/>
        <v>0</v>
      </c>
      <c r="I2215" s="435"/>
      <c r="J2215" s="435"/>
      <c r="K2215" s="435"/>
      <c r="L2215" s="435"/>
      <c r="M2215" s="435"/>
      <c r="N2215" s="435"/>
      <c r="O2215" s="435"/>
      <c r="P2215" s="435">
        <f t="shared" si="351"/>
        <v>0</v>
      </c>
      <c r="Q2215" s="442"/>
      <c r="R2215" s="442"/>
      <c r="S2215" s="442"/>
      <c r="T2215" s="432">
        <f t="shared" si="348"/>
        <v>0</v>
      </c>
    </row>
    <row r="2216" spans="1:20" ht="22.2" hidden="1" customHeight="1">
      <c r="A2216" s="379"/>
      <c r="B2216" s="410" t="s">
        <v>1277</v>
      </c>
      <c r="C2216" s="469" t="str">
        <f t="shared" si="349"/>
        <v xml:space="preserve"> </v>
      </c>
      <c r="D2216" s="440">
        <f>[1]PPHTCS!AP69</f>
        <v>0</v>
      </c>
      <c r="E2216" s="422">
        <f>VLOOKUP($B2216,[1]DG!A:D,[1]DG!$B$2,)</f>
        <v>0</v>
      </c>
      <c r="F2216" s="441" t="str">
        <f>VLOOKUP($B2216,[1]DG!A:D,[1]DG!$C$2,)</f>
        <v>Boulon móc 16x300+ long đền vuông D18-50x50x3/Zn</v>
      </c>
      <c r="G2216" s="422" t="str">
        <f>VLOOKUP($B2216,[1]DG!A:D,[1]DG!$D$2,)</f>
        <v>bộ</v>
      </c>
      <c r="H2216" s="435">
        <f t="shared" si="350"/>
        <v>0</v>
      </c>
      <c r="I2216" s="435"/>
      <c r="J2216" s="435"/>
      <c r="K2216" s="435"/>
      <c r="L2216" s="435"/>
      <c r="M2216" s="435"/>
      <c r="N2216" s="435"/>
      <c r="O2216" s="435"/>
      <c r="P2216" s="435">
        <f t="shared" si="351"/>
        <v>0</v>
      </c>
      <c r="Q2216" s="442"/>
      <c r="R2216" s="442"/>
      <c r="S2216" s="442"/>
      <c r="T2216" s="432">
        <f t="shared" si="348"/>
        <v>0</v>
      </c>
    </row>
    <row r="2217" spans="1:20" ht="22.2" hidden="1" customHeight="1">
      <c r="A2217" s="379"/>
      <c r="B2217" s="410" t="s">
        <v>1360</v>
      </c>
      <c r="C2217" s="469" t="str">
        <f t="shared" si="349"/>
        <v xml:space="preserve"> </v>
      </c>
      <c r="D2217" s="426">
        <f>[1]PPHTCS!BH69</f>
        <v>0</v>
      </c>
      <c r="E2217" s="422"/>
      <c r="F2217" s="441" t="str">
        <f>VLOOKUP($B2217,[1]DG!A:D,[1]DG!$C$2,)</f>
        <v xml:space="preserve">Cổ dê trụ đôi 8,4m bắt móc dừng </v>
      </c>
      <c r="G2217" s="422" t="str">
        <f>VLOOKUP($B2217,[1]DG!A:D,[1]DG!$D$2,)</f>
        <v>bộ</v>
      </c>
      <c r="H2217" s="435">
        <f t="shared" si="350"/>
        <v>0</v>
      </c>
      <c r="I2217" s="435"/>
      <c r="J2217" s="435"/>
      <c r="K2217" s="435"/>
      <c r="L2217" s="435"/>
      <c r="M2217" s="435"/>
      <c r="N2217" s="435"/>
      <c r="O2217" s="435"/>
      <c r="P2217" s="435">
        <f t="shared" si="351"/>
        <v>0</v>
      </c>
      <c r="Q2217" s="442"/>
      <c r="R2217" s="442"/>
      <c r="S2217" s="442"/>
      <c r="T2217" s="432">
        <f t="shared" si="348"/>
        <v>0</v>
      </c>
    </row>
    <row r="2218" spans="1:20" ht="22.2" hidden="1" customHeight="1">
      <c r="A2218" s="379"/>
      <c r="B2218" s="410" t="s">
        <v>1345</v>
      </c>
      <c r="C2218" s="469" t="str">
        <f t="shared" si="349"/>
        <v xml:space="preserve"> </v>
      </c>
      <c r="D2218" s="426">
        <f>[1]PPHTCS!BI69</f>
        <v>0</v>
      </c>
      <c r="E2218" s="422">
        <f>VLOOKUP($B2218,[1]DG!A:D,[1]DG!$B$2,)</f>
        <v>0</v>
      </c>
      <c r="F2218" s="441" t="str">
        <f>VLOOKUP($B2218,[1]DG!A:D,[1]DG!$C$2,)</f>
        <v xml:space="preserve">Móc dừng </v>
      </c>
      <c r="G2218" s="422" t="str">
        <f>VLOOKUP($B2218,[1]DG!A:D,[1]DG!$D$2,)</f>
        <v>cái</v>
      </c>
      <c r="H2218" s="435">
        <f t="shared" si="350"/>
        <v>0</v>
      </c>
      <c r="I2218" s="435"/>
      <c r="J2218" s="435"/>
      <c r="K2218" s="435"/>
      <c r="L2218" s="435"/>
      <c r="M2218" s="435"/>
      <c r="N2218" s="435"/>
      <c r="O2218" s="435"/>
      <c r="P2218" s="435">
        <f t="shared" si="351"/>
        <v>0</v>
      </c>
      <c r="Q2218" s="442"/>
      <c r="R2218" s="442"/>
      <c r="S2218" s="442"/>
      <c r="T2218" s="432">
        <f t="shared" si="348"/>
        <v>0</v>
      </c>
    </row>
    <row r="2219" spans="1:20" ht="22.2" hidden="1" customHeight="1">
      <c r="A2219" s="379"/>
      <c r="B2219" s="410" t="s">
        <v>1404</v>
      </c>
      <c r="C2219" s="469" t="str">
        <f t="shared" si="349"/>
        <v xml:space="preserve"> </v>
      </c>
      <c r="D2219" s="446">
        <f>[1]PPHTCS!BL69</f>
        <v>0</v>
      </c>
      <c r="E2219" s="422">
        <f>VLOOKUP($B2219,[1]DG!A:D,[1]DG!$B$2,)</f>
        <v>0</v>
      </c>
      <c r="F2219" s="441" t="str">
        <f>VLOOKUP($B2219,[1]DG!A:D,[1]DG!$C$2,)&amp;": ñaáu noái löôùi hieän höõu"</f>
        <v>Kẹp U bolt dây 50mm2: ñaáu noái löôùi hieän höõu</v>
      </c>
      <c r="G2219" s="422" t="str">
        <f>VLOOKUP($B2219,[1]DG!A:D,[1]DG!$D$2,)</f>
        <v>cái</v>
      </c>
      <c r="H2219" s="435">
        <f t="shared" si="350"/>
        <v>0</v>
      </c>
      <c r="I2219" s="435"/>
      <c r="J2219" s="435"/>
      <c r="K2219" s="435"/>
      <c r="L2219" s="435"/>
      <c r="M2219" s="435"/>
      <c r="N2219" s="435"/>
      <c r="O2219" s="435"/>
      <c r="P2219" s="435">
        <f t="shared" si="351"/>
        <v>0</v>
      </c>
      <c r="Q2219" s="442"/>
      <c r="R2219" s="442"/>
      <c r="S2219" s="442"/>
      <c r="T2219" s="432">
        <f t="shared" si="348"/>
        <v>0</v>
      </c>
    </row>
    <row r="2220" spans="1:20" ht="22.2" hidden="1" customHeight="1">
      <c r="A2220" s="379"/>
      <c r="B2220" s="410" t="s">
        <v>1405</v>
      </c>
      <c r="C2220" s="469" t="str">
        <f t="shared" si="349"/>
        <v xml:space="preserve"> </v>
      </c>
      <c r="D2220" s="440"/>
      <c r="E2220" s="422">
        <f>VLOOKUP($B2220,[1]DG!A:D,[1]DG!$B$2,)</f>
        <v>0</v>
      </c>
      <c r="F2220" s="441" t="str">
        <f>VLOOKUP($B2220,[1]DG!A:D,[1]DG!$C$2,)</f>
        <v>ÔÁng sắt tráng kẽm D60</v>
      </c>
      <c r="G2220" s="422" t="str">
        <f>VLOOKUP($B2220,[1]DG!A:D,[1]DG!$D$2,)</f>
        <v>mét</v>
      </c>
      <c r="H2220" s="435">
        <f t="shared" si="350"/>
        <v>0</v>
      </c>
      <c r="I2220" s="435"/>
      <c r="J2220" s="435"/>
      <c r="K2220" s="435"/>
      <c r="L2220" s="435"/>
      <c r="M2220" s="435"/>
      <c r="N2220" s="435"/>
      <c r="O2220" s="435"/>
      <c r="P2220" s="435">
        <f t="shared" si="351"/>
        <v>0</v>
      </c>
      <c r="Q2220" s="442"/>
      <c r="R2220" s="442"/>
      <c r="S2220" s="442"/>
      <c r="T2220" s="432">
        <f t="shared" si="348"/>
        <v>0</v>
      </c>
    </row>
    <row r="2221" spans="1:20" ht="22.2" hidden="1" customHeight="1">
      <c r="A2221" s="379"/>
      <c r="B2221" s="410" t="s">
        <v>1406</v>
      </c>
      <c r="C2221" s="469" t="str">
        <f t="shared" si="349"/>
        <v xml:space="preserve"> </v>
      </c>
      <c r="D2221" s="440"/>
      <c r="E2221" s="422">
        <f>VLOOKUP($B2221,[1]DG!A:D,[1]DG!$B$2,)</f>
        <v>0</v>
      </c>
      <c r="F2221" s="441" t="str">
        <f>VLOOKUP($B2221,[1]DG!A:D,[1]DG!$C$2,)</f>
        <v>ÔÁng sắt tráng kẽm D42</v>
      </c>
      <c r="G2221" s="422" t="str">
        <f>VLOOKUP($B2221,[1]DG!A:D,[1]DG!$D$2,)</f>
        <v>mét</v>
      </c>
      <c r="H2221" s="435">
        <f t="shared" si="350"/>
        <v>0</v>
      </c>
      <c r="I2221" s="435"/>
      <c r="J2221" s="435"/>
      <c r="K2221" s="435"/>
      <c r="L2221" s="435"/>
      <c r="M2221" s="435"/>
      <c r="N2221" s="435"/>
      <c r="O2221" s="435"/>
      <c r="P2221" s="435">
        <f t="shared" si="351"/>
        <v>0</v>
      </c>
      <c r="Q2221" s="442"/>
      <c r="R2221" s="442"/>
      <c r="S2221" s="442"/>
      <c r="T2221" s="432">
        <f t="shared" ref="T2221:T2284" si="352">IFERROR(HLOOKUP(B2221,BangKeTru,3,0),0)</f>
        <v>0</v>
      </c>
    </row>
    <row r="2222" spans="1:20" ht="22.2" hidden="1" customHeight="1">
      <c r="A2222" s="379"/>
      <c r="B2222" s="410" t="s">
        <v>1351</v>
      </c>
      <c r="C2222" s="469" t="str">
        <f t="shared" si="349"/>
        <v xml:space="preserve"> </v>
      </c>
      <c r="D2222" s="440"/>
      <c r="E2222" s="422" t="str">
        <f>VLOOKUP($B2222,[1]DG!A:D,[1]DG!$B$2,)</f>
        <v>07.2404</v>
      </c>
      <c r="F2222" s="441" t="str">
        <f>VLOOKUP($B2222,[1]DG!A:D,[1]DG!$C$2,)</f>
        <v>Ống PVC D60x2,8mm</v>
      </c>
      <c r="G2222" s="422" t="str">
        <f>VLOOKUP($B2222,[1]DG!A:D,[1]DG!$D$2,)</f>
        <v>m</v>
      </c>
      <c r="H2222" s="435">
        <f t="shared" si="350"/>
        <v>0</v>
      </c>
      <c r="I2222" s="435"/>
      <c r="J2222" s="435"/>
      <c r="K2222" s="435"/>
      <c r="L2222" s="435"/>
      <c r="M2222" s="435"/>
      <c r="N2222" s="435"/>
      <c r="O2222" s="435"/>
      <c r="P2222" s="435">
        <f t="shared" si="351"/>
        <v>0</v>
      </c>
      <c r="Q2222" s="442"/>
      <c r="R2222" s="442"/>
      <c r="S2222" s="442"/>
      <c r="T2222" s="432">
        <f t="shared" si="352"/>
        <v>0</v>
      </c>
    </row>
    <row r="2223" spans="1:20" ht="22.2" hidden="1" customHeight="1">
      <c r="A2223" s="379"/>
      <c r="B2223" s="410" t="s">
        <v>426</v>
      </c>
      <c r="C2223" s="469" t="str">
        <f t="shared" si="349"/>
        <v xml:space="preserve"> </v>
      </c>
      <c r="D2223" s="440">
        <f>D2222</f>
        <v>0</v>
      </c>
      <c r="E2223" s="422" t="str">
        <f>VLOOKUP($B2223,[1]DG!A:D,[1]DG!$B$2,)</f>
        <v>07.2403</v>
      </c>
      <c r="F2223" s="441" t="str">
        <f>VLOOKUP($B2223,[1]DG!A:D,[1]DG!$C$2,)</f>
        <v>Ống PVC D42x2,1mm</v>
      </c>
      <c r="G2223" s="422" t="str">
        <f>VLOOKUP($B2223,[1]DG!A:D,[1]DG!$D$2,)</f>
        <v>m</v>
      </c>
      <c r="H2223" s="435">
        <f t="shared" si="350"/>
        <v>0</v>
      </c>
      <c r="I2223" s="435"/>
      <c r="J2223" s="435"/>
      <c r="K2223" s="435"/>
      <c r="L2223" s="435"/>
      <c r="M2223" s="435"/>
      <c r="N2223" s="435"/>
      <c r="O2223" s="435"/>
      <c r="P2223" s="435">
        <f t="shared" si="351"/>
        <v>0</v>
      </c>
      <c r="Q2223" s="442"/>
      <c r="R2223" s="442"/>
      <c r="S2223" s="442"/>
      <c r="T2223" s="432">
        <f t="shared" si="352"/>
        <v>0</v>
      </c>
    </row>
    <row r="2224" spans="1:20" ht="22.2" hidden="1" customHeight="1">
      <c r="A2224" s="379"/>
      <c r="B2224" s="542" t="s">
        <v>1407</v>
      </c>
      <c r="C2224" s="469" t="str">
        <f t="shared" si="349"/>
        <v xml:space="preserve"> </v>
      </c>
      <c r="D2224" s="440">
        <f>D2222+D2198</f>
        <v>0</v>
      </c>
      <c r="E2224" s="422" t="str">
        <f>VLOOKUP($B2224,[1]DG!A:D,[1]DG!$B$2,)</f>
        <v>07,2404</v>
      </c>
      <c r="F2224" s="434" t="str">
        <f>VLOOKUP($B2224,[1]DG!A:D,[1]DG!$C$2,)</f>
        <v>Lắp ống PVC D60 (Nhân công đã qui đổi về ĐG chiếu sáng)</v>
      </c>
      <c r="G2224" s="422" t="str">
        <f>VLOOKUP($B2224,[1]DG!A:D,[1]DG!$D$2,)</f>
        <v>mét</v>
      </c>
      <c r="H2224" s="435">
        <f t="shared" si="350"/>
        <v>0</v>
      </c>
      <c r="I2224" s="435"/>
      <c r="J2224" s="435"/>
      <c r="K2224" s="435"/>
      <c r="L2224" s="435"/>
      <c r="M2224" s="435"/>
      <c r="N2224" s="435"/>
      <c r="O2224" s="435"/>
      <c r="P2224" s="435">
        <f t="shared" si="351"/>
        <v>0</v>
      </c>
      <c r="Q2224" s="442"/>
      <c r="R2224" s="442"/>
      <c r="S2224" s="442"/>
      <c r="T2224" s="432">
        <f t="shared" si="352"/>
        <v>0</v>
      </c>
    </row>
    <row r="2225" spans="1:20" ht="22.2" hidden="1" customHeight="1">
      <c r="A2225" s="379"/>
      <c r="B2225" s="542" t="s">
        <v>1408</v>
      </c>
      <c r="C2225" s="469" t="str">
        <f t="shared" si="349"/>
        <v xml:space="preserve"> </v>
      </c>
      <c r="D2225" s="440">
        <f>D2220+D2221</f>
        <v>0</v>
      </c>
      <c r="E2225" s="422" t="str">
        <f>VLOOKUP($B2225,[1]DG!A:D,[1]DG!$B$2,)</f>
        <v>07.2301</v>
      </c>
      <c r="F2225" s="434" t="str">
        <f>VLOOKUP($B2225,[1]DG!A:D,[1]DG!$C$2,)</f>
        <v>Lắp ống sắt d&lt;120mm (Nhân công đã qui đổi về ĐG chiếu sáng)</v>
      </c>
      <c r="G2225" s="422" t="str">
        <f>VLOOKUP($B2225,[1]DG!A:D,[1]DG!$D$2,)</f>
        <v>mét</v>
      </c>
      <c r="H2225" s="435">
        <f t="shared" si="350"/>
        <v>0</v>
      </c>
      <c r="I2225" s="435"/>
      <c r="J2225" s="435"/>
      <c r="K2225" s="435"/>
      <c r="L2225" s="435"/>
      <c r="M2225" s="435"/>
      <c r="N2225" s="435"/>
      <c r="O2225" s="435"/>
      <c r="P2225" s="435">
        <f t="shared" si="351"/>
        <v>0</v>
      </c>
      <c r="Q2225" s="442"/>
      <c r="R2225" s="442"/>
      <c r="S2225" s="442"/>
      <c r="T2225" s="432">
        <f t="shared" si="352"/>
        <v>0</v>
      </c>
    </row>
    <row r="2226" spans="1:20" ht="22.2" hidden="1" customHeight="1">
      <c r="A2226" s="379"/>
      <c r="B2226" s="542" t="s">
        <v>1409</v>
      </c>
      <c r="C2226" s="469" t="str">
        <f t="shared" si="349"/>
        <v xml:space="preserve"> </v>
      </c>
      <c r="D2226" s="433">
        <f>(D2188+D2187+D2186)</f>
        <v>0</v>
      </c>
      <c r="E2226" s="422" t="str">
        <f>VLOOKUP($B2226,[1]DG!A:D,[1]DG!$B$2,)</f>
        <v>CS4.02.011</v>
      </c>
      <c r="F2226" s="434" t="str">
        <f>VLOOKUP($B2226,[1]DG!A:D,[1]DG!$C$2,)</f>
        <v>Kéo rải cáp chiếu sáng D&lt;25</v>
      </c>
      <c r="G2226" s="422" t="str">
        <f>VLOOKUP($B2226,[1]DG!A:D,[1]DG!$D$2,)</f>
        <v>mét</v>
      </c>
      <c r="H2226" s="435">
        <f t="shared" si="350"/>
        <v>0</v>
      </c>
      <c r="I2226" s="435"/>
      <c r="J2226" s="435"/>
      <c r="K2226" s="435"/>
      <c r="L2226" s="435"/>
      <c r="M2226" s="435"/>
      <c r="N2226" s="435"/>
      <c r="O2226" s="435"/>
      <c r="P2226" s="435">
        <f t="shared" si="351"/>
        <v>0</v>
      </c>
      <c r="Q2226" s="442"/>
      <c r="R2226" s="442"/>
      <c r="S2226" s="442"/>
      <c r="T2226" s="432">
        <f t="shared" si="352"/>
        <v>0</v>
      </c>
    </row>
    <row r="2227" spans="1:20" ht="22.2" hidden="1" customHeight="1">
      <c r="A2227" s="379"/>
      <c r="B2227" s="542" t="s">
        <v>1410</v>
      </c>
      <c r="C2227" s="469" t="str">
        <f t="shared" si="349"/>
        <v xml:space="preserve"> </v>
      </c>
      <c r="D2227" s="446">
        <f>D2201</f>
        <v>0</v>
      </c>
      <c r="E2227" s="422" t="str">
        <f>VLOOKUP($B2227,[1]DG!A:D,[1]DG!$B$2,)</f>
        <v>CS4.03.010</v>
      </c>
      <c r="F2227" s="434" t="str">
        <f>VLOOKUP($B2227,[1]DG!A:D,[1]DG!$C$2,)</f>
        <v>Lắp đầu cáp ngầm chiếu sáng</v>
      </c>
      <c r="G2227" s="422" t="str">
        <f>VLOOKUP($B2227,[1]DG!A:D,[1]DG!$D$2,)</f>
        <v>bộ</v>
      </c>
      <c r="H2227" s="435">
        <f t="shared" si="350"/>
        <v>0</v>
      </c>
      <c r="I2227" s="435"/>
      <c r="J2227" s="435"/>
      <c r="K2227" s="435"/>
      <c r="L2227" s="435"/>
      <c r="M2227" s="435"/>
      <c r="N2227" s="435"/>
      <c r="O2227" s="435"/>
      <c r="P2227" s="435">
        <f t="shared" si="351"/>
        <v>0</v>
      </c>
      <c r="Q2227" s="442"/>
      <c r="R2227" s="442"/>
      <c r="S2227" s="442"/>
      <c r="T2227" s="432">
        <f t="shared" si="352"/>
        <v>0</v>
      </c>
    </row>
    <row r="2228" spans="1:20" ht="22.2" hidden="1" customHeight="1">
      <c r="A2228" s="379"/>
      <c r="B2228" s="542" t="s">
        <v>1411</v>
      </c>
      <c r="C2228" s="469" t="str">
        <f t="shared" si="349"/>
        <v xml:space="preserve"> </v>
      </c>
      <c r="D2228" s="446">
        <f>D2194+D2193</f>
        <v>0</v>
      </c>
      <c r="E2228" s="422" t="str">
        <f>VLOOKUP($B2228,[1]DG!A:D,[1]DG!$B$2,)</f>
        <v>CS3.02.011</v>
      </c>
      <c r="F2228" s="434" t="str">
        <f>VLOOKUP($B2228,[1]DG!A:D,[1]DG!$C$2,)</f>
        <v>Lắp cần đèn +  chụp đầu cột hạ thế ≤ 10,5m</v>
      </c>
      <c r="G2228" s="422" t="str">
        <f>VLOOKUP($B2228,[1]DG!A:D,[1]DG!$D$2,)</f>
        <v>cái</v>
      </c>
      <c r="H2228" s="435">
        <f t="shared" si="350"/>
        <v>0</v>
      </c>
      <c r="I2228" s="435"/>
      <c r="J2228" s="435"/>
      <c r="K2228" s="435"/>
      <c r="L2228" s="435"/>
      <c r="M2228" s="435"/>
      <c r="N2228" s="435"/>
      <c r="O2228" s="435"/>
      <c r="P2228" s="435">
        <f t="shared" si="351"/>
        <v>0</v>
      </c>
      <c r="Q2228" s="442"/>
      <c r="R2228" s="442"/>
      <c r="S2228" s="442"/>
      <c r="T2228" s="432">
        <f t="shared" si="352"/>
        <v>0</v>
      </c>
    </row>
    <row r="2229" spans="1:20" ht="22.2" hidden="1" customHeight="1">
      <c r="A2229" s="379"/>
      <c r="B2229" s="542" t="s">
        <v>1412</v>
      </c>
      <c r="C2229" s="469" t="str">
        <f t="shared" si="349"/>
        <v xml:space="preserve"> </v>
      </c>
      <c r="D2229" s="446">
        <f>D2196</f>
        <v>0</v>
      </c>
      <c r="E2229" s="422" t="str">
        <f>VLOOKUP($B2229,[1]DG!A:D,[1]DG!$B$2,)</f>
        <v>CS3.05.001</v>
      </c>
      <c r="F2229" s="434" t="str">
        <f>VLOOKUP($B2229,[1]DG!A:D,[1]DG!$C$2,)</f>
        <v>Lắp chóa đèn chiếu sáng ≤ 12m</v>
      </c>
      <c r="G2229" s="422" t="str">
        <f>VLOOKUP($B2229,[1]DG!A:D,[1]DG!$D$2,)</f>
        <v>bộ</v>
      </c>
      <c r="H2229" s="435">
        <f t="shared" si="350"/>
        <v>0</v>
      </c>
      <c r="I2229" s="435"/>
      <c r="J2229" s="435"/>
      <c r="K2229" s="435"/>
      <c r="L2229" s="435"/>
      <c r="M2229" s="435"/>
      <c r="N2229" s="435"/>
      <c r="O2229" s="435"/>
      <c r="P2229" s="435">
        <f t="shared" si="351"/>
        <v>0</v>
      </c>
      <c r="Q2229" s="442"/>
      <c r="R2229" s="442"/>
      <c r="S2229" s="442"/>
      <c r="T2229" s="432">
        <f t="shared" si="352"/>
        <v>0</v>
      </c>
    </row>
    <row r="2230" spans="1:20" ht="22.2" hidden="1" customHeight="1">
      <c r="A2230" s="379"/>
      <c r="B2230" s="542" t="s">
        <v>1413</v>
      </c>
      <c r="C2230" s="469" t="str">
        <f t="shared" si="349"/>
        <v xml:space="preserve"> </v>
      </c>
      <c r="D2230" s="440">
        <f>D2192+D2191</f>
        <v>0</v>
      </c>
      <c r="E2230" s="422" t="str">
        <f>VLOOKUP($B2230,[1]DG!A:D,[1]DG!$B$2,)</f>
        <v>CS4.08.010</v>
      </c>
      <c r="F2230" s="441" t="str">
        <f>VLOOKUP($B2230,[1]DG!A:D,[1]DG!$C$2,)</f>
        <v>Luồn dây lên đèn</v>
      </c>
      <c r="G2230" s="422" t="str">
        <f>VLOOKUP($B2230,[1]DG!A:D,[1]DG!$D$2,)</f>
        <v>mét</v>
      </c>
      <c r="H2230" s="435">
        <f t="shared" si="350"/>
        <v>0</v>
      </c>
      <c r="I2230" s="435"/>
      <c r="J2230" s="435"/>
      <c r="K2230" s="435"/>
      <c r="L2230" s="435"/>
      <c r="M2230" s="435"/>
      <c r="N2230" s="435"/>
      <c r="O2230" s="435"/>
      <c r="P2230" s="435">
        <f t="shared" si="351"/>
        <v>0</v>
      </c>
      <c r="Q2230" s="442"/>
      <c r="R2230" s="442"/>
      <c r="S2230" s="442"/>
      <c r="T2230" s="432">
        <f t="shared" si="352"/>
        <v>0</v>
      </c>
    </row>
    <row r="2231" spans="1:20" ht="22.2" hidden="1" customHeight="1">
      <c r="A2231" s="379"/>
      <c r="B2231" s="542" t="s">
        <v>1414</v>
      </c>
      <c r="C2231" s="469" t="str">
        <f t="shared" si="349"/>
        <v xml:space="preserve"> </v>
      </c>
      <c r="D2231" s="440">
        <f>D2206</f>
        <v>0</v>
      </c>
      <c r="E2231" s="422" t="str">
        <f>VLOOKUP($B2231,[1]DG!A:D,[1]DG!$B$2,)</f>
        <v>CS4.03.020</v>
      </c>
      <c r="F2231" s="434" t="str">
        <f>VLOOKUP($B2231,[1]DG!A:D,[1]DG!$C$2,)</f>
        <v>Lắp cầu chì đuôi cá</v>
      </c>
      <c r="G2231" s="422" t="str">
        <f>VLOOKUP($B2231,[1]DG!A:D,[1]DG!$D$2,)</f>
        <v>cái</v>
      </c>
      <c r="H2231" s="435">
        <f t="shared" si="350"/>
        <v>0</v>
      </c>
      <c r="I2231" s="435"/>
      <c r="J2231" s="435"/>
      <c r="K2231" s="435"/>
      <c r="L2231" s="435"/>
      <c r="M2231" s="435"/>
      <c r="N2231" s="435"/>
      <c r="O2231" s="435"/>
      <c r="P2231" s="435">
        <f t="shared" si="351"/>
        <v>0</v>
      </c>
      <c r="Q2231" s="442"/>
      <c r="R2231" s="442"/>
      <c r="S2231" s="442"/>
      <c r="T2231" s="432">
        <f t="shared" si="352"/>
        <v>0</v>
      </c>
    </row>
    <row r="2232" spans="1:20" ht="22.2" hidden="1" customHeight="1">
      <c r="A2232" s="379"/>
      <c r="B2232" s="542" t="s">
        <v>1415</v>
      </c>
      <c r="C2232" s="469" t="str">
        <f t="shared" si="349"/>
        <v xml:space="preserve"> </v>
      </c>
      <c r="D2232" s="440">
        <f>D2207</f>
        <v>0</v>
      </c>
      <c r="E2232" s="422">
        <f>VLOOKUP($B2232,[1]DG!A:D,[1]DG!$B$2,)</f>
        <v>0</v>
      </c>
      <c r="F2232" s="434" t="str">
        <f>VLOOKUP($B2232,[1]DG!A:D,[1]DG!$C$2,)</f>
        <v>Lắp tấm bakelit</v>
      </c>
      <c r="G2232" s="422">
        <f>VLOOKUP($B2232,[1]DG!A:D,[1]DG!$D$2,)</f>
        <v>0</v>
      </c>
      <c r="H2232" s="435">
        <f t="shared" si="350"/>
        <v>0</v>
      </c>
      <c r="I2232" s="435"/>
      <c r="J2232" s="435"/>
      <c r="K2232" s="435"/>
      <c r="L2232" s="435"/>
      <c r="M2232" s="435"/>
      <c r="N2232" s="435"/>
      <c r="O2232" s="435"/>
      <c r="P2232" s="435">
        <f t="shared" si="351"/>
        <v>0</v>
      </c>
      <c r="Q2232" s="442"/>
      <c r="R2232" s="442"/>
      <c r="S2232" s="442"/>
      <c r="T2232" s="432">
        <f t="shared" si="352"/>
        <v>0</v>
      </c>
    </row>
    <row r="2233" spans="1:20" ht="22.2" hidden="1" customHeight="1">
      <c r="A2233" s="423" t="s">
        <v>1416</v>
      </c>
      <c r="B2233" s="424" t="s">
        <v>1416</v>
      </c>
      <c r="C2233" s="469" t="str">
        <f>IF(D2233&lt;&gt;0,"x"," ")</f>
        <v xml:space="preserve"> </v>
      </c>
      <c r="D2233" s="464"/>
      <c r="E2233" s="349" t="s">
        <v>1417</v>
      </c>
      <c r="F2233" s="428" t="s">
        <v>1418</v>
      </c>
      <c r="G2233" s="349"/>
      <c r="H2233" s="429">
        <f>SUM(I2233:O2233)</f>
        <v>0</v>
      </c>
      <c r="I2233" s="430"/>
      <c r="J2233" s="430"/>
      <c r="K2233" s="430"/>
      <c r="L2233" s="430">
        <f>IFERROR(HLOOKUP(chitiet!B2233,[1]pp1p!$1:$3,3,0),0)</f>
        <v>0</v>
      </c>
      <c r="M2233" s="430"/>
      <c r="N2233" s="430"/>
      <c r="O2233" s="430"/>
      <c r="P2233" s="435">
        <f t="shared" si="351"/>
        <v>0</v>
      </c>
      <c r="Q2233" s="543"/>
      <c r="R2233" s="543"/>
      <c r="S2233" s="543"/>
      <c r="T2233" s="432">
        <f t="shared" si="352"/>
        <v>0</v>
      </c>
    </row>
    <row r="2234" spans="1:20" ht="22.2" hidden="1" customHeight="1">
      <c r="A2234" s="379"/>
      <c r="B2234" s="424">
        <v>0</v>
      </c>
      <c r="C2234" s="469" t="str">
        <f t="shared" si="349"/>
        <v xml:space="preserve"> </v>
      </c>
      <c r="D2234" s="494"/>
      <c r="E2234" s="422" t="e">
        <f>VLOOKUP($B2234,[1]DG!A:D,[1]DG!$B$2,)</f>
        <v>#N/A</v>
      </c>
      <c r="F2234" s="434" t="e">
        <f>VLOOKUP($B2234,[1]DG!A:D,[1]DG!$C$2,)</f>
        <v>#N/A</v>
      </c>
      <c r="G2234" s="422" t="e">
        <f>VLOOKUP($B2234,[1]DG!A:D,[1]DG!$D$2,)</f>
        <v>#N/A</v>
      </c>
      <c r="H2234" s="435">
        <f t="shared" ref="H2234:H2240" si="353">D2234</f>
        <v>0</v>
      </c>
      <c r="I2234" s="435"/>
      <c r="J2234" s="435">
        <f t="shared" ref="J2234:J2240" si="354">D2234</f>
        <v>0</v>
      </c>
      <c r="K2234" s="435"/>
      <c r="L2234" s="435"/>
      <c r="M2234" s="435"/>
      <c r="N2234" s="435"/>
      <c r="O2234" s="435"/>
      <c r="P2234" s="435">
        <f t="shared" si="351"/>
        <v>0</v>
      </c>
      <c r="Q2234" s="442"/>
      <c r="R2234" s="442"/>
      <c r="S2234" s="442"/>
      <c r="T2234" s="432">
        <f t="shared" si="352"/>
        <v>0</v>
      </c>
    </row>
    <row r="2235" spans="1:20" ht="22.2" hidden="1" customHeight="1">
      <c r="A2235" s="379"/>
      <c r="B2235" s="424">
        <v>0</v>
      </c>
      <c r="C2235" s="469" t="str">
        <f t="shared" si="349"/>
        <v xml:space="preserve"> </v>
      </c>
      <c r="D2235" s="494"/>
      <c r="E2235" s="422" t="e">
        <f>VLOOKUP($B2235,[1]DG!A:D,[1]DG!$B$2,)</f>
        <v>#N/A</v>
      </c>
      <c r="F2235" s="434" t="e">
        <f>VLOOKUP($B2235,[1]DG!A:D,[1]DG!$C$2,)</f>
        <v>#N/A</v>
      </c>
      <c r="G2235" s="422" t="e">
        <f>VLOOKUP($B2235,[1]DG!A:D,[1]DG!$D$2,)</f>
        <v>#N/A</v>
      </c>
      <c r="H2235" s="435">
        <f t="shared" si="353"/>
        <v>0</v>
      </c>
      <c r="I2235" s="435"/>
      <c r="J2235" s="435">
        <f t="shared" si="354"/>
        <v>0</v>
      </c>
      <c r="K2235" s="435"/>
      <c r="L2235" s="435"/>
      <c r="M2235" s="435"/>
      <c r="N2235" s="435"/>
      <c r="O2235" s="435"/>
      <c r="P2235" s="435">
        <f t="shared" si="351"/>
        <v>0</v>
      </c>
      <c r="Q2235" s="442"/>
      <c r="R2235" s="442"/>
      <c r="S2235" s="442"/>
      <c r="T2235" s="432">
        <f t="shared" si="352"/>
        <v>0</v>
      </c>
    </row>
    <row r="2236" spans="1:20" ht="22.2" hidden="1" customHeight="1">
      <c r="A2236" s="379"/>
      <c r="B2236" s="424">
        <v>0</v>
      </c>
      <c r="C2236" s="469" t="str">
        <f t="shared" si="349"/>
        <v xml:space="preserve"> </v>
      </c>
      <c r="D2236" s="494"/>
      <c r="E2236" s="422" t="e">
        <f>VLOOKUP($B2236,[1]DG!A:D,[1]DG!$B$2,)</f>
        <v>#N/A</v>
      </c>
      <c r="F2236" s="441" t="e">
        <f>VLOOKUP($B2236,[1]DG!A:D,[1]DG!$C$2,)</f>
        <v>#N/A</v>
      </c>
      <c r="G2236" s="422" t="e">
        <f>VLOOKUP($B2236,[1]DG!A:D,[1]DG!$D$2,)</f>
        <v>#N/A</v>
      </c>
      <c r="H2236" s="435">
        <f t="shared" si="353"/>
        <v>0</v>
      </c>
      <c r="I2236" s="435"/>
      <c r="J2236" s="435">
        <f t="shared" si="354"/>
        <v>0</v>
      </c>
      <c r="K2236" s="435"/>
      <c r="L2236" s="435"/>
      <c r="M2236" s="435"/>
      <c r="N2236" s="435"/>
      <c r="O2236" s="435"/>
      <c r="P2236" s="435">
        <f t="shared" si="351"/>
        <v>0</v>
      </c>
      <c r="Q2236" s="442"/>
      <c r="R2236" s="442"/>
      <c r="S2236" s="442"/>
      <c r="T2236" s="432">
        <f t="shared" si="352"/>
        <v>0</v>
      </c>
    </row>
    <row r="2237" spans="1:20" ht="22.2" hidden="1" customHeight="1">
      <c r="A2237" s="379"/>
      <c r="B2237" s="424">
        <v>0</v>
      </c>
      <c r="C2237" s="469" t="str">
        <f t="shared" si="349"/>
        <v xml:space="preserve"> </v>
      </c>
      <c r="D2237" s="494"/>
      <c r="E2237" s="422" t="e">
        <f>VLOOKUP($B2237,[1]DG!A:D,[1]DG!$B$2,)</f>
        <v>#N/A</v>
      </c>
      <c r="F2237" s="434" t="e">
        <f>VLOOKUP($B2237,[1]DG!A:D,[1]DG!$C$2,)</f>
        <v>#N/A</v>
      </c>
      <c r="G2237" s="422" t="e">
        <f>VLOOKUP($B2237,[1]DG!A:D,[1]DG!$D$2,)</f>
        <v>#N/A</v>
      </c>
      <c r="H2237" s="435">
        <f t="shared" si="353"/>
        <v>0</v>
      </c>
      <c r="I2237" s="435"/>
      <c r="J2237" s="435">
        <f t="shared" si="354"/>
        <v>0</v>
      </c>
      <c r="K2237" s="435"/>
      <c r="L2237" s="435"/>
      <c r="M2237" s="435"/>
      <c r="N2237" s="435"/>
      <c r="O2237" s="435"/>
      <c r="P2237" s="435">
        <f t="shared" si="351"/>
        <v>0</v>
      </c>
      <c r="Q2237" s="442"/>
      <c r="R2237" s="442"/>
      <c r="S2237" s="442"/>
      <c r="T2237" s="432">
        <f t="shared" si="352"/>
        <v>0</v>
      </c>
    </row>
    <row r="2238" spans="1:20" ht="22.2" hidden="1" customHeight="1">
      <c r="A2238" s="379"/>
      <c r="B2238" s="424">
        <v>0</v>
      </c>
      <c r="C2238" s="469" t="str">
        <f t="shared" si="349"/>
        <v xml:space="preserve"> </v>
      </c>
      <c r="D2238" s="494"/>
      <c r="E2238" s="422" t="e">
        <f>VLOOKUP($B2238,[1]DG!A:D,[1]DG!$B$2,)</f>
        <v>#N/A</v>
      </c>
      <c r="F2238" s="434" t="e">
        <f>VLOOKUP($B2238,[1]DG!A:D,[1]DG!$C$2,)</f>
        <v>#N/A</v>
      </c>
      <c r="G2238" s="422" t="e">
        <f>VLOOKUP($B2238,[1]DG!A:D,[1]DG!$D$2,)</f>
        <v>#N/A</v>
      </c>
      <c r="H2238" s="435">
        <f t="shared" si="353"/>
        <v>0</v>
      </c>
      <c r="I2238" s="435"/>
      <c r="J2238" s="435">
        <f t="shared" si="354"/>
        <v>0</v>
      </c>
      <c r="K2238" s="435"/>
      <c r="L2238" s="435"/>
      <c r="M2238" s="435"/>
      <c r="N2238" s="435"/>
      <c r="O2238" s="435"/>
      <c r="P2238" s="435">
        <f t="shared" si="351"/>
        <v>0</v>
      </c>
      <c r="Q2238" s="442"/>
      <c r="R2238" s="442"/>
      <c r="S2238" s="442"/>
      <c r="T2238" s="432">
        <f t="shared" si="352"/>
        <v>0</v>
      </c>
    </row>
    <row r="2239" spans="1:20" ht="22.2" hidden="1" customHeight="1">
      <c r="A2239" s="379"/>
      <c r="B2239" s="424">
        <v>0</v>
      </c>
      <c r="C2239" s="469" t="str">
        <f t="shared" si="349"/>
        <v xml:space="preserve"> </v>
      </c>
      <c r="D2239" s="494"/>
      <c r="E2239" s="422" t="e">
        <f>VLOOKUP($B2239,[1]DG!A:D,[1]DG!$B$2,)</f>
        <v>#N/A</v>
      </c>
      <c r="F2239" s="434" t="e">
        <f>VLOOKUP($B2239,[1]DG!A:D,[1]DG!$C$2,)</f>
        <v>#N/A</v>
      </c>
      <c r="G2239" s="422" t="e">
        <f>VLOOKUP($B2239,[1]DG!A:D,[1]DG!$D$2,)</f>
        <v>#N/A</v>
      </c>
      <c r="H2239" s="435">
        <f t="shared" si="353"/>
        <v>0</v>
      </c>
      <c r="I2239" s="435"/>
      <c r="J2239" s="435">
        <f t="shared" si="354"/>
        <v>0</v>
      </c>
      <c r="K2239" s="435"/>
      <c r="L2239" s="435"/>
      <c r="M2239" s="435"/>
      <c r="N2239" s="435"/>
      <c r="O2239" s="435"/>
      <c r="P2239" s="435">
        <f t="shared" si="351"/>
        <v>0</v>
      </c>
      <c r="Q2239" s="442"/>
      <c r="R2239" s="442"/>
      <c r="S2239" s="442"/>
      <c r="T2239" s="432">
        <f t="shared" si="352"/>
        <v>0</v>
      </c>
    </row>
    <row r="2240" spans="1:20" ht="22.2" hidden="1" customHeight="1">
      <c r="A2240" s="379"/>
      <c r="B2240" s="424">
        <v>0</v>
      </c>
      <c r="C2240" s="469" t="str">
        <f t="shared" si="349"/>
        <v xml:space="preserve"> </v>
      </c>
      <c r="D2240" s="494"/>
      <c r="E2240" s="422" t="e">
        <f>VLOOKUP($B2240,[1]DG!A:D,[1]DG!$B$2,)</f>
        <v>#N/A</v>
      </c>
      <c r="F2240" s="434" t="e">
        <f>VLOOKUP($B2240,[1]DG!A:D,[1]DG!$C$2,)</f>
        <v>#N/A</v>
      </c>
      <c r="G2240" s="422" t="e">
        <f>VLOOKUP($B2240,[1]DG!A:D,[1]DG!$D$2,)</f>
        <v>#N/A</v>
      </c>
      <c r="H2240" s="435">
        <f t="shared" si="353"/>
        <v>0</v>
      </c>
      <c r="I2240" s="435"/>
      <c r="J2240" s="435">
        <f t="shared" si="354"/>
        <v>0</v>
      </c>
      <c r="K2240" s="435"/>
      <c r="L2240" s="435"/>
      <c r="M2240" s="435"/>
      <c r="N2240" s="435"/>
      <c r="O2240" s="435"/>
      <c r="P2240" s="435">
        <f t="shared" si="351"/>
        <v>0</v>
      </c>
      <c r="Q2240" s="442"/>
      <c r="R2240" s="442"/>
      <c r="S2240" s="442"/>
      <c r="T2240" s="432">
        <f t="shared" si="352"/>
        <v>0</v>
      </c>
    </row>
    <row r="2241" spans="1:20" ht="22.2" hidden="1" customHeight="1">
      <c r="A2241" s="423" t="s">
        <v>1419</v>
      </c>
      <c r="B2241" s="424" t="s">
        <v>1419</v>
      </c>
      <c r="C2241" s="469"/>
      <c r="D2241" s="426">
        <f>IF(SUM(D2242:D2251)=0,0,1)</f>
        <v>0</v>
      </c>
      <c r="E2241" s="349" t="s">
        <v>1420</v>
      </c>
      <c r="F2241" s="428" t="s">
        <v>1421</v>
      </c>
      <c r="G2241" s="349"/>
      <c r="H2241" s="429">
        <f>SUM(I2241:O2241)</f>
        <v>0</v>
      </c>
      <c r="I2241" s="430"/>
      <c r="J2241" s="430"/>
      <c r="K2241" s="430"/>
      <c r="L2241" s="430">
        <f>IFERROR(HLOOKUP(chitiet!B2241,[1]pp1p!$1:$3,3,0),0)</f>
        <v>0</v>
      </c>
      <c r="M2241" s="430"/>
      <c r="N2241" s="430"/>
      <c r="O2241" s="430"/>
      <c r="P2241" s="435">
        <f t="shared" si="351"/>
        <v>0</v>
      </c>
      <c r="Q2241" s="543"/>
      <c r="R2241" s="543"/>
      <c r="S2241" s="543"/>
      <c r="T2241" s="432">
        <f t="shared" si="352"/>
        <v>0</v>
      </c>
    </row>
    <row r="2242" spans="1:20" ht="22.2" hidden="1" customHeight="1">
      <c r="A2242" s="379"/>
      <c r="B2242" s="491" t="s">
        <v>1422</v>
      </c>
      <c r="C2242" s="469" t="str">
        <f t="shared" si="349"/>
        <v xml:space="preserve"> </v>
      </c>
      <c r="D2242" s="494">
        <f>+[1]pp_NC!ED184</f>
        <v>0</v>
      </c>
      <c r="E2242" s="422" t="str">
        <f>VLOOKUP($B2242,[1]DG!A:D,[1]DG!$B$2,)</f>
        <v>02.3104</v>
      </c>
      <c r="F2242" s="441" t="str">
        <f>VLOOKUP($B2242,[1]DG!A:D,[1]DG!$C$2,)</f>
        <v>LTD 1P 24KV - 800A</v>
      </c>
      <c r="G2242" s="422" t="str">
        <f>VLOOKUP($B2242,[1]DG!A:D,[1]DG!$D$2,)</f>
        <v>cái</v>
      </c>
      <c r="H2242" s="435">
        <f t="shared" ref="H2242:H2251" si="355">D2242</f>
        <v>0</v>
      </c>
      <c r="I2242" s="435"/>
      <c r="J2242" s="435">
        <f t="shared" ref="J2242:J2251" si="356">D2242</f>
        <v>0</v>
      </c>
      <c r="K2242" s="435"/>
      <c r="L2242" s="435"/>
      <c r="M2242" s="435"/>
      <c r="N2242" s="435"/>
      <c r="O2242" s="435"/>
      <c r="P2242" s="435">
        <f t="shared" si="351"/>
        <v>0</v>
      </c>
      <c r="Q2242" s="442"/>
      <c r="R2242" s="442"/>
      <c r="S2242" s="442"/>
      <c r="T2242" s="432">
        <f t="shared" si="352"/>
        <v>0</v>
      </c>
    </row>
    <row r="2243" spans="1:20" ht="22.2" hidden="1" customHeight="1">
      <c r="A2243" s="379"/>
      <c r="B2243" s="491" t="s">
        <v>1423</v>
      </c>
      <c r="C2243" s="469" t="str">
        <f t="shared" si="349"/>
        <v xml:space="preserve"> </v>
      </c>
      <c r="D2243" s="494">
        <f>[1]pp_NC!EF184</f>
        <v>0</v>
      </c>
      <c r="E2243" s="422" t="str">
        <f>VLOOKUP($B2243,[1]DG!A:D,[1]DG!$B$2,)</f>
        <v>02.3505</v>
      </c>
      <c r="F2243" s="441" t="str">
        <f>VLOOKUP($B2243,[1]DG!A:D,[1]DG!$C$2,)</f>
        <v>LBFCO-24KV-200A</v>
      </c>
      <c r="G2243" s="422" t="str">
        <f>VLOOKUP($B2243,[1]DG!A:D,[1]DG!$D$2,)</f>
        <v>cái</v>
      </c>
      <c r="H2243" s="435">
        <f t="shared" si="355"/>
        <v>0</v>
      </c>
      <c r="I2243" s="435"/>
      <c r="J2243" s="435">
        <f t="shared" si="356"/>
        <v>0</v>
      </c>
      <c r="K2243" s="435"/>
      <c r="L2243" s="435"/>
      <c r="M2243" s="435"/>
      <c r="N2243" s="435"/>
      <c r="O2243" s="435"/>
      <c r="P2243" s="435">
        <f t="shared" si="351"/>
        <v>0</v>
      </c>
      <c r="Q2243" s="442"/>
      <c r="R2243" s="442"/>
      <c r="S2243" s="442"/>
      <c r="T2243" s="432">
        <f t="shared" si="352"/>
        <v>0</v>
      </c>
    </row>
    <row r="2244" spans="1:20" ht="22.2" hidden="1" customHeight="1">
      <c r="A2244" s="379"/>
      <c r="B2244" s="491" t="s">
        <v>1424</v>
      </c>
      <c r="C2244" s="469" t="str">
        <f t="shared" si="349"/>
        <v xml:space="preserve"> </v>
      </c>
      <c r="D2244" s="494">
        <f>[1]pp_NC!EG184</f>
        <v>0</v>
      </c>
      <c r="E2244" s="422" t="str">
        <f>VLOOKUP($B2244,[1]DG!A:D,[1]DG!$B$2,)</f>
        <v>02.3505</v>
      </c>
      <c r="F2244" s="441" t="str">
        <f>VLOOKUP($B2244,[1]DG!A:D,[1]DG!$C$2,)</f>
        <v xml:space="preserve">FCO 24KV - 200A </v>
      </c>
      <c r="G2244" s="422" t="str">
        <f>VLOOKUP($B2244,[1]DG!A:D,[1]DG!$D$2,)</f>
        <v>cái</v>
      </c>
      <c r="H2244" s="435">
        <f t="shared" si="355"/>
        <v>0</v>
      </c>
      <c r="I2244" s="435"/>
      <c r="J2244" s="435">
        <f t="shared" si="356"/>
        <v>0</v>
      </c>
      <c r="K2244" s="435"/>
      <c r="L2244" s="435"/>
      <c r="M2244" s="435"/>
      <c r="N2244" s="435"/>
      <c r="O2244" s="435"/>
      <c r="P2244" s="435">
        <f t="shared" si="351"/>
        <v>0</v>
      </c>
      <c r="Q2244" s="442"/>
      <c r="R2244" s="442"/>
      <c r="S2244" s="442"/>
      <c r="T2244" s="432">
        <f t="shared" si="352"/>
        <v>0</v>
      </c>
    </row>
    <row r="2245" spans="1:20" ht="22.2" hidden="1" customHeight="1">
      <c r="A2245" s="379"/>
      <c r="B2245" s="399" t="s">
        <v>56</v>
      </c>
      <c r="C2245" s="469" t="str">
        <f t="shared" si="349"/>
        <v xml:space="preserve"> </v>
      </c>
      <c r="D2245" s="494">
        <f>[1]pp_NC!EH184</f>
        <v>0</v>
      </c>
      <c r="E2245" s="422" t="str">
        <f>VLOOKUP($B2245,[1]DG!A:D,[1]DG!$B$2,)</f>
        <v>02.3155</v>
      </c>
      <c r="F2245" s="441" t="str">
        <f>VLOOKUP($B2245,[1]DG!A:D,[1]DG!$C$2,)</f>
        <v>FCO 27kV - 100A</v>
      </c>
      <c r="G2245" s="422" t="str">
        <f>VLOOKUP($B2245,[1]DG!A:D,[1]DG!$D$2,)</f>
        <v>cái</v>
      </c>
      <c r="H2245" s="435">
        <f t="shared" si="355"/>
        <v>0</v>
      </c>
      <c r="I2245" s="435"/>
      <c r="J2245" s="435">
        <f t="shared" si="356"/>
        <v>0</v>
      </c>
      <c r="K2245" s="435"/>
      <c r="L2245" s="435"/>
      <c r="M2245" s="435"/>
      <c r="N2245" s="435"/>
      <c r="O2245" s="435"/>
      <c r="P2245" s="435">
        <f t="shared" si="351"/>
        <v>0</v>
      </c>
      <c r="Q2245" s="442"/>
      <c r="R2245" s="442"/>
      <c r="S2245" s="442"/>
      <c r="T2245" s="432">
        <f t="shared" si="352"/>
        <v>0</v>
      </c>
    </row>
    <row r="2246" spans="1:20" ht="22.2" hidden="1" customHeight="1">
      <c r="A2246" s="379"/>
      <c r="B2246" s="496" t="s">
        <v>1425</v>
      </c>
      <c r="C2246" s="469" t="str">
        <f t="shared" ref="C2246:C2311" si="357">IF(OR(P2246&lt;&gt;0,H2246&lt;&gt;0),"x"," ")</f>
        <v xml:space="preserve"> </v>
      </c>
      <c r="D2246" s="494"/>
      <c r="E2246" s="422">
        <f>VLOOKUP($B2246,[1]DG!A:D,[1]DG!$B$2,)</f>
        <v>0</v>
      </c>
      <c r="F2246" s="441" t="str">
        <f>VLOOKUP($B2246,[1]DG!A:D,[1]DG!$C$2,)</f>
        <v>Dây chảy 12K</v>
      </c>
      <c r="G2246" s="422" t="str">
        <f>VLOOKUP($B2246,[1]DG!A:D,[1]DG!$D$2,)</f>
        <v>Sợi</v>
      </c>
      <c r="H2246" s="435">
        <f t="shared" si="355"/>
        <v>0</v>
      </c>
      <c r="I2246" s="435"/>
      <c r="J2246" s="435">
        <f t="shared" si="356"/>
        <v>0</v>
      </c>
      <c r="K2246" s="435"/>
      <c r="L2246" s="435"/>
      <c r="M2246" s="435"/>
      <c r="N2246" s="435"/>
      <c r="O2246" s="435"/>
      <c r="P2246" s="435">
        <f t="shared" si="351"/>
        <v>0</v>
      </c>
      <c r="Q2246" s="442"/>
      <c r="R2246" s="442"/>
      <c r="S2246" s="442"/>
      <c r="T2246" s="432">
        <f t="shared" si="352"/>
        <v>0</v>
      </c>
    </row>
    <row r="2247" spans="1:20" ht="22.2" hidden="1" customHeight="1">
      <c r="A2247" s="379"/>
      <c r="B2247" s="496" t="s">
        <v>1426</v>
      </c>
      <c r="C2247" s="469" t="str">
        <f t="shared" si="357"/>
        <v xml:space="preserve"> </v>
      </c>
      <c r="D2247" s="494"/>
      <c r="E2247" s="422">
        <f>VLOOKUP($B2247,[1]DG!A:D,[1]DG!$B$2,)</f>
        <v>0</v>
      </c>
      <c r="F2247" s="441" t="str">
        <f>VLOOKUP($B2247,[1]DG!A:D,[1]DG!$C$2,)</f>
        <v>Chụp cách điện đầu cực FCO (trên + dưới)</v>
      </c>
      <c r="G2247" s="422" t="str">
        <f>VLOOKUP($B2247,[1]DG!A:D,[1]DG!$D$2,)</f>
        <v>bộ</v>
      </c>
      <c r="H2247" s="435">
        <f t="shared" si="355"/>
        <v>0</v>
      </c>
      <c r="I2247" s="435"/>
      <c r="J2247" s="435">
        <f t="shared" si="356"/>
        <v>0</v>
      </c>
      <c r="K2247" s="435"/>
      <c r="L2247" s="435"/>
      <c r="M2247" s="435"/>
      <c r="N2247" s="435"/>
      <c r="O2247" s="435"/>
      <c r="P2247" s="435">
        <f>H2247+Q2247-R2247</f>
        <v>0</v>
      </c>
      <c r="Q2247" s="442"/>
      <c r="R2247" s="442"/>
      <c r="S2247" s="442"/>
      <c r="T2247" s="432">
        <f t="shared" si="352"/>
        <v>0</v>
      </c>
    </row>
    <row r="2248" spans="1:20" ht="22.2" hidden="1" customHeight="1">
      <c r="A2248" s="379"/>
      <c r="B2248" s="491" t="s">
        <v>1427</v>
      </c>
      <c r="C2248" s="469" t="str">
        <f t="shared" si="357"/>
        <v xml:space="preserve"> </v>
      </c>
      <c r="D2248" s="494"/>
      <c r="E2248" s="422" t="str">
        <f>VLOOKUP($B2248,[1]DG!A:D,[1]DG!$B$2,)</f>
        <v>02.3302</v>
      </c>
      <c r="F2248" s="441" t="str">
        <f>VLOOKUP($B2248,[1]DG!A:D,[1]DG!$C$2,)</f>
        <v xml:space="preserve">DS 1P - 24KV - 600A </v>
      </c>
      <c r="G2248" s="422" t="str">
        <f>VLOOKUP($B2248,[1]DG!A:D,[1]DG!$D$2,)</f>
        <v>bộ</v>
      </c>
      <c r="H2248" s="435">
        <f t="shared" si="355"/>
        <v>0</v>
      </c>
      <c r="I2248" s="435"/>
      <c r="J2248" s="435">
        <f t="shared" si="356"/>
        <v>0</v>
      </c>
      <c r="K2248" s="435"/>
      <c r="L2248" s="435"/>
      <c r="M2248" s="435"/>
      <c r="N2248" s="435"/>
      <c r="O2248" s="435"/>
      <c r="P2248" s="435">
        <f t="shared" si="351"/>
        <v>0</v>
      </c>
      <c r="Q2248" s="442"/>
      <c r="R2248" s="442"/>
      <c r="S2248" s="442"/>
      <c r="T2248" s="432">
        <f t="shared" si="352"/>
        <v>0</v>
      </c>
    </row>
    <row r="2249" spans="1:20" ht="22.2" hidden="1" customHeight="1">
      <c r="A2249" s="379"/>
      <c r="B2249" s="491" t="s">
        <v>1428</v>
      </c>
      <c r="C2249" s="469" t="str">
        <f t="shared" si="357"/>
        <v xml:space="preserve"> </v>
      </c>
      <c r="D2249" s="494">
        <f>[1]pp_NC!EJ184</f>
        <v>0</v>
      </c>
      <c r="E2249" s="422" t="str">
        <f>VLOOKUP($B2249,[1]DG!A:D,[1]DG!$B$2,)</f>
        <v>02.3302</v>
      </c>
      <c r="F2249" s="441" t="str">
        <f>VLOOKUP($B2249,[1]DG!A:D,[1]DG!$C$2,)</f>
        <v xml:space="preserve">DS 3P - 24KV - 630A </v>
      </c>
      <c r="G2249" s="422" t="str">
        <f>VLOOKUP($B2249,[1]DG!A:D,[1]DG!$D$2,)</f>
        <v>bộ</v>
      </c>
      <c r="H2249" s="435">
        <f t="shared" si="355"/>
        <v>0</v>
      </c>
      <c r="I2249" s="435"/>
      <c r="J2249" s="435">
        <f t="shared" si="356"/>
        <v>0</v>
      </c>
      <c r="K2249" s="435"/>
      <c r="L2249" s="435"/>
      <c r="M2249" s="435"/>
      <c r="N2249" s="435"/>
      <c r="O2249" s="435"/>
      <c r="P2249" s="435">
        <f t="shared" si="351"/>
        <v>0</v>
      </c>
      <c r="Q2249" s="442"/>
      <c r="R2249" s="442"/>
      <c r="S2249" s="442"/>
      <c r="T2249" s="432">
        <f t="shared" si="352"/>
        <v>0</v>
      </c>
    </row>
    <row r="2250" spans="1:20" ht="22.2" hidden="1" customHeight="1">
      <c r="A2250" s="379"/>
      <c r="B2250" s="491" t="s">
        <v>1429</v>
      </c>
      <c r="C2250" s="469" t="str">
        <f t="shared" si="357"/>
        <v xml:space="preserve"> </v>
      </c>
      <c r="D2250" s="494"/>
      <c r="E2250" s="422" t="str">
        <f>VLOOKUP($B2250,[1]DG!A:D,[1]DG!$B$2,)</f>
        <v>02.2124</v>
      </c>
      <c r="F2250" s="441" t="str">
        <f>VLOOKUP($B2250,[1]DG!A:D,[1]DG!$C$2,)</f>
        <v>LBS SF6 3pha 24kV 630A - 16kA</v>
      </c>
      <c r="G2250" s="422" t="str">
        <f>VLOOKUP($B2250,[1]DG!A:D,[1]DG!$D$2,)</f>
        <v>bộ</v>
      </c>
      <c r="H2250" s="435">
        <f t="shared" si="355"/>
        <v>0</v>
      </c>
      <c r="I2250" s="435"/>
      <c r="J2250" s="435">
        <f t="shared" si="356"/>
        <v>0</v>
      </c>
      <c r="K2250" s="435"/>
      <c r="L2250" s="435"/>
      <c r="M2250" s="435"/>
      <c r="N2250" s="435"/>
      <c r="O2250" s="435"/>
      <c r="P2250" s="435">
        <f t="shared" si="351"/>
        <v>0</v>
      </c>
      <c r="Q2250" s="442"/>
      <c r="R2250" s="442"/>
      <c r="S2250" s="442"/>
      <c r="T2250" s="432">
        <f t="shared" si="352"/>
        <v>0</v>
      </c>
    </row>
    <row r="2251" spans="1:20" ht="22.2" hidden="1" customHeight="1">
      <c r="A2251" s="379"/>
      <c r="B2251" s="491" t="s">
        <v>1430</v>
      </c>
      <c r="C2251" s="469" t="str">
        <f t="shared" si="357"/>
        <v xml:space="preserve"> </v>
      </c>
      <c r="D2251" s="494"/>
      <c r="E2251" s="422" t="str">
        <f>VLOOKUP($B2251,[1]DG!A:D,[1]DG!$B$2,)</f>
        <v>02.2124</v>
      </c>
      <c r="F2251" s="441" t="str">
        <f>VLOOKUP($B2251,[1]DG!A:D,[1]DG!$C$2,)</f>
        <v>Recloser 24kV 630-800A</v>
      </c>
      <c r="G2251" s="422" t="str">
        <f>VLOOKUP($B2251,[1]DG!A:D,[1]DG!$D$2,)</f>
        <v>bộ</v>
      </c>
      <c r="H2251" s="435">
        <f t="shared" si="355"/>
        <v>0</v>
      </c>
      <c r="I2251" s="435"/>
      <c r="J2251" s="435">
        <f t="shared" si="356"/>
        <v>0</v>
      </c>
      <c r="K2251" s="435"/>
      <c r="L2251" s="435"/>
      <c r="M2251" s="435"/>
      <c r="N2251" s="435"/>
      <c r="O2251" s="435"/>
      <c r="P2251" s="435">
        <f t="shared" si="351"/>
        <v>0</v>
      </c>
      <c r="Q2251" s="442"/>
      <c r="R2251" s="442"/>
      <c r="S2251" s="442"/>
      <c r="T2251" s="432">
        <f t="shared" si="352"/>
        <v>0</v>
      </c>
    </row>
    <row r="2252" spans="1:20" ht="22.2" hidden="1" customHeight="1">
      <c r="A2252" s="423" t="s">
        <v>1431</v>
      </c>
      <c r="B2252" s="424" t="s">
        <v>1431</v>
      </c>
      <c r="C2252" s="469" t="str">
        <f>IF(D2252&lt;&gt;0,"x"," ")</f>
        <v xml:space="preserve"> </v>
      </c>
      <c r="D2252" s="426">
        <f>IF(SUM(D2253:D2262)=0,0,1)</f>
        <v>0</v>
      </c>
      <c r="E2252" s="349" t="s">
        <v>1420</v>
      </c>
      <c r="F2252" s="428" t="s">
        <v>1432</v>
      </c>
      <c r="G2252" s="349"/>
      <c r="H2252" s="429">
        <f>SUM(I2252:O2252)</f>
        <v>0</v>
      </c>
      <c r="I2252" s="430"/>
      <c r="J2252" s="430"/>
      <c r="K2252" s="430"/>
      <c r="L2252" s="430">
        <f>IFERROR(HLOOKUP(chitiet!B2252,[1]pp1p!$1:$3,3,0),0)</f>
        <v>0</v>
      </c>
      <c r="M2252" s="430"/>
      <c r="N2252" s="430"/>
      <c r="O2252" s="430"/>
      <c r="P2252" s="435">
        <f t="shared" si="351"/>
        <v>0</v>
      </c>
      <c r="Q2252" s="543"/>
      <c r="R2252" s="543"/>
      <c r="S2252" s="543"/>
      <c r="T2252" s="432">
        <f t="shared" si="352"/>
        <v>0</v>
      </c>
    </row>
    <row r="2253" spans="1:20" ht="22.2" hidden="1" customHeight="1">
      <c r="A2253" s="379"/>
      <c r="B2253" s="491" t="s">
        <v>1422</v>
      </c>
      <c r="C2253" s="469" t="str">
        <f t="shared" si="357"/>
        <v xml:space="preserve"> </v>
      </c>
      <c r="D2253" s="498">
        <f>+'[1]pp3p2m '!DM82</f>
        <v>0</v>
      </c>
      <c r="E2253" s="422" t="str">
        <f>VLOOKUP($B2253,[1]DG!A:D,[1]DG!$B$2,)</f>
        <v>02.3104</v>
      </c>
      <c r="F2253" s="441" t="str">
        <f>VLOOKUP($B2253,[1]DG!A:D,[1]DG!$C$2,)</f>
        <v>LTD 1P 24KV - 800A</v>
      </c>
      <c r="G2253" s="422" t="str">
        <f>VLOOKUP($B2253,[1]DG!A:D,[1]DG!$D$2,)</f>
        <v>cái</v>
      </c>
      <c r="H2253" s="436">
        <f t="shared" ref="H2253:H2262" si="358">D2253</f>
        <v>0</v>
      </c>
      <c r="I2253" s="436">
        <f t="shared" ref="I2253:I2262" si="359">D2253</f>
        <v>0</v>
      </c>
      <c r="J2253" s="436"/>
      <c r="K2253" s="436"/>
      <c r="L2253" s="436"/>
      <c r="M2253" s="436"/>
      <c r="N2253" s="436"/>
      <c r="O2253" s="436"/>
      <c r="P2253" s="435">
        <f t="shared" si="351"/>
        <v>0</v>
      </c>
      <c r="Q2253" s="447"/>
      <c r="R2253" s="447"/>
      <c r="S2253" s="447"/>
      <c r="T2253" s="432">
        <f t="shared" si="352"/>
        <v>0</v>
      </c>
    </row>
    <row r="2254" spans="1:20" ht="22.2" hidden="1" customHeight="1">
      <c r="A2254" s="379"/>
      <c r="B2254" s="491" t="s">
        <v>1433</v>
      </c>
      <c r="C2254" s="469" t="str">
        <f t="shared" si="357"/>
        <v xml:space="preserve"> </v>
      </c>
      <c r="D2254" s="498"/>
      <c r="E2254" s="422" t="str">
        <f>VLOOKUP($B2254,[1]DG!A:D,[1]DG!$B$2,)</f>
        <v>02.3505</v>
      </c>
      <c r="F2254" s="441" t="str">
        <f>VLOOKUP($B2254,[1]DG!A:D,[1]DG!$C$2,)</f>
        <v>LBFCO-24KV-100A</v>
      </c>
      <c r="G2254" s="422" t="str">
        <f>VLOOKUP($B2254,[1]DG!A:D,[1]DG!$D$2,)</f>
        <v>cái</v>
      </c>
      <c r="H2254" s="436">
        <f t="shared" si="358"/>
        <v>0</v>
      </c>
      <c r="I2254" s="436">
        <f t="shared" si="359"/>
        <v>0</v>
      </c>
      <c r="J2254" s="436"/>
      <c r="K2254" s="436"/>
      <c r="L2254" s="436"/>
      <c r="M2254" s="436"/>
      <c r="N2254" s="436"/>
      <c r="O2254" s="436"/>
      <c r="P2254" s="435">
        <f t="shared" si="351"/>
        <v>0</v>
      </c>
      <c r="Q2254" s="447"/>
      <c r="R2254" s="447"/>
      <c r="S2254" s="447"/>
      <c r="T2254" s="432">
        <f t="shared" si="352"/>
        <v>0</v>
      </c>
    </row>
    <row r="2255" spans="1:20" ht="22.2" hidden="1" customHeight="1">
      <c r="A2255" s="379"/>
      <c r="B2255" s="491" t="s">
        <v>1424</v>
      </c>
      <c r="C2255" s="469" t="str">
        <f t="shared" si="357"/>
        <v xml:space="preserve"> </v>
      </c>
      <c r="D2255" s="498"/>
      <c r="E2255" s="422" t="str">
        <f>VLOOKUP($B2255,[1]DG!A:D,[1]DG!$B$2,)</f>
        <v>02.3505</v>
      </c>
      <c r="F2255" s="441" t="str">
        <f>VLOOKUP($B2255,[1]DG!A:D,[1]DG!$C$2,)</f>
        <v xml:space="preserve">FCO 24KV - 200A </v>
      </c>
      <c r="G2255" s="422" t="str">
        <f>VLOOKUP($B2255,[1]DG!A:D,[1]DG!$D$2,)</f>
        <v>cái</v>
      </c>
      <c r="H2255" s="436">
        <f t="shared" si="358"/>
        <v>0</v>
      </c>
      <c r="I2255" s="436">
        <f t="shared" si="359"/>
        <v>0</v>
      </c>
      <c r="J2255" s="436"/>
      <c r="K2255" s="436"/>
      <c r="L2255" s="436"/>
      <c r="M2255" s="436"/>
      <c r="N2255" s="436"/>
      <c r="O2255" s="436"/>
      <c r="P2255" s="435">
        <f t="shared" si="351"/>
        <v>0</v>
      </c>
      <c r="Q2255" s="447"/>
      <c r="R2255" s="447"/>
      <c r="S2255" s="447"/>
      <c r="T2255" s="432">
        <f t="shared" si="352"/>
        <v>0</v>
      </c>
    </row>
    <row r="2256" spans="1:20" ht="22.2" hidden="1" customHeight="1">
      <c r="A2256" s="379"/>
      <c r="B2256" s="399" t="s">
        <v>56</v>
      </c>
      <c r="C2256" s="469" t="str">
        <f t="shared" si="357"/>
        <v xml:space="preserve"> </v>
      </c>
      <c r="D2256" s="498"/>
      <c r="E2256" s="422" t="str">
        <f>VLOOKUP($B2256,[1]DG!A:D,[1]DG!$B$2,)</f>
        <v>02.3155</v>
      </c>
      <c r="F2256" s="441" t="str">
        <f>VLOOKUP($B2256,[1]DG!A:D,[1]DG!$C$2,)</f>
        <v>FCO 27kV - 100A</v>
      </c>
      <c r="G2256" s="422" t="str">
        <f>VLOOKUP($B2256,[1]DG!A:D,[1]DG!$D$2,)</f>
        <v>cái</v>
      </c>
      <c r="H2256" s="436">
        <f t="shared" si="358"/>
        <v>0</v>
      </c>
      <c r="I2256" s="436">
        <f t="shared" si="359"/>
        <v>0</v>
      </c>
      <c r="J2256" s="436"/>
      <c r="K2256" s="436"/>
      <c r="L2256" s="436"/>
      <c r="M2256" s="436"/>
      <c r="N2256" s="436"/>
      <c r="O2256" s="436"/>
      <c r="P2256" s="435">
        <f t="shared" si="351"/>
        <v>0</v>
      </c>
      <c r="Q2256" s="447"/>
      <c r="R2256" s="447"/>
      <c r="S2256" s="447"/>
      <c r="T2256" s="432">
        <f t="shared" si="352"/>
        <v>0</v>
      </c>
    </row>
    <row r="2257" spans="1:20" ht="22.2" hidden="1" customHeight="1">
      <c r="A2257" s="379"/>
      <c r="B2257" s="491" t="s">
        <v>1427</v>
      </c>
      <c r="C2257" s="469" t="str">
        <f t="shared" si="357"/>
        <v xml:space="preserve"> </v>
      </c>
      <c r="D2257" s="498"/>
      <c r="E2257" s="422" t="str">
        <f>VLOOKUP($B2257,[1]DG!A:D,[1]DG!$B$2,)</f>
        <v>02.3302</v>
      </c>
      <c r="F2257" s="441" t="str">
        <f>VLOOKUP($B2257,[1]DG!A:D,[1]DG!$C$2,)</f>
        <v xml:space="preserve">DS 1P - 24KV - 600A </v>
      </c>
      <c r="G2257" s="422" t="str">
        <f>VLOOKUP($B2257,[1]DG!A:D,[1]DG!$D$2,)</f>
        <v>bộ</v>
      </c>
      <c r="H2257" s="436">
        <f t="shared" si="358"/>
        <v>0</v>
      </c>
      <c r="I2257" s="436">
        <f t="shared" si="359"/>
        <v>0</v>
      </c>
      <c r="J2257" s="436"/>
      <c r="K2257" s="436"/>
      <c r="L2257" s="436"/>
      <c r="M2257" s="436"/>
      <c r="N2257" s="436"/>
      <c r="O2257" s="436"/>
      <c r="P2257" s="435">
        <f t="shared" si="351"/>
        <v>0</v>
      </c>
      <c r="Q2257" s="447"/>
      <c r="R2257" s="447"/>
      <c r="S2257" s="447"/>
      <c r="T2257" s="432">
        <f t="shared" si="352"/>
        <v>0</v>
      </c>
    </row>
    <row r="2258" spans="1:20" ht="22.2" hidden="1" customHeight="1">
      <c r="A2258" s="379"/>
      <c r="B2258" s="491" t="s">
        <v>556</v>
      </c>
      <c r="C2258" s="469" t="str">
        <f t="shared" si="357"/>
        <v xml:space="preserve"> </v>
      </c>
      <c r="D2258" s="498">
        <f>'[1]pp3p2m '!DQ82</f>
        <v>0</v>
      </c>
      <c r="E2258" s="422" t="str">
        <f>VLOOKUP($B2258,[1]DG!A:D,[1]DG!$B$2,)</f>
        <v>02.3302</v>
      </c>
      <c r="F2258" s="441" t="str">
        <f>VLOOKUP($B2258,[1]DG!A:D,[1]DG!$C$2,)</f>
        <v xml:space="preserve">DS 3P - 24KV - 630A </v>
      </c>
      <c r="G2258" s="422" t="str">
        <f>VLOOKUP($B2258,[1]DG!A:D,[1]DG!$D$2,)</f>
        <v>bộ</v>
      </c>
      <c r="H2258" s="436">
        <f t="shared" si="358"/>
        <v>0</v>
      </c>
      <c r="I2258" s="436">
        <f t="shared" si="359"/>
        <v>0</v>
      </c>
      <c r="J2258" s="436"/>
      <c r="K2258" s="436"/>
      <c r="L2258" s="436"/>
      <c r="M2258" s="436"/>
      <c r="N2258" s="436"/>
      <c r="O2258" s="436"/>
      <c r="P2258" s="435">
        <f t="shared" si="351"/>
        <v>0</v>
      </c>
      <c r="Q2258" s="447"/>
      <c r="R2258" s="447"/>
      <c r="S2258" s="447"/>
      <c r="T2258" s="432">
        <f t="shared" si="352"/>
        <v>0</v>
      </c>
    </row>
    <row r="2259" spans="1:20" ht="22.2" hidden="1" customHeight="1">
      <c r="A2259" s="379"/>
      <c r="B2259" s="491" t="s">
        <v>1429</v>
      </c>
      <c r="C2259" s="469" t="str">
        <f t="shared" si="357"/>
        <v xml:space="preserve"> </v>
      </c>
      <c r="D2259" s="498"/>
      <c r="E2259" s="422" t="str">
        <f>VLOOKUP($B2259,[1]DG!A:D,[1]DG!$B$2,)</f>
        <v>02.2124</v>
      </c>
      <c r="F2259" s="441" t="str">
        <f>VLOOKUP($B2259,[1]DG!A:D,[1]DG!$C$2,)</f>
        <v>LBS SF6 3pha 24kV 630A - 16kA</v>
      </c>
      <c r="G2259" s="422" t="str">
        <f>VLOOKUP($B2259,[1]DG!A:D,[1]DG!$D$2,)</f>
        <v>bộ</v>
      </c>
      <c r="H2259" s="436">
        <f t="shared" si="358"/>
        <v>0</v>
      </c>
      <c r="I2259" s="436">
        <f t="shared" si="359"/>
        <v>0</v>
      </c>
      <c r="J2259" s="436"/>
      <c r="K2259" s="436"/>
      <c r="L2259" s="436"/>
      <c r="M2259" s="436"/>
      <c r="N2259" s="436"/>
      <c r="O2259" s="436"/>
      <c r="P2259" s="435">
        <f t="shared" si="351"/>
        <v>0</v>
      </c>
      <c r="Q2259" s="447"/>
      <c r="R2259" s="447"/>
      <c r="S2259" s="447"/>
      <c r="T2259" s="432">
        <f t="shared" si="352"/>
        <v>0</v>
      </c>
    </row>
    <row r="2260" spans="1:20" ht="22.2" hidden="1" customHeight="1">
      <c r="A2260" s="379"/>
      <c r="B2260" s="491" t="s">
        <v>1430</v>
      </c>
      <c r="C2260" s="469" t="str">
        <f t="shared" si="357"/>
        <v xml:space="preserve"> </v>
      </c>
      <c r="D2260" s="498"/>
      <c r="E2260" s="422" t="str">
        <f>VLOOKUP($B2260,[1]DG!A:D,[1]DG!$B$2,)</f>
        <v>02.2124</v>
      </c>
      <c r="F2260" s="441" t="str">
        <f>VLOOKUP($B2260,[1]DG!A:D,[1]DG!$C$2,)</f>
        <v>Recloser 24kV 630-800A</v>
      </c>
      <c r="G2260" s="422" t="str">
        <f>VLOOKUP($B2260,[1]DG!A:D,[1]DG!$D$2,)</f>
        <v>bộ</v>
      </c>
      <c r="H2260" s="436">
        <f t="shared" si="358"/>
        <v>0</v>
      </c>
      <c r="I2260" s="436">
        <f t="shared" si="359"/>
        <v>0</v>
      </c>
      <c r="J2260" s="436"/>
      <c r="K2260" s="436"/>
      <c r="L2260" s="436"/>
      <c r="M2260" s="436"/>
      <c r="N2260" s="436"/>
      <c r="O2260" s="436"/>
      <c r="P2260" s="435">
        <f t="shared" si="351"/>
        <v>0</v>
      </c>
      <c r="Q2260" s="447"/>
      <c r="R2260" s="447"/>
      <c r="S2260" s="447"/>
      <c r="T2260" s="432">
        <f t="shared" si="352"/>
        <v>0</v>
      </c>
    </row>
    <row r="2261" spans="1:20" ht="22.2" hidden="1" customHeight="1">
      <c r="A2261" s="379"/>
      <c r="B2261" s="491" t="s">
        <v>58</v>
      </c>
      <c r="C2261" s="469" t="str">
        <f t="shared" si="357"/>
        <v xml:space="preserve"> </v>
      </c>
      <c r="D2261" s="498"/>
      <c r="E2261" s="422" t="str">
        <f>VLOOKUP($B2261,[1]DG!A:D,[1]DG!$B$2,)</f>
        <v>02.5114</v>
      </c>
      <c r="F2261" s="441" t="str">
        <f>VLOOKUP($B2261,[1]DG!A:D,[1]DG!$C$2,)</f>
        <v>Chống sét van LA-18KV-10KA</v>
      </c>
      <c r="G2261" s="422" t="str">
        <f>VLOOKUP($B2261,[1]DG!A:D,[1]DG!$D$2,)</f>
        <v>cái</v>
      </c>
      <c r="H2261" s="436">
        <f t="shared" si="358"/>
        <v>0</v>
      </c>
      <c r="I2261" s="436">
        <f t="shared" si="359"/>
        <v>0</v>
      </c>
      <c r="J2261" s="436"/>
      <c r="K2261" s="436"/>
      <c r="L2261" s="436"/>
      <c r="M2261" s="436"/>
      <c r="N2261" s="436"/>
      <c r="O2261" s="436"/>
      <c r="P2261" s="435">
        <f t="shared" si="351"/>
        <v>0</v>
      </c>
      <c r="Q2261" s="447"/>
      <c r="R2261" s="447"/>
      <c r="S2261" s="447"/>
      <c r="T2261" s="432">
        <f t="shared" si="352"/>
        <v>0</v>
      </c>
    </row>
    <row r="2262" spans="1:20" ht="22.2" hidden="1" customHeight="1">
      <c r="A2262" s="379"/>
      <c r="B2262" s="491" t="s">
        <v>451</v>
      </c>
      <c r="C2262" s="469" t="str">
        <f t="shared" si="357"/>
        <v xml:space="preserve"> </v>
      </c>
      <c r="D2262" s="498"/>
      <c r="E2262" s="422" t="str">
        <f>VLOOKUP($B2262,[1]DG!A:D,[1]DG!$B$2,)</f>
        <v>02.5114</v>
      </c>
      <c r="F2262" s="441" t="str">
        <f>VLOOKUP($B2262,[1]DG!A:D,[1]DG!$C$2,)</f>
        <v>LA 12kV 10kA</v>
      </c>
      <c r="G2262" s="422" t="str">
        <f>VLOOKUP($B2262,[1]DG!A:D,[1]DG!$D$2,)</f>
        <v>cái</v>
      </c>
      <c r="H2262" s="436">
        <f t="shared" si="358"/>
        <v>0</v>
      </c>
      <c r="I2262" s="436">
        <f t="shared" si="359"/>
        <v>0</v>
      </c>
      <c r="J2262" s="436"/>
      <c r="K2262" s="436"/>
      <c r="L2262" s="436"/>
      <c r="M2262" s="436"/>
      <c r="N2262" s="436"/>
      <c r="O2262" s="436"/>
      <c r="P2262" s="435">
        <f t="shared" si="351"/>
        <v>0</v>
      </c>
      <c r="Q2262" s="447"/>
      <c r="R2262" s="447"/>
      <c r="S2262" s="447"/>
      <c r="T2262" s="432">
        <f t="shared" si="352"/>
        <v>0</v>
      </c>
    </row>
    <row r="2263" spans="1:20" ht="22.2" customHeight="1">
      <c r="A2263" s="451" t="s">
        <v>1434</v>
      </c>
      <c r="B2263" s="424" t="s">
        <v>1434</v>
      </c>
      <c r="C2263" s="465" t="str">
        <f>IF(D2263&lt;&gt;0,"x"," ")</f>
        <v>x</v>
      </c>
      <c r="D2263" s="426">
        <f>IF(SUM(D2264:D2283)=0,0,1)</f>
        <v>1</v>
      </c>
      <c r="E2263" s="349" t="s">
        <v>1417</v>
      </c>
      <c r="F2263" s="428" t="s">
        <v>1435</v>
      </c>
      <c r="G2263" s="349"/>
      <c r="H2263" s="429">
        <f>SUM(I2263:O2263)</f>
        <v>0</v>
      </c>
      <c r="I2263" s="430"/>
      <c r="J2263" s="430"/>
      <c r="K2263" s="430"/>
      <c r="L2263" s="430">
        <f>IFERROR(HLOOKUP(chitiet!B2263,[1]pp1p!$1:$3,3,0),0)</f>
        <v>0</v>
      </c>
      <c r="M2263" s="430"/>
      <c r="N2263" s="430"/>
      <c r="O2263" s="430"/>
      <c r="P2263" s="435">
        <f t="shared" si="351"/>
        <v>0</v>
      </c>
      <c r="Q2263" s="543"/>
      <c r="R2263" s="543"/>
      <c r="S2263" s="543"/>
      <c r="T2263" s="432">
        <f t="shared" si="352"/>
        <v>0</v>
      </c>
    </row>
    <row r="2264" spans="1:20" ht="22.2" hidden="1" customHeight="1">
      <c r="A2264" s="379"/>
      <c r="B2264" s="491" t="s">
        <v>1422</v>
      </c>
      <c r="C2264" s="469" t="str">
        <f t="shared" si="357"/>
        <v xml:space="preserve"> </v>
      </c>
      <c r="D2264" s="544"/>
      <c r="E2264" s="422" t="str">
        <f>VLOOKUP($B2264,[1]DG!A:D,[1]DG!$B$2,)</f>
        <v>02.3104</v>
      </c>
      <c r="F2264" s="441" t="str">
        <f>VLOOKUP($B2264,[1]DG!A:D,[1]DG!$C$2,)</f>
        <v>LTD 1P 24KV - 800A</v>
      </c>
      <c r="G2264" s="422" t="str">
        <f>VLOOKUP($B2264,[1]DG!A:D,[1]DG!$D$2,)</f>
        <v>cái</v>
      </c>
      <c r="H2264" s="436">
        <f t="shared" ref="H2264:H2269" si="360">D2264</f>
        <v>0</v>
      </c>
      <c r="I2264" s="436"/>
      <c r="J2264" s="436"/>
      <c r="K2264" s="436">
        <f>IFERROR(HLOOKUP(B2264,[1]pp3p1m!$1:$3,2,0),0)</f>
        <v>0</v>
      </c>
      <c r="L2264" s="436"/>
      <c r="M2264" s="436"/>
      <c r="N2264" s="436"/>
      <c r="O2264" s="436"/>
      <c r="P2264" s="435">
        <f t="shared" si="351"/>
        <v>0</v>
      </c>
      <c r="Q2264" s="447"/>
      <c r="R2264" s="447"/>
      <c r="S2264" s="447"/>
      <c r="T2264" s="432">
        <f>IFERROR(HLOOKUP(B2264,[1]pp3p1m!$1:$3,3,0),0)</f>
        <v>0</v>
      </c>
    </row>
    <row r="2265" spans="1:20" ht="22.2" hidden="1" customHeight="1">
      <c r="A2265" s="379"/>
      <c r="B2265" s="491" t="s">
        <v>1433</v>
      </c>
      <c r="C2265" s="469" t="str">
        <f t="shared" si="357"/>
        <v xml:space="preserve"> </v>
      </c>
      <c r="D2265" s="544"/>
      <c r="E2265" s="422" t="str">
        <f>VLOOKUP($B2265,[1]DG!A:D,[1]DG!$B$2,)</f>
        <v>02.3505</v>
      </c>
      <c r="F2265" s="441" t="str">
        <f>VLOOKUP($B2265,[1]DG!A:D,[1]DG!$C$2,)&amp;" : lắp trụ đo đếm"</f>
        <v>LBFCO-24KV-100A : lắp trụ đo đếm</v>
      </c>
      <c r="G2265" s="422" t="str">
        <f>VLOOKUP($B2265,[1]DG!A:D,[1]DG!$D$2,)</f>
        <v>cái</v>
      </c>
      <c r="H2265" s="436">
        <f t="shared" si="360"/>
        <v>0</v>
      </c>
      <c r="I2265" s="436"/>
      <c r="J2265" s="436"/>
      <c r="K2265" s="436">
        <f>IFERROR(HLOOKUP(B2265,[1]pp3p1m!$1:$3,2,0),0)</f>
        <v>0</v>
      </c>
      <c r="L2265" s="436"/>
      <c r="M2265" s="436"/>
      <c r="N2265" s="436"/>
      <c r="O2265" s="436"/>
      <c r="P2265" s="435">
        <f t="shared" si="351"/>
        <v>0</v>
      </c>
      <c r="Q2265" s="447"/>
      <c r="R2265" s="447"/>
      <c r="S2265" s="447"/>
      <c r="T2265" s="432">
        <f>IFERROR(HLOOKUP(B2265,[1]pp3p1m!$1:$3,3,0),0)</f>
        <v>0</v>
      </c>
    </row>
    <row r="2266" spans="1:20" ht="22.2" hidden="1" customHeight="1">
      <c r="A2266" s="379"/>
      <c r="B2266" s="491" t="s">
        <v>1436</v>
      </c>
      <c r="C2266" s="469" t="str">
        <f t="shared" si="357"/>
        <v xml:space="preserve"> </v>
      </c>
      <c r="D2266" s="544"/>
      <c r="E2266" s="422">
        <f>VLOOKUP($B2266,[1]DG!A:D,[1]DG!$B$2,)</f>
        <v>0</v>
      </c>
      <c r="F2266" s="441" t="str">
        <f>VLOOKUP($B2266,[1]DG!A:D,[1]DG!$C$2,)</f>
        <v>Dây chảy 80K</v>
      </c>
      <c r="G2266" s="422" t="str">
        <f>VLOOKUP($B2266,[1]DG!A:D,[1]DG!$D$2,)</f>
        <v>Sợi</v>
      </c>
      <c r="H2266" s="436">
        <f t="shared" si="360"/>
        <v>0</v>
      </c>
      <c r="I2266" s="436"/>
      <c r="J2266" s="436"/>
      <c r="K2266" s="436">
        <f>IFERROR(HLOOKUP(B2266,[1]pp3p1m!$1:$3,2,0),0)</f>
        <v>0</v>
      </c>
      <c r="L2266" s="436"/>
      <c r="M2266" s="436"/>
      <c r="N2266" s="436"/>
      <c r="O2266" s="436"/>
      <c r="P2266" s="435">
        <f t="shared" si="351"/>
        <v>0</v>
      </c>
      <c r="Q2266" s="447"/>
      <c r="R2266" s="447"/>
      <c r="S2266" s="447"/>
      <c r="T2266" s="432">
        <f>IFERROR(HLOOKUP(B2266,[1]pp3p1m!$1:$3,3,0),0)</f>
        <v>0</v>
      </c>
    </row>
    <row r="2267" spans="1:20" ht="22.2" hidden="1" customHeight="1">
      <c r="A2267" s="379"/>
      <c r="B2267" s="491" t="s">
        <v>1423</v>
      </c>
      <c r="C2267" s="469" t="str">
        <f t="shared" si="357"/>
        <v xml:space="preserve"> </v>
      </c>
      <c r="D2267" s="544"/>
      <c r="E2267" s="422" t="str">
        <f>VLOOKUP($B2267,[1]DG!A:D,[1]DG!$B$2,)</f>
        <v>02.3505</v>
      </c>
      <c r="F2267" s="441" t="str">
        <f>VLOOKUP($B2267,[1]DG!A:D,[1]DG!$C$2,)&amp;" : lắp trụ đầu nhánh"</f>
        <v>LBFCO-24KV-200A : lắp trụ đầu nhánh</v>
      </c>
      <c r="G2267" s="422" t="str">
        <f>VLOOKUP($B2267,[1]DG!A:D,[1]DG!$D$2,)</f>
        <v>cái</v>
      </c>
      <c r="H2267" s="436">
        <f t="shared" si="360"/>
        <v>0</v>
      </c>
      <c r="I2267" s="436"/>
      <c r="J2267" s="436"/>
      <c r="K2267" s="436">
        <f>IFERROR(HLOOKUP(B2267,[1]pp3p1m!$1:$3,2,0),0)</f>
        <v>0</v>
      </c>
      <c r="L2267" s="436"/>
      <c r="M2267" s="436"/>
      <c r="N2267" s="436"/>
      <c r="O2267" s="436"/>
      <c r="P2267" s="435">
        <f t="shared" si="351"/>
        <v>0</v>
      </c>
      <c r="Q2267" s="447"/>
      <c r="R2267" s="447"/>
      <c r="S2267" s="447"/>
      <c r="T2267" s="432">
        <f>IFERROR(HLOOKUP(B2267,[1]pp3p1m!$1:$3,3,0),0)</f>
        <v>0</v>
      </c>
    </row>
    <row r="2268" spans="1:20" ht="22.2" hidden="1" customHeight="1">
      <c r="A2268" s="379"/>
      <c r="B2268" s="491" t="s">
        <v>1437</v>
      </c>
      <c r="C2268" s="469" t="str">
        <f t="shared" si="357"/>
        <v xml:space="preserve"> </v>
      </c>
      <c r="D2268" s="498"/>
      <c r="E2268" s="422">
        <f>VLOOKUP($B2268,[1]DG!A:D,[1]DG!$B$2,)</f>
        <v>0</v>
      </c>
      <c r="F2268" s="441" t="str">
        <f>VLOOKUP($B2268,[1]DG!A:D,[1]DG!$C$2,)</f>
        <v>Dây chảy 100K</v>
      </c>
      <c r="G2268" s="422" t="str">
        <f>VLOOKUP($B2268,[1]DG!A:D,[1]DG!$D$2,)</f>
        <v>Sợi</v>
      </c>
      <c r="H2268" s="436">
        <f t="shared" si="360"/>
        <v>0</v>
      </c>
      <c r="I2268" s="436"/>
      <c r="J2268" s="436"/>
      <c r="K2268" s="436">
        <f>IFERROR(HLOOKUP(B2268,[1]pp3p1m!$1:$3,2,0),0)</f>
        <v>0</v>
      </c>
      <c r="L2268" s="436"/>
      <c r="M2268" s="436"/>
      <c r="N2268" s="436"/>
      <c r="O2268" s="436"/>
      <c r="P2268" s="435">
        <f t="shared" si="351"/>
        <v>0</v>
      </c>
      <c r="Q2268" s="447"/>
      <c r="R2268" s="447"/>
      <c r="S2268" s="447"/>
      <c r="T2268" s="432">
        <f>IFERROR(HLOOKUP(B2268,[1]pp3p1m!$1:$3,3,0),0)</f>
        <v>0</v>
      </c>
    </row>
    <row r="2269" spans="1:20" ht="22.2" hidden="1" customHeight="1">
      <c r="A2269" s="379"/>
      <c r="B2269" s="491" t="s">
        <v>1424</v>
      </c>
      <c r="C2269" s="469" t="str">
        <f t="shared" si="357"/>
        <v xml:space="preserve"> </v>
      </c>
      <c r="D2269" s="544"/>
      <c r="E2269" s="422" t="str">
        <f>VLOOKUP($B2269,[1]DG!A:D,[1]DG!$B$2,)</f>
        <v>02.3505</v>
      </c>
      <c r="F2269" s="441" t="str">
        <f>VLOOKUP($B2269,[1]DG!A:D,[1]DG!$C$2,)</f>
        <v xml:space="preserve">FCO 24KV - 200A </v>
      </c>
      <c r="G2269" s="422" t="str">
        <f>VLOOKUP($B2269,[1]DG!A:D,[1]DG!$D$2,)</f>
        <v>cái</v>
      </c>
      <c r="H2269" s="436">
        <f t="shared" si="360"/>
        <v>0</v>
      </c>
      <c r="I2269" s="436"/>
      <c r="J2269" s="436"/>
      <c r="K2269" s="436">
        <f>IFERROR(HLOOKUP(B2269,[1]pp3p1m!$1:$3,2,0),0)</f>
        <v>0</v>
      </c>
      <c r="L2269" s="436"/>
      <c r="M2269" s="436"/>
      <c r="N2269" s="436"/>
      <c r="O2269" s="436"/>
      <c r="P2269" s="435">
        <f t="shared" si="351"/>
        <v>0</v>
      </c>
      <c r="Q2269" s="447"/>
      <c r="R2269" s="447"/>
      <c r="S2269" s="447"/>
      <c r="T2269" s="432">
        <f>IFERROR(HLOOKUP(B2269,[1]pp3p1m!$1:$3,3,0),0)</f>
        <v>0</v>
      </c>
    </row>
    <row r="2270" spans="1:20" ht="22.2" hidden="1" customHeight="1">
      <c r="B2270" s="406" t="s">
        <v>56</v>
      </c>
      <c r="C2270" s="465" t="str">
        <f t="shared" si="357"/>
        <v>x</v>
      </c>
      <c r="D2270" s="544">
        <f>H2270</f>
        <v>3</v>
      </c>
      <c r="E2270" s="422" t="str">
        <f>VLOOKUP($B2270,[1]DG!A:D,[1]DG!$B$2,)</f>
        <v>02.3155</v>
      </c>
      <c r="F2270" s="441" t="str">
        <f>VLOOKUP($B2270,[1]DG!A:D,[1]DG!$C$2,)</f>
        <v>FCO 27kV - 100A</v>
      </c>
      <c r="G2270" s="422" t="str">
        <f>VLOOKUP($B2270,[1]DG!A:D,[1]DG!$D$2,)</f>
        <v>cái</v>
      </c>
      <c r="H2270" s="436">
        <f>K2270</f>
        <v>3</v>
      </c>
      <c r="I2270" s="436"/>
      <c r="J2270" s="436"/>
      <c r="K2270" s="436">
        <f>IFERROR(HLOOKUP(B2270,[1]pp3p1m!$1:$3,2,0),0)</f>
        <v>3</v>
      </c>
      <c r="L2270" s="436"/>
      <c r="M2270" s="436"/>
      <c r="N2270" s="436"/>
      <c r="O2270" s="436"/>
      <c r="P2270" s="435">
        <f>T2270</f>
        <v>3</v>
      </c>
      <c r="Q2270" s="447"/>
      <c r="R2270" s="447"/>
      <c r="S2270" s="447"/>
      <c r="T2270" s="432">
        <f>IFERROR(HLOOKUP(B2270,[1]pp3p1m!$1:$3,3,0),0)</f>
        <v>3</v>
      </c>
    </row>
    <row r="2271" spans="1:20" ht="22.2" hidden="1" customHeight="1">
      <c r="A2271" s="379"/>
      <c r="B2271" s="491" t="s">
        <v>1438</v>
      </c>
      <c r="C2271" s="465" t="str">
        <f t="shared" si="357"/>
        <v>x</v>
      </c>
      <c r="D2271" s="544"/>
      <c r="E2271" s="422">
        <f>VLOOKUP($B2271,[1]DG!A:D,[1]DG!$B$2,)</f>
        <v>0</v>
      </c>
      <c r="F2271" s="441" t="str">
        <f>VLOOKUP($B2271,[1]DG!A:D,[1]DG!$C$2,)</f>
        <v>Dây chảy 8K</v>
      </c>
      <c r="G2271" s="422" t="str">
        <f>VLOOKUP($B2271,[1]DG!A:D,[1]DG!$D$2,)</f>
        <v>Sợi</v>
      </c>
      <c r="H2271" s="436">
        <f>K2271</f>
        <v>3</v>
      </c>
      <c r="I2271" s="436"/>
      <c r="J2271" s="436"/>
      <c r="K2271" s="436">
        <f>IFERROR(HLOOKUP(B2271,[1]pp3p1m!$1:$3,2,0),0)</f>
        <v>3</v>
      </c>
      <c r="L2271" s="436"/>
      <c r="M2271" s="436"/>
      <c r="N2271" s="436"/>
      <c r="O2271" s="436"/>
      <c r="P2271" s="435">
        <f t="shared" ref="P2271:P2272" si="361">H2271+Q2271-R2271</f>
        <v>3</v>
      </c>
      <c r="Q2271" s="447"/>
      <c r="R2271" s="447"/>
      <c r="S2271" s="447"/>
      <c r="T2271" s="432">
        <f>IFERROR(HLOOKUP(B2271,[1]pp3p1m!$1:$3,3,0),0)</f>
        <v>3</v>
      </c>
    </row>
    <row r="2272" spans="1:20" ht="22.2" hidden="1" customHeight="1">
      <c r="A2272" s="379"/>
      <c r="B2272" s="491" t="s">
        <v>1425</v>
      </c>
      <c r="C2272" s="469" t="str">
        <f t="shared" si="357"/>
        <v xml:space="preserve"> </v>
      </c>
      <c r="D2272" s="544">
        <f>H2272</f>
        <v>0</v>
      </c>
      <c r="E2272" s="422">
        <f>VLOOKUP($B2272,[1]DG!A:D,[1]DG!$B$2,)</f>
        <v>0</v>
      </c>
      <c r="F2272" s="441" t="str">
        <f>VLOOKUP($B2272,[1]DG!A:D,[1]DG!$C$2,)</f>
        <v>Dây chảy 12K</v>
      </c>
      <c r="G2272" s="422" t="str">
        <f>VLOOKUP($B2272,[1]DG!A:D,[1]DG!$D$2,)</f>
        <v>Sợi</v>
      </c>
      <c r="H2272" s="436">
        <f>K2272</f>
        <v>0</v>
      </c>
      <c r="I2272" s="436"/>
      <c r="J2272" s="436"/>
      <c r="K2272" s="436">
        <f>IFERROR(HLOOKUP(B2272,[1]pp3p1m!$1:$3,2,0),0)</f>
        <v>0</v>
      </c>
      <c r="L2272" s="436"/>
      <c r="M2272" s="436"/>
      <c r="N2272" s="436"/>
      <c r="O2272" s="436"/>
      <c r="P2272" s="435">
        <f t="shared" si="361"/>
        <v>0</v>
      </c>
      <c r="Q2272" s="447"/>
      <c r="R2272" s="447"/>
      <c r="S2272" s="447"/>
      <c r="T2272" s="432">
        <f>IFERROR(HLOOKUP(B2272,[1]pp3p1m!$1:$3,3,0),0)</f>
        <v>0</v>
      </c>
    </row>
    <row r="2273" spans="1:20" ht="22.2" hidden="1" customHeight="1">
      <c r="A2273" s="379"/>
      <c r="B2273" s="491" t="s">
        <v>516</v>
      </c>
      <c r="C2273" s="469" t="str">
        <f t="shared" si="357"/>
        <v xml:space="preserve"> </v>
      </c>
      <c r="D2273" s="498">
        <f>D2284*3</f>
        <v>0</v>
      </c>
      <c r="E2273" s="422" t="str">
        <f>VLOOKUP($B2273,[1]DG!A:D,[1]DG!$B$2,)</f>
        <v>02.1114</v>
      </c>
      <c r="F2273" s="441" t="str">
        <f>VLOOKUP($B2273,[1]DG!A:D,[1]DG!$C$2,)</f>
        <v>Biến điện áp 12000/120(60)V</v>
      </c>
      <c r="G2273" s="422" t="str">
        <f>VLOOKUP($B2273,[1]DG!A:D,[1]DG!$D$2,)</f>
        <v>cái</v>
      </c>
      <c r="H2273" s="436">
        <f t="shared" ref="H2273:H2281" si="362">D2273</f>
        <v>0</v>
      </c>
      <c r="I2273" s="436"/>
      <c r="J2273" s="436"/>
      <c r="K2273" s="436">
        <f>IFERROR(HLOOKUP(B2273,[1]pp3p1m!$1:$3,2,0),0)</f>
        <v>0</v>
      </c>
      <c r="L2273" s="436"/>
      <c r="M2273" s="436"/>
      <c r="N2273" s="436"/>
      <c r="O2273" s="436"/>
      <c r="P2273" s="435">
        <f t="shared" si="351"/>
        <v>0</v>
      </c>
      <c r="Q2273" s="447"/>
      <c r="R2273" s="447"/>
      <c r="S2273" s="447"/>
      <c r="T2273" s="432">
        <f>IFERROR(HLOOKUP(B2273,[1]pp3p1m!$1:$3,3,0),0)</f>
        <v>0</v>
      </c>
    </row>
    <row r="2274" spans="1:20" ht="22.2" hidden="1" customHeight="1">
      <c r="A2274" s="379"/>
      <c r="B2274" s="491" t="s">
        <v>1439</v>
      </c>
      <c r="C2274" s="469" t="str">
        <f t="shared" si="357"/>
        <v xml:space="preserve"> </v>
      </c>
      <c r="D2274" s="544">
        <f>D2273</f>
        <v>0</v>
      </c>
      <c r="E2274" s="422" t="str">
        <f>VLOOKUP($B2274,[1]DG!A:D,[1]DG!$B$2,)</f>
        <v>02.1124</v>
      </c>
      <c r="F2274" s="441" t="str">
        <f>VLOOKUP($B2274,[1]DG!A:D,[1]DG!$C$2,)</f>
        <v>Biến dòng 24kV  20/5A</v>
      </c>
      <c r="G2274" s="422" t="str">
        <f>VLOOKUP($B2274,[1]DG!A:D,[1]DG!$D$2,)</f>
        <v>cái</v>
      </c>
      <c r="H2274" s="436">
        <f t="shared" si="362"/>
        <v>0</v>
      </c>
      <c r="I2274" s="436"/>
      <c r="J2274" s="436"/>
      <c r="K2274" s="436">
        <f>IFERROR(HLOOKUP(B2274,[1]pp3p1m!$1:$3,2,0),0)</f>
        <v>0</v>
      </c>
      <c r="L2274" s="436"/>
      <c r="M2274" s="436"/>
      <c r="N2274" s="436"/>
      <c r="O2274" s="436"/>
      <c r="P2274" s="435">
        <f t="shared" si="351"/>
        <v>0</v>
      </c>
      <c r="Q2274" s="447"/>
      <c r="R2274" s="447"/>
      <c r="S2274" s="447"/>
      <c r="T2274" s="432">
        <f>IFERROR(HLOOKUP(B2274,[1]pp3p1m!$1:$3,3,0),0)</f>
        <v>0</v>
      </c>
    </row>
    <row r="2275" spans="1:20" ht="22.2" hidden="1" customHeight="1">
      <c r="A2275" s="379"/>
      <c r="B2275" s="491" t="s">
        <v>1440</v>
      </c>
      <c r="C2275" s="469" t="str">
        <f t="shared" si="357"/>
        <v xml:space="preserve"> </v>
      </c>
      <c r="D2275" s="544">
        <f>D2284</f>
        <v>0</v>
      </c>
      <c r="E2275" s="422">
        <f>VLOOKUP($B2275,[1]DG!A:D,[1]DG!$B$2,)</f>
        <v>0</v>
      </c>
      <c r="F2275" s="441" t="str">
        <f>VLOOKUP($B2275,[1]DG!A:D,[1]DG!$C$2,)</f>
        <v>Điện kế 3 pha điện tử 600V-5A</v>
      </c>
      <c r="G2275" s="422" t="str">
        <f>VLOOKUP($B2275,[1]DG!A:D,[1]DG!$D$2,)</f>
        <v>cái</v>
      </c>
      <c r="H2275" s="436">
        <f t="shared" si="362"/>
        <v>0</v>
      </c>
      <c r="I2275" s="436"/>
      <c r="J2275" s="436"/>
      <c r="K2275" s="436">
        <f>IFERROR(HLOOKUP(B2275,[1]pp3p1m!$1:$3,2,0),0)</f>
        <v>0</v>
      </c>
      <c r="L2275" s="436"/>
      <c r="M2275" s="436"/>
      <c r="N2275" s="436"/>
      <c r="O2275" s="436"/>
      <c r="P2275" s="435">
        <f t="shared" si="351"/>
        <v>0</v>
      </c>
      <c r="Q2275" s="447"/>
      <c r="R2275" s="447"/>
      <c r="S2275" s="447"/>
      <c r="T2275" s="432">
        <f>IFERROR(HLOOKUP(B2275,[1]pp3p1m!$1:$3,3,0),0)</f>
        <v>0</v>
      </c>
    </row>
    <row r="2276" spans="1:20" ht="22.2" hidden="1" customHeight="1">
      <c r="A2276" s="379"/>
      <c r="B2276" s="491" t="s">
        <v>1427</v>
      </c>
      <c r="C2276" s="469" t="str">
        <f t="shared" si="357"/>
        <v xml:space="preserve"> </v>
      </c>
      <c r="D2276" s="544"/>
      <c r="E2276" s="422" t="str">
        <f>VLOOKUP($B2276,[1]DG!A:D,[1]DG!$B$2,)</f>
        <v>02.3302</v>
      </c>
      <c r="F2276" s="441" t="str">
        <f>VLOOKUP($B2276,[1]DG!A:D,[1]DG!$C$2,)</f>
        <v xml:space="preserve">DS 1P - 24KV - 600A </v>
      </c>
      <c r="G2276" s="422" t="str">
        <f>VLOOKUP($B2276,[1]DG!A:D,[1]DG!$D$2,)</f>
        <v>bộ</v>
      </c>
      <c r="H2276" s="436">
        <f t="shared" si="362"/>
        <v>0</v>
      </c>
      <c r="I2276" s="436"/>
      <c r="J2276" s="436"/>
      <c r="K2276" s="436">
        <f>IFERROR(HLOOKUP(B2276,[1]pp3p1m!$1:$3,2,0),0)</f>
        <v>0</v>
      </c>
      <c r="L2276" s="436"/>
      <c r="M2276" s="436"/>
      <c r="N2276" s="436"/>
      <c r="O2276" s="436"/>
      <c r="P2276" s="435">
        <f t="shared" si="351"/>
        <v>0</v>
      </c>
      <c r="Q2276" s="447"/>
      <c r="R2276" s="447"/>
      <c r="S2276" s="447"/>
      <c r="T2276" s="432">
        <f>IFERROR(HLOOKUP(B2276,[1]pp3p1m!$1:$3,3,0),0)</f>
        <v>0</v>
      </c>
    </row>
    <row r="2277" spans="1:20" ht="22.2" hidden="1" customHeight="1">
      <c r="A2277" s="379"/>
      <c r="B2277" s="491" t="s">
        <v>556</v>
      </c>
      <c r="C2277" s="469" t="str">
        <f t="shared" si="357"/>
        <v xml:space="preserve"> </v>
      </c>
      <c r="D2277" s="544"/>
      <c r="E2277" s="422" t="str">
        <f>VLOOKUP($B2277,[1]DG!A:D,[1]DG!$B$2,)</f>
        <v>02.3302</v>
      </c>
      <c r="F2277" s="441" t="str">
        <f>VLOOKUP($B2277,[1]DG!A:D,[1]DG!$C$2,)</f>
        <v xml:space="preserve">DS 3P - 24KV - 630A </v>
      </c>
      <c r="G2277" s="422" t="str">
        <f>VLOOKUP($B2277,[1]DG!A:D,[1]DG!$D$2,)</f>
        <v>bộ</v>
      </c>
      <c r="H2277" s="436">
        <f t="shared" si="362"/>
        <v>0</v>
      </c>
      <c r="I2277" s="436"/>
      <c r="J2277" s="436"/>
      <c r="K2277" s="436">
        <f>IFERROR(HLOOKUP(B2277,[1]pp3p1m!$1:$3,2,0),0)</f>
        <v>0</v>
      </c>
      <c r="L2277" s="436"/>
      <c r="M2277" s="436"/>
      <c r="N2277" s="436"/>
      <c r="O2277" s="436"/>
      <c r="P2277" s="435">
        <f t="shared" si="351"/>
        <v>0</v>
      </c>
      <c r="Q2277" s="447"/>
      <c r="R2277" s="447"/>
      <c r="S2277" s="447"/>
      <c r="T2277" s="432">
        <f>IFERROR(HLOOKUP(B2277,[1]pp3p1m!$1:$3,3,0),0)</f>
        <v>0</v>
      </c>
    </row>
    <row r="2278" spans="1:20" ht="22.2" hidden="1" customHeight="1">
      <c r="A2278" s="379"/>
      <c r="B2278" s="491" t="s">
        <v>1429</v>
      </c>
      <c r="C2278" s="469" t="str">
        <f t="shared" si="357"/>
        <v xml:space="preserve"> </v>
      </c>
      <c r="D2278" s="544"/>
      <c r="E2278" s="422" t="str">
        <f>VLOOKUP($B2278,[1]DG!A:D,[1]DG!$B$2,)</f>
        <v>02.2124</v>
      </c>
      <c r="F2278" s="441" t="str">
        <f>VLOOKUP($B2278,[1]DG!A:D,[1]DG!$C$2,)</f>
        <v>LBS SF6 3pha 24kV 630A - 16kA</v>
      </c>
      <c r="G2278" s="422" t="str">
        <f>VLOOKUP($B2278,[1]DG!A:D,[1]DG!$D$2,)</f>
        <v>bộ</v>
      </c>
      <c r="H2278" s="436">
        <f t="shared" si="362"/>
        <v>0</v>
      </c>
      <c r="I2278" s="436"/>
      <c r="J2278" s="436"/>
      <c r="K2278" s="436">
        <f>IFERROR(HLOOKUP(B2278,[1]pp3p1m!$1:$3,2,0),0)</f>
        <v>0</v>
      </c>
      <c r="L2278" s="436"/>
      <c r="M2278" s="436"/>
      <c r="N2278" s="436"/>
      <c r="O2278" s="436"/>
      <c r="P2278" s="435">
        <f t="shared" ref="P2278:P2345" si="363">H2278+Q2278-R2278</f>
        <v>0</v>
      </c>
      <c r="Q2278" s="447"/>
      <c r="R2278" s="447"/>
      <c r="S2278" s="447"/>
      <c r="T2278" s="432">
        <f>IFERROR(HLOOKUP(B2278,[1]pp3p1m!$1:$3,3,0),0)</f>
        <v>0</v>
      </c>
    </row>
    <row r="2279" spans="1:20" ht="22.2" hidden="1" customHeight="1">
      <c r="A2279" s="379"/>
      <c r="B2279" s="491" t="s">
        <v>1430</v>
      </c>
      <c r="C2279" s="469" t="str">
        <f t="shared" si="357"/>
        <v xml:space="preserve"> </v>
      </c>
      <c r="D2279" s="544"/>
      <c r="E2279" s="422" t="str">
        <f>VLOOKUP($B2279,[1]DG!A:D,[1]DG!$B$2,)</f>
        <v>02.2124</v>
      </c>
      <c r="F2279" s="441" t="str">
        <f>VLOOKUP($B2279,[1]DG!A:D,[1]DG!$C$2,)</f>
        <v>Recloser 24kV 630-800A</v>
      </c>
      <c r="G2279" s="422" t="str">
        <f>VLOOKUP($B2279,[1]DG!A:D,[1]DG!$D$2,)</f>
        <v>bộ</v>
      </c>
      <c r="H2279" s="436">
        <f t="shared" si="362"/>
        <v>0</v>
      </c>
      <c r="I2279" s="436"/>
      <c r="J2279" s="436"/>
      <c r="K2279" s="436">
        <f>IFERROR(HLOOKUP(B2279,[1]pp3p1m!$1:$3,2,0),0)</f>
        <v>0</v>
      </c>
      <c r="L2279" s="436"/>
      <c r="M2279" s="436"/>
      <c r="N2279" s="436"/>
      <c r="O2279" s="436"/>
      <c r="P2279" s="435">
        <f t="shared" si="363"/>
        <v>0</v>
      </c>
      <c r="Q2279" s="447"/>
      <c r="R2279" s="447"/>
      <c r="S2279" s="447"/>
      <c r="T2279" s="432">
        <f>IFERROR(HLOOKUP(B2279,[1]pp3p1m!$1:$3,3,0),0)</f>
        <v>0</v>
      </c>
    </row>
    <row r="2280" spans="1:20" ht="22.2" hidden="1" customHeight="1">
      <c r="A2280" s="379"/>
      <c r="B2280" s="491" t="s">
        <v>58</v>
      </c>
      <c r="C2280" s="469" t="str">
        <f t="shared" si="357"/>
        <v xml:space="preserve"> </v>
      </c>
      <c r="D2280" s="544"/>
      <c r="E2280" s="422" t="str">
        <f>VLOOKUP($B2280,[1]DG!A:D,[1]DG!$B$2,)</f>
        <v>02.5114</v>
      </c>
      <c r="F2280" s="441" t="str">
        <f>VLOOKUP($B2280,[1]DG!A:D,[1]DG!$C$2,)</f>
        <v>Chống sét van LA-18KV-10KA</v>
      </c>
      <c r="G2280" s="422" t="str">
        <f>VLOOKUP($B2280,[1]DG!A:D,[1]DG!$D$2,)</f>
        <v>cái</v>
      </c>
      <c r="H2280" s="436">
        <f t="shared" si="362"/>
        <v>0</v>
      </c>
      <c r="I2280" s="436"/>
      <c r="J2280" s="436"/>
      <c r="K2280" s="436">
        <f>IFERROR(HLOOKUP(B2280,[1]pp3p1m!$1:$3,2,0),0)</f>
        <v>0</v>
      </c>
      <c r="L2280" s="436"/>
      <c r="M2280" s="436"/>
      <c r="N2280" s="436"/>
      <c r="O2280" s="436"/>
      <c r="P2280" s="435">
        <f t="shared" si="363"/>
        <v>0</v>
      </c>
      <c r="Q2280" s="447"/>
      <c r="R2280" s="447"/>
      <c r="S2280" s="447"/>
      <c r="T2280" s="432">
        <f>IFERROR(HLOOKUP(B2280,[1]pp3p1m!$1:$3,3,0),0)</f>
        <v>0</v>
      </c>
    </row>
    <row r="2281" spans="1:20" ht="22.2" hidden="1" customHeight="1">
      <c r="A2281" s="379"/>
      <c r="B2281" s="491" t="s">
        <v>451</v>
      </c>
      <c r="C2281" s="469" t="str">
        <f t="shared" si="357"/>
        <v xml:space="preserve"> </v>
      </c>
      <c r="D2281" s="544"/>
      <c r="E2281" s="422" t="str">
        <f>VLOOKUP($B2281,[1]DG!A:D,[1]DG!$B$2,)</f>
        <v>02.5114</v>
      </c>
      <c r="F2281" s="441" t="str">
        <f>VLOOKUP($B2281,[1]DG!A:D,[1]DG!$C$2,)</f>
        <v>LA 12kV 10kA</v>
      </c>
      <c r="G2281" s="422" t="str">
        <f>VLOOKUP($B2281,[1]DG!A:D,[1]DG!$D$2,)</f>
        <v>cái</v>
      </c>
      <c r="H2281" s="436">
        <f t="shared" si="362"/>
        <v>0</v>
      </c>
      <c r="I2281" s="436"/>
      <c r="J2281" s="436"/>
      <c r="K2281" s="436">
        <f>IFERROR(HLOOKUP(B2281,[1]pp3p1m!$1:$3,2,0),0)</f>
        <v>0</v>
      </c>
      <c r="L2281" s="436"/>
      <c r="M2281" s="436"/>
      <c r="N2281" s="436"/>
      <c r="O2281" s="436"/>
      <c r="P2281" s="435">
        <f t="shared" si="363"/>
        <v>0</v>
      </c>
      <c r="Q2281" s="447"/>
      <c r="R2281" s="447"/>
      <c r="S2281" s="447"/>
      <c r="T2281" s="432">
        <f>IFERROR(HLOOKUP(B2281,[1]pp3p1m!$1:$3,3,0),0)</f>
        <v>0</v>
      </c>
    </row>
    <row r="2282" spans="1:20" ht="22.2" hidden="1" customHeight="1">
      <c r="A2282" s="379"/>
      <c r="B2282" s="491" t="s">
        <v>1441</v>
      </c>
      <c r="C2282" s="465" t="str">
        <f t="shared" si="357"/>
        <v xml:space="preserve"> </v>
      </c>
      <c r="D2282" s="544"/>
      <c r="E2282" s="422">
        <f>VLOOKUP($B2282,[1]DG!A:D,[1]DG!$B$2,)</f>
        <v>0</v>
      </c>
      <c r="F2282" s="441" t="str">
        <f>VLOOKUP($B2282,[1]DG!A:D,[1]DG!$C$2,)</f>
        <v>Bass LI bắt FCO</v>
      </c>
      <c r="G2282" s="422" t="str">
        <f>VLOOKUP($B2282,[1]DG!A:D,[1]DG!$D$2,)</f>
        <v>Bộ</v>
      </c>
      <c r="H2282" s="436"/>
      <c r="I2282" s="436"/>
      <c r="J2282" s="436"/>
      <c r="K2282" s="436">
        <f>IFERROR(HLOOKUP(B2282,[1]pp3p1m!$1:$3,2,0),0)</f>
        <v>0</v>
      </c>
      <c r="L2282" s="436"/>
      <c r="M2282" s="436"/>
      <c r="N2282" s="436"/>
      <c r="O2282" s="436"/>
      <c r="P2282" s="435">
        <f t="shared" si="363"/>
        <v>0</v>
      </c>
      <c r="Q2282" s="447"/>
      <c r="R2282" s="447"/>
      <c r="S2282" s="447"/>
      <c r="T2282" s="432">
        <f>IFERROR(HLOOKUP(B2282,[1]pp3p1m!$1:$3,3,0),0)</f>
        <v>0</v>
      </c>
    </row>
    <row r="2283" spans="1:20" ht="22.2" hidden="1" customHeight="1">
      <c r="A2283" s="379"/>
      <c r="B2283" s="491" t="s">
        <v>191</v>
      </c>
      <c r="C2283" s="465" t="str">
        <f t="shared" si="357"/>
        <v xml:space="preserve"> </v>
      </c>
      <c r="D2283" s="544"/>
      <c r="E2283" s="422">
        <f>VLOOKUP($B2283,[1]DG!A:D,[1]DG!$B$2,)</f>
        <v>0</v>
      </c>
      <c r="F2283" s="441" t="str">
        <f>VLOOKUP($B2283,[1]DG!A:D,[1]DG!$C$2,)</f>
        <v>Chụp đầu cực FCO (bộ 2 cái)</v>
      </c>
      <c r="G2283" s="422" t="str">
        <f>VLOOKUP($B2283,[1]DG!A:D,[1]DG!$D$2,)</f>
        <v>bộ</v>
      </c>
      <c r="H2283" s="436">
        <f>D2283</f>
        <v>0</v>
      </c>
      <c r="I2283" s="436"/>
      <c r="J2283" s="436"/>
      <c r="K2283" s="436">
        <f>IFERROR(HLOOKUP(B2283,[1]pp3p1m!$1:$3,2,0),0)</f>
        <v>0</v>
      </c>
      <c r="L2283" s="436"/>
      <c r="M2283" s="436"/>
      <c r="N2283" s="436"/>
      <c r="O2283" s="436"/>
      <c r="P2283" s="435">
        <f t="shared" si="363"/>
        <v>0</v>
      </c>
      <c r="Q2283" s="447"/>
      <c r="R2283" s="447"/>
      <c r="S2283" s="447"/>
      <c r="T2283" s="432">
        <f>IFERROR(HLOOKUP(B2283,[1]pp3p1m!$1:$3,3,0),0)</f>
        <v>0</v>
      </c>
    </row>
    <row r="2284" spans="1:20" ht="22.2" hidden="1" customHeight="1">
      <c r="A2284" s="423" t="s">
        <v>1442</v>
      </c>
      <c r="B2284" s="424" t="s">
        <v>1442</v>
      </c>
      <c r="C2284" s="469" t="str">
        <f>IF(D2284&lt;&gt;0,"x"," ")</f>
        <v xml:space="preserve"> </v>
      </c>
      <c r="D2284" s="426"/>
      <c r="E2284" s="349" t="s">
        <v>1443</v>
      </c>
      <c r="F2284" s="428" t="s">
        <v>1444</v>
      </c>
      <c r="G2284" s="349"/>
      <c r="H2284" s="429">
        <f>SUM(I2284:O2284)</f>
        <v>0</v>
      </c>
      <c r="I2284" s="430"/>
      <c r="J2284" s="430"/>
      <c r="K2284" s="436">
        <f>IFERROR(HLOOKUP(B2284,[1]pp3p1m!$1:$3,2,0),0)</f>
        <v>0</v>
      </c>
      <c r="L2284" s="430">
        <f>IFERROR(HLOOKUP(chitiet!B2284,[1]pp1p!$1:$3,3,0),0)</f>
        <v>0</v>
      </c>
      <c r="M2284" s="430"/>
      <c r="N2284" s="430"/>
      <c r="O2284" s="430"/>
      <c r="P2284" s="435">
        <f t="shared" si="363"/>
        <v>0</v>
      </c>
      <c r="Q2284" s="543"/>
      <c r="R2284" s="543"/>
      <c r="S2284" s="543"/>
      <c r="T2284" s="432">
        <f t="shared" si="352"/>
        <v>0</v>
      </c>
    </row>
    <row r="2285" spans="1:20" ht="22.2" hidden="1" customHeight="1">
      <c r="A2285" s="379"/>
      <c r="B2285" s="545" t="s">
        <v>273</v>
      </c>
      <c r="C2285" s="469" t="str">
        <f t="shared" si="357"/>
        <v xml:space="preserve"> </v>
      </c>
      <c r="D2285" s="546">
        <f>D2284*26</f>
        <v>0</v>
      </c>
      <c r="E2285" s="422" t="str">
        <f>VLOOKUP($B2285,[1]DG!A:D,[1]DG!$B$2,)</f>
        <v>03.1401</v>
      </c>
      <c r="F2285" s="441" t="str">
        <f>VLOOKUP($B2285,[1]DG!A:D,[1]DG!$C$2,)</f>
        <v xml:space="preserve">Cáp CVV 4x2,5mm2  </v>
      </c>
      <c r="G2285" s="422" t="str">
        <f>VLOOKUP($B2285,[1]DG!A:D,[1]DG!$D$2,)</f>
        <v>mét</v>
      </c>
      <c r="H2285" s="436">
        <f t="shared" ref="H2285:H2308" si="364">D2285</f>
        <v>0</v>
      </c>
      <c r="I2285" s="436"/>
      <c r="J2285" s="436"/>
      <c r="K2285" s="436">
        <f>IFERROR(HLOOKUP(B2285,[1]pp3p1m!$1:$3,2,0),0)</f>
        <v>0</v>
      </c>
      <c r="L2285" s="436"/>
      <c r="M2285" s="436"/>
      <c r="N2285" s="436"/>
      <c r="O2285" s="436"/>
      <c r="P2285" s="435">
        <f t="shared" si="363"/>
        <v>0</v>
      </c>
      <c r="Q2285" s="447"/>
      <c r="R2285" s="447"/>
      <c r="S2285" s="447"/>
      <c r="T2285" s="432">
        <f t="shared" ref="T2285:T2348" si="365">IFERROR(HLOOKUP(B2285,BangKeTru,3,0),0)</f>
        <v>0</v>
      </c>
    </row>
    <row r="2286" spans="1:20" ht="22.2" hidden="1" customHeight="1">
      <c r="A2286" s="379"/>
      <c r="B2286" s="545" t="s">
        <v>440</v>
      </c>
      <c r="C2286" s="469" t="str">
        <f t="shared" si="357"/>
        <v xml:space="preserve"> </v>
      </c>
      <c r="D2286" s="546">
        <f>D2284*24</f>
        <v>0</v>
      </c>
      <c r="E2286" s="422" t="str">
        <f>VLOOKUP($B2286,[1]DG!A:D,[1]DG!$B$2,)</f>
        <v>05.6101</v>
      </c>
      <c r="F2286" s="441" t="str">
        <f>VLOOKUP($B2286,[1]DG!A:D,[1]DG!$C$2,)</f>
        <v>Xà kẹp TU, TI U50x32x4 350</v>
      </c>
      <c r="G2286" s="422" t="str">
        <f>VLOOKUP($B2286,[1]DG!A:D,[1]DG!$D$2,)</f>
        <v>Bộ</v>
      </c>
      <c r="H2286" s="436">
        <f t="shared" si="364"/>
        <v>0</v>
      </c>
      <c r="I2286" s="436"/>
      <c r="J2286" s="436"/>
      <c r="K2286" s="436">
        <f>IFERROR(HLOOKUP(B2286,[1]pp3p1m!$1:$3,2,0),0)</f>
        <v>0</v>
      </c>
      <c r="L2286" s="436"/>
      <c r="M2286" s="436"/>
      <c r="N2286" s="436"/>
      <c r="O2286" s="436"/>
      <c r="P2286" s="435">
        <f t="shared" si="363"/>
        <v>0</v>
      </c>
      <c r="Q2286" s="447"/>
      <c r="R2286" s="447"/>
      <c r="S2286" s="447"/>
      <c r="T2286" s="432">
        <f t="shared" si="365"/>
        <v>0</v>
      </c>
    </row>
    <row r="2287" spans="1:20" ht="22.2" hidden="1" customHeight="1">
      <c r="A2287" s="379"/>
      <c r="B2287" s="545" t="s">
        <v>1441</v>
      </c>
      <c r="C2287" s="469" t="str">
        <f t="shared" si="357"/>
        <v xml:space="preserve"> </v>
      </c>
      <c r="D2287" s="546">
        <f>D2284*6*0</f>
        <v>0</v>
      </c>
      <c r="E2287" s="422">
        <f>VLOOKUP($B2287,[1]DG!A:D,[1]DG!$B$2,)</f>
        <v>0</v>
      </c>
      <c r="F2287" s="441" t="str">
        <f>VLOOKUP($B2287,[1]DG!A:D,[1]DG!$C$2,)</f>
        <v>Bass LI bắt FCO</v>
      </c>
      <c r="G2287" s="422" t="str">
        <f>VLOOKUP($B2287,[1]DG!A:D,[1]DG!$D$2,)</f>
        <v>Bộ</v>
      </c>
      <c r="H2287" s="436">
        <f t="shared" si="364"/>
        <v>0</v>
      </c>
      <c r="I2287" s="436"/>
      <c r="J2287" s="436"/>
      <c r="K2287" s="436">
        <f>IFERROR(HLOOKUP(B2287,[1]pp3p1m!$1:$3,2,0),0)</f>
        <v>0</v>
      </c>
      <c r="L2287" s="436"/>
      <c r="M2287" s="436"/>
      <c r="N2287" s="436"/>
      <c r="O2287" s="436"/>
      <c r="P2287" s="435">
        <f t="shared" si="363"/>
        <v>0</v>
      </c>
      <c r="Q2287" s="447"/>
      <c r="R2287" s="447"/>
      <c r="S2287" s="447"/>
      <c r="T2287" s="432">
        <f t="shared" si="365"/>
        <v>0</v>
      </c>
    </row>
    <row r="2288" spans="1:20" ht="22.2" hidden="1" customHeight="1">
      <c r="A2288" s="379"/>
      <c r="B2288" s="545" t="s">
        <v>441</v>
      </c>
      <c r="C2288" s="469" t="str">
        <f t="shared" si="357"/>
        <v xml:space="preserve"> </v>
      </c>
      <c r="D2288" s="546">
        <f>D2284*16</f>
        <v>0</v>
      </c>
      <c r="E2288" s="422" t="str">
        <f>VLOOKUP($B2288,[1]DG!A:D,[1]DG!$B$2,)</f>
        <v>03.4001</v>
      </c>
      <c r="F2288" s="441" t="str">
        <f>VLOOKUP($B2288,[1]DG!A:D,[1]DG!$C$2,)</f>
        <v xml:space="preserve">Đầu cosse ép Cu 2,5mm2 + bao PVC </v>
      </c>
      <c r="G2288" s="422" t="str">
        <f>VLOOKUP($B2288,[1]DG!A:D,[1]DG!$D$2,)</f>
        <v>cái</v>
      </c>
      <c r="H2288" s="436">
        <f t="shared" si="364"/>
        <v>0</v>
      </c>
      <c r="I2288" s="436"/>
      <c r="J2288" s="436"/>
      <c r="K2288" s="436">
        <f>IFERROR(HLOOKUP(B2288,[1]pp3p1m!$1:$3,2,0),0)</f>
        <v>0</v>
      </c>
      <c r="L2288" s="436"/>
      <c r="M2288" s="436"/>
      <c r="N2288" s="436"/>
      <c r="O2288" s="436"/>
      <c r="P2288" s="435">
        <f t="shared" si="363"/>
        <v>0</v>
      </c>
      <c r="Q2288" s="447"/>
      <c r="R2288" s="447"/>
      <c r="S2288" s="447"/>
      <c r="T2288" s="432">
        <f t="shared" si="365"/>
        <v>0</v>
      </c>
    </row>
    <row r="2289" spans="1:20" ht="22.2" hidden="1" customHeight="1">
      <c r="A2289" s="379"/>
      <c r="B2289" s="545" t="s">
        <v>442</v>
      </c>
      <c r="C2289" s="469" t="str">
        <f t="shared" si="357"/>
        <v xml:space="preserve"> </v>
      </c>
      <c r="D2289" s="546">
        <f>6*D2284</f>
        <v>0</v>
      </c>
      <c r="E2289" s="422">
        <f>VLOOKUP($B2289,[1]DG!A:D,[1]DG!$B$2,)</f>
        <v>0</v>
      </c>
      <c r="F2289" s="441" t="str">
        <f>VLOOKUP($B2289,[1]DG!A:D,[1]DG!$C$2,)</f>
        <v>Dây điện đôi 16/10</v>
      </c>
      <c r="G2289" s="422" t="str">
        <f>VLOOKUP($B2289,[1]DG!A:D,[1]DG!$D$2,)</f>
        <v>mét</v>
      </c>
      <c r="H2289" s="436">
        <f t="shared" si="364"/>
        <v>0</v>
      </c>
      <c r="I2289" s="436"/>
      <c r="J2289" s="436"/>
      <c r="K2289" s="436">
        <f>IFERROR(HLOOKUP(B2289,[1]pp3p1m!$1:$3,2,0),0)</f>
        <v>0</v>
      </c>
      <c r="L2289" s="436"/>
      <c r="M2289" s="436"/>
      <c r="N2289" s="436"/>
      <c r="O2289" s="436"/>
      <c r="P2289" s="435">
        <f t="shared" si="363"/>
        <v>0</v>
      </c>
      <c r="Q2289" s="447"/>
      <c r="R2289" s="447"/>
      <c r="S2289" s="447"/>
      <c r="T2289" s="432">
        <f t="shared" si="365"/>
        <v>0</v>
      </c>
    </row>
    <row r="2290" spans="1:20" ht="22.2" hidden="1" customHeight="1">
      <c r="A2290" s="379"/>
      <c r="B2290" s="545" t="s">
        <v>154</v>
      </c>
      <c r="C2290" s="469" t="str">
        <f t="shared" si="357"/>
        <v xml:space="preserve"> </v>
      </c>
      <c r="D2290" s="546">
        <f>+D2284*3</f>
        <v>0</v>
      </c>
      <c r="E2290" s="422" t="str">
        <f>VLOOKUP($B2290,[1]DG!A:D,[1]DG!$B$2,)</f>
        <v>04.3107</v>
      </c>
      <c r="F2290" s="441" t="str">
        <f>VLOOKUP($B2290,[1]DG!A:D,[1]DG!$C$2,)</f>
        <v>Ốc siết cáp cỡ 25mm2</v>
      </c>
      <c r="G2290" s="422" t="str">
        <f>VLOOKUP($B2290,[1]DG!A:D,[1]DG!$D$2,)</f>
        <v>cái</v>
      </c>
      <c r="H2290" s="436">
        <f t="shared" si="364"/>
        <v>0</v>
      </c>
      <c r="I2290" s="436"/>
      <c r="J2290" s="436"/>
      <c r="K2290" s="436">
        <f>IFERROR(HLOOKUP(B2290,[1]pp3p1m!$1:$3,2,0),0)</f>
        <v>0</v>
      </c>
      <c r="L2290" s="436"/>
      <c r="M2290" s="436"/>
      <c r="N2290" s="436"/>
      <c r="O2290" s="436"/>
      <c r="P2290" s="435">
        <f t="shared" si="363"/>
        <v>0</v>
      </c>
      <c r="Q2290" s="447"/>
      <c r="R2290" s="447"/>
      <c r="S2290" s="447"/>
      <c r="T2290" s="432">
        <f t="shared" si="365"/>
        <v>0</v>
      </c>
    </row>
    <row r="2291" spans="1:20" ht="22.2" hidden="1" customHeight="1">
      <c r="A2291" s="379"/>
      <c r="B2291" s="545" t="s">
        <v>426</v>
      </c>
      <c r="C2291" s="469" t="str">
        <f t="shared" si="357"/>
        <v xml:space="preserve"> </v>
      </c>
      <c r="D2291" s="546">
        <f>D2302*18</f>
        <v>0</v>
      </c>
      <c r="E2291" s="422" t="str">
        <f>VLOOKUP($B2291,[1]DG!A:D,[1]DG!$B$2,)</f>
        <v>07.2403</v>
      </c>
      <c r="F2291" s="441" t="str">
        <f>VLOOKUP($B2291,[1]DG!A:D,[1]DG!$C$2,)</f>
        <v>Ống PVC D42x2,1mm</v>
      </c>
      <c r="G2291" s="422" t="str">
        <f>VLOOKUP($B2291,[1]DG!A:D,[1]DG!$D$2,)</f>
        <v>m</v>
      </c>
      <c r="H2291" s="436">
        <f t="shared" si="364"/>
        <v>0</v>
      </c>
      <c r="I2291" s="436"/>
      <c r="J2291" s="436"/>
      <c r="K2291" s="436">
        <f>IFERROR(HLOOKUP(B2291,[1]pp3p1m!$1:$3,2,0),0)</f>
        <v>0</v>
      </c>
      <c r="L2291" s="436"/>
      <c r="M2291" s="436"/>
      <c r="N2291" s="436"/>
      <c r="O2291" s="436"/>
      <c r="P2291" s="435">
        <f t="shared" si="363"/>
        <v>0</v>
      </c>
      <c r="Q2291" s="447"/>
      <c r="R2291" s="447"/>
      <c r="S2291" s="447"/>
      <c r="T2291" s="432">
        <f t="shared" si="365"/>
        <v>0</v>
      </c>
    </row>
    <row r="2292" spans="1:20" ht="22.2" hidden="1" customHeight="1">
      <c r="A2292" s="379"/>
      <c r="B2292" s="545" t="s">
        <v>1445</v>
      </c>
      <c r="C2292" s="469" t="str">
        <f t="shared" si="357"/>
        <v xml:space="preserve"> </v>
      </c>
      <c r="D2292" s="546">
        <f>D2284*4</f>
        <v>0</v>
      </c>
      <c r="E2292" s="422" t="str">
        <f>VLOOKUP($B2292,[1]DG!A:D,[1]DG!$B$2,)</f>
        <v>06.3231</v>
      </c>
      <c r="F2292" s="441" t="str">
        <f>VLOOKUP($B2292,[1]DG!A:D,[1]DG!$C$2,)</f>
        <v>Côllier 25x2</v>
      </c>
      <c r="G2292" s="422" t="str">
        <f>VLOOKUP($B2292,[1]DG!A:D,[1]DG!$D$2,)</f>
        <v>bộ</v>
      </c>
      <c r="H2292" s="436">
        <f t="shared" si="364"/>
        <v>0</v>
      </c>
      <c r="I2292" s="436"/>
      <c r="J2292" s="436"/>
      <c r="K2292" s="436">
        <f>IFERROR(HLOOKUP(B2292,[1]pp3p1m!$1:$3,2,0),0)</f>
        <v>0</v>
      </c>
      <c r="L2292" s="436"/>
      <c r="M2292" s="436"/>
      <c r="N2292" s="436"/>
      <c r="O2292" s="436"/>
      <c r="P2292" s="435">
        <f t="shared" si="363"/>
        <v>0</v>
      </c>
      <c r="Q2292" s="447"/>
      <c r="R2292" s="447"/>
      <c r="S2292" s="447"/>
      <c r="T2292" s="432">
        <f t="shared" si="365"/>
        <v>0</v>
      </c>
    </row>
    <row r="2293" spans="1:20" ht="22.2" hidden="1" customHeight="1">
      <c r="A2293" s="379"/>
      <c r="B2293" s="545" t="s">
        <v>444</v>
      </c>
      <c r="C2293" s="469" t="str">
        <f t="shared" si="357"/>
        <v xml:space="preserve"> </v>
      </c>
      <c r="D2293" s="546">
        <f>D2284*8</f>
        <v>0</v>
      </c>
      <c r="E2293" s="422">
        <f>VLOOKUP($B2293,[1]DG!A:D,[1]DG!$B$2,)</f>
        <v>0</v>
      </c>
      <c r="F2293" s="441" t="str">
        <f>VLOOKUP($B2293,[1]DG!A:D,[1]DG!$C$2,)</f>
        <v>Co 90 độ PVC 42</v>
      </c>
      <c r="G2293" s="422" t="str">
        <f>VLOOKUP($B2293,[1]DG!A:D,[1]DG!$D$2,)</f>
        <v>cái</v>
      </c>
      <c r="H2293" s="436">
        <f t="shared" si="364"/>
        <v>0</v>
      </c>
      <c r="I2293" s="436"/>
      <c r="J2293" s="436"/>
      <c r="K2293" s="436">
        <f>IFERROR(HLOOKUP(B2293,[1]pp3p1m!$1:$3,2,0),0)</f>
        <v>0</v>
      </c>
      <c r="L2293" s="436"/>
      <c r="M2293" s="436"/>
      <c r="N2293" s="436"/>
      <c r="O2293" s="436"/>
      <c r="P2293" s="435">
        <f t="shared" si="363"/>
        <v>0</v>
      </c>
      <c r="Q2293" s="447"/>
      <c r="R2293" s="447"/>
      <c r="S2293" s="447"/>
      <c r="T2293" s="432">
        <f t="shared" si="365"/>
        <v>0</v>
      </c>
    </row>
    <row r="2294" spans="1:20" ht="22.2" hidden="1" customHeight="1">
      <c r="A2294" s="379"/>
      <c r="B2294" s="545" t="s">
        <v>427</v>
      </c>
      <c r="C2294" s="469" t="str">
        <f t="shared" si="357"/>
        <v xml:space="preserve"> </v>
      </c>
      <c r="D2294" s="546">
        <f>D2284*4</f>
        <v>0</v>
      </c>
      <c r="E2294" s="422">
        <f>VLOOKUP($B2294,[1]DG!A:D,[1]DG!$B$2,)</f>
        <v>0</v>
      </c>
      <c r="F2294" s="441" t="str">
        <f>VLOOKUP($B2294,[1]DG!A:D,[1]DG!$C$2,)</f>
        <v>Co chữ T ống PVC 42</v>
      </c>
      <c r="G2294" s="422" t="str">
        <f>VLOOKUP($B2294,[1]DG!A:D,[1]DG!$D$2,)</f>
        <v>cái</v>
      </c>
      <c r="H2294" s="436">
        <f t="shared" si="364"/>
        <v>0</v>
      </c>
      <c r="I2294" s="436"/>
      <c r="J2294" s="436"/>
      <c r="K2294" s="436">
        <f>IFERROR(HLOOKUP(B2294,[1]pp3p1m!$1:$3,2,0),0)</f>
        <v>0</v>
      </c>
      <c r="L2294" s="436"/>
      <c r="M2294" s="436"/>
      <c r="N2294" s="436"/>
      <c r="O2294" s="436"/>
      <c r="P2294" s="435">
        <f t="shared" si="363"/>
        <v>0</v>
      </c>
      <c r="Q2294" s="447"/>
      <c r="R2294" s="447"/>
      <c r="S2294" s="447"/>
      <c r="T2294" s="432">
        <f t="shared" si="365"/>
        <v>0</v>
      </c>
    </row>
    <row r="2295" spans="1:20" ht="22.2" hidden="1" customHeight="1">
      <c r="A2295" s="379"/>
      <c r="B2295" s="545" t="s">
        <v>445</v>
      </c>
      <c r="C2295" s="469" t="str">
        <f t="shared" si="357"/>
        <v xml:space="preserve"> </v>
      </c>
      <c r="D2295" s="546">
        <f>D2284*2</f>
        <v>0</v>
      </c>
      <c r="E2295" s="422">
        <f>VLOOKUP($B2295,[1]DG!A:D,[1]DG!$B$2,)</f>
        <v>0</v>
      </c>
      <c r="F2295" s="441" t="str">
        <f>VLOOKUP($B2295,[1]DG!A:D,[1]DG!$C$2,)</f>
        <v>Nối thẳng ống PVC 42</v>
      </c>
      <c r="G2295" s="422" t="str">
        <f>VLOOKUP($B2295,[1]DG!A:D,[1]DG!$D$2,)</f>
        <v>cái</v>
      </c>
      <c r="H2295" s="436">
        <f t="shared" si="364"/>
        <v>0</v>
      </c>
      <c r="I2295" s="436"/>
      <c r="J2295" s="436"/>
      <c r="K2295" s="436">
        <f>IFERROR(HLOOKUP(B2295,[1]pp3p1m!$1:$3,2,0),0)</f>
        <v>0</v>
      </c>
      <c r="L2295" s="436"/>
      <c r="M2295" s="436"/>
      <c r="N2295" s="436"/>
      <c r="O2295" s="436"/>
      <c r="P2295" s="435">
        <f t="shared" si="363"/>
        <v>0</v>
      </c>
      <c r="Q2295" s="447"/>
      <c r="R2295" s="447"/>
      <c r="S2295" s="447"/>
      <c r="T2295" s="432">
        <f t="shared" si="365"/>
        <v>0</v>
      </c>
    </row>
    <row r="2296" spans="1:20" ht="22.2" hidden="1" customHeight="1">
      <c r="A2296" s="379"/>
      <c r="B2296" s="547" t="s">
        <v>98</v>
      </c>
      <c r="C2296" s="469" t="str">
        <f t="shared" si="357"/>
        <v xml:space="preserve"> </v>
      </c>
      <c r="D2296" s="548">
        <f>D2284*(2)*3</f>
        <v>0</v>
      </c>
      <c r="E2296" s="422">
        <f>VLOOKUP($B2296,[1]DG!A:D,[1]DG!$B$2,)</f>
        <v>0</v>
      </c>
      <c r="F2296" s="441" t="str">
        <f>VLOOKUP($B2296,[1]DG!A:D,[1]DG!$C$2,)</f>
        <v>Cáp 24KV CX-25mm2</v>
      </c>
      <c r="G2296" s="422" t="str">
        <f>VLOOKUP($B2296,[1]DG!A:D,[1]DG!$D$2,)</f>
        <v>mét</v>
      </c>
      <c r="H2296" s="436">
        <f t="shared" si="364"/>
        <v>0</v>
      </c>
      <c r="I2296" s="436"/>
      <c r="J2296" s="436"/>
      <c r="K2296" s="436">
        <f>IFERROR(HLOOKUP(B2296,[1]pp3p1m!$1:$3,2,0),0)</f>
        <v>9</v>
      </c>
      <c r="L2296" s="436"/>
      <c r="M2296" s="436"/>
      <c r="N2296" s="436"/>
      <c r="O2296" s="436"/>
      <c r="P2296" s="435">
        <f t="shared" si="363"/>
        <v>0</v>
      </c>
      <c r="Q2296" s="447"/>
      <c r="R2296" s="447"/>
      <c r="S2296" s="447"/>
      <c r="T2296" s="432">
        <f t="shared" si="365"/>
        <v>0</v>
      </c>
    </row>
    <row r="2297" spans="1:20" ht="22.2" hidden="1" customHeight="1">
      <c r="A2297" s="379"/>
      <c r="B2297" s="545" t="s">
        <v>446</v>
      </c>
      <c r="C2297" s="469" t="str">
        <f t="shared" si="357"/>
        <v xml:space="preserve"> </v>
      </c>
      <c r="D2297" s="546">
        <f>D2284*2</f>
        <v>0</v>
      </c>
      <c r="E2297" s="422">
        <f>VLOOKUP($B2297,[1]DG!A:D,[1]DG!$B$2,)</f>
        <v>0</v>
      </c>
      <c r="F2297" s="441" t="str">
        <f>VLOOKUP($B2297,[1]DG!A:D,[1]DG!$C$2,)</f>
        <v>Keo dán ống PVC (500gr)</v>
      </c>
      <c r="G2297" s="422" t="str">
        <f>VLOOKUP($B2297,[1]DG!A:D,[1]DG!$D$2,)</f>
        <v>lon</v>
      </c>
      <c r="H2297" s="436">
        <f t="shared" si="364"/>
        <v>0</v>
      </c>
      <c r="I2297" s="436"/>
      <c r="J2297" s="436"/>
      <c r="K2297" s="436">
        <f>IFERROR(HLOOKUP(B2297,[1]pp3p1m!$1:$3,2,0),0)</f>
        <v>0</v>
      </c>
      <c r="L2297" s="436"/>
      <c r="M2297" s="436"/>
      <c r="N2297" s="436"/>
      <c r="O2297" s="436"/>
      <c r="P2297" s="435">
        <f t="shared" si="363"/>
        <v>0</v>
      </c>
      <c r="Q2297" s="447"/>
      <c r="R2297" s="447"/>
      <c r="S2297" s="447"/>
      <c r="T2297" s="432">
        <f t="shared" si="365"/>
        <v>0</v>
      </c>
    </row>
    <row r="2298" spans="1:20" ht="22.2" hidden="1" customHeight="1">
      <c r="A2298" s="379"/>
      <c r="B2298" s="545" t="s">
        <v>148</v>
      </c>
      <c r="C2298" s="469" t="str">
        <f t="shared" si="357"/>
        <v xml:space="preserve"> </v>
      </c>
      <c r="D2298" s="546">
        <f>D2284*2</f>
        <v>0</v>
      </c>
      <c r="E2298" s="422">
        <f>VLOOKUP($B2298,[1]DG!A:D,[1]DG!$B$2,)</f>
        <v>0</v>
      </c>
      <c r="F2298" s="441" t="str">
        <f>VLOOKUP($B2298,[1]DG!A:D,[1]DG!$C$2,)</f>
        <v>Băng keo cách điện</v>
      </c>
      <c r="G2298" s="422" t="str">
        <f>VLOOKUP($B2298,[1]DG!A:D,[1]DG!$D$2,)</f>
        <v>cuộn</v>
      </c>
      <c r="H2298" s="436">
        <f t="shared" si="364"/>
        <v>0</v>
      </c>
      <c r="I2298" s="436"/>
      <c r="J2298" s="436"/>
      <c r="K2298" s="436">
        <f>IFERROR(HLOOKUP(B2298,[1]pp3p1m!$1:$3,2,0),0)</f>
        <v>0</v>
      </c>
      <c r="L2298" s="436"/>
      <c r="M2298" s="436"/>
      <c r="N2298" s="436"/>
      <c r="O2298" s="436"/>
      <c r="P2298" s="435">
        <f t="shared" si="363"/>
        <v>0</v>
      </c>
      <c r="Q2298" s="447"/>
      <c r="R2298" s="447"/>
      <c r="S2298" s="447"/>
      <c r="T2298" s="432">
        <f t="shared" si="365"/>
        <v>0</v>
      </c>
    </row>
    <row r="2299" spans="1:20" ht="22.2" hidden="1" customHeight="1">
      <c r="A2299" s="379"/>
      <c r="B2299" s="545" t="s">
        <v>428</v>
      </c>
      <c r="C2299" s="469" t="str">
        <f t="shared" si="357"/>
        <v xml:space="preserve"> </v>
      </c>
      <c r="D2299" s="546">
        <f>D2284*4</f>
        <v>0</v>
      </c>
      <c r="E2299" s="422">
        <f>VLOOKUP($B2299,[1]DG!A:D,[1]DG!$B$2,)</f>
        <v>0</v>
      </c>
      <c r="F2299" s="441" t="str">
        <f>VLOOKUP($B2299,[1]DG!A:D,[1]DG!$C$2,)</f>
        <v>Khâu ven răng trong D42</v>
      </c>
      <c r="G2299" s="422" t="str">
        <f>VLOOKUP($B2299,[1]DG!A:D,[1]DG!$D$2,)</f>
        <v>cái</v>
      </c>
      <c r="H2299" s="436">
        <f t="shared" si="364"/>
        <v>0</v>
      </c>
      <c r="I2299" s="436"/>
      <c r="J2299" s="436"/>
      <c r="K2299" s="436">
        <f>IFERROR(HLOOKUP(B2299,[1]pp3p1m!$1:$3,2,0),0)</f>
        <v>0</v>
      </c>
      <c r="L2299" s="436"/>
      <c r="M2299" s="436"/>
      <c r="N2299" s="436"/>
      <c r="O2299" s="436"/>
      <c r="P2299" s="435">
        <f t="shared" si="363"/>
        <v>0</v>
      </c>
      <c r="Q2299" s="447"/>
      <c r="R2299" s="447"/>
      <c r="S2299" s="447"/>
      <c r="T2299" s="432">
        <f t="shared" si="365"/>
        <v>0</v>
      </c>
    </row>
    <row r="2300" spans="1:20" ht="22.2" hidden="1" customHeight="1">
      <c r="A2300" s="379"/>
      <c r="B2300" s="545" t="s">
        <v>429</v>
      </c>
      <c r="C2300" s="469" t="str">
        <f t="shared" si="357"/>
        <v xml:space="preserve"> </v>
      </c>
      <c r="D2300" s="546">
        <f>D2299</f>
        <v>0</v>
      </c>
      <c r="E2300" s="422">
        <f>VLOOKUP($B2300,[1]DG!A:D,[1]DG!$B$2,)</f>
        <v>0</v>
      </c>
      <c r="F2300" s="441" t="str">
        <f>VLOOKUP($B2300,[1]DG!A:D,[1]DG!$C$2,)</f>
        <v>Khâu ven răng ngoài D42</v>
      </c>
      <c r="G2300" s="422" t="str">
        <f>VLOOKUP($B2300,[1]DG!A:D,[1]DG!$D$2,)</f>
        <v>cái</v>
      </c>
      <c r="H2300" s="436">
        <f t="shared" si="364"/>
        <v>0</v>
      </c>
      <c r="I2300" s="436"/>
      <c r="J2300" s="436"/>
      <c r="K2300" s="436">
        <f>IFERROR(HLOOKUP(B2300,[1]pp3p1m!$1:$3,2,0),0)</f>
        <v>0</v>
      </c>
      <c r="L2300" s="436"/>
      <c r="M2300" s="436"/>
      <c r="N2300" s="436"/>
      <c r="O2300" s="436"/>
      <c r="P2300" s="435">
        <f t="shared" si="363"/>
        <v>0</v>
      </c>
      <c r="Q2300" s="447"/>
      <c r="R2300" s="447"/>
      <c r="S2300" s="447"/>
      <c r="T2300" s="432">
        <f t="shared" si="365"/>
        <v>0</v>
      </c>
    </row>
    <row r="2301" spans="1:20" ht="22.2" hidden="1" customHeight="1">
      <c r="A2301" s="379"/>
      <c r="B2301" s="545" t="s">
        <v>1446</v>
      </c>
      <c r="C2301" s="469" t="str">
        <f t="shared" si="357"/>
        <v xml:space="preserve"> </v>
      </c>
      <c r="D2301" s="546">
        <f>D2284*2</f>
        <v>0</v>
      </c>
      <c r="E2301" s="422">
        <f>VLOOKUP($B2301,[1]DG!A:D,[1]DG!$B$2,)</f>
        <v>0</v>
      </c>
      <c r="F2301" s="441" t="str">
        <f>VLOOKUP($B2301,[1]DG!A:D,[1]DG!$C$2,)</f>
        <v>Bảng nhựa gắn tủ điện kế điện tử</v>
      </c>
      <c r="G2301" s="422" t="str">
        <f>VLOOKUP($B2301,[1]DG!A:D,[1]DG!$D$2,)</f>
        <v>cái</v>
      </c>
      <c r="H2301" s="436">
        <f t="shared" si="364"/>
        <v>0</v>
      </c>
      <c r="I2301" s="436"/>
      <c r="J2301" s="436"/>
      <c r="K2301" s="436">
        <f>IFERROR(HLOOKUP(B2301,[1]pp3p1m!$1:$3,2,0),0)</f>
        <v>0</v>
      </c>
      <c r="L2301" s="436"/>
      <c r="M2301" s="436"/>
      <c r="N2301" s="436"/>
      <c r="O2301" s="436"/>
      <c r="P2301" s="435">
        <f t="shared" si="363"/>
        <v>0</v>
      </c>
      <c r="Q2301" s="447"/>
      <c r="R2301" s="447"/>
      <c r="S2301" s="447"/>
      <c r="T2301" s="432">
        <f t="shared" si="365"/>
        <v>0</v>
      </c>
    </row>
    <row r="2302" spans="1:20" ht="22.2" hidden="1" customHeight="1">
      <c r="A2302" s="379"/>
      <c r="B2302" s="545" t="s">
        <v>447</v>
      </c>
      <c r="C2302" s="469" t="str">
        <f t="shared" si="357"/>
        <v xml:space="preserve"> </v>
      </c>
      <c r="D2302" s="546">
        <f>D2284</f>
        <v>0</v>
      </c>
      <c r="E2302" s="422" t="str">
        <f>VLOOKUP($B2302,[1]DG!A:D,[1]DG!$B$2,)</f>
        <v>05.1101</v>
      </c>
      <c r="F2302" s="441" t="str">
        <f>VLOOKUP($B2302,[1]DG!A:D,[1]DG!$C$2,)</f>
        <v>Thùng điện kế 450x300x200mm đo đếm trung thế</v>
      </c>
      <c r="G2302" s="422" t="str">
        <f>VLOOKUP($B2302,[1]DG!A:D,[1]DG!$D$2,)</f>
        <v>cái</v>
      </c>
      <c r="H2302" s="436">
        <f t="shared" si="364"/>
        <v>0</v>
      </c>
      <c r="I2302" s="436"/>
      <c r="J2302" s="436"/>
      <c r="K2302" s="436">
        <f>IFERROR(HLOOKUP(B2302,[1]pp3p1m!$1:$3,2,0),0)</f>
        <v>0</v>
      </c>
      <c r="L2302" s="436"/>
      <c r="M2302" s="436"/>
      <c r="N2302" s="436"/>
      <c r="O2302" s="436"/>
      <c r="P2302" s="435">
        <f t="shared" si="363"/>
        <v>0</v>
      </c>
      <c r="Q2302" s="447"/>
      <c r="R2302" s="447"/>
      <c r="S2302" s="447"/>
      <c r="T2302" s="432">
        <f t="shared" si="365"/>
        <v>0</v>
      </c>
    </row>
    <row r="2303" spans="1:20" ht="22.2" hidden="1" customHeight="1">
      <c r="A2303" s="379"/>
      <c r="B2303" s="545" t="s">
        <v>1447</v>
      </c>
      <c r="C2303" s="469" t="str">
        <f t="shared" si="357"/>
        <v xml:space="preserve"> </v>
      </c>
      <c r="D2303" s="549">
        <f>D2302*2</f>
        <v>0</v>
      </c>
      <c r="E2303" s="422" t="str">
        <f>VLOOKUP($B2303,[1]DG!A:D,[1]DG!$B$2,)</f>
        <v>06.3231</v>
      </c>
      <c r="F2303" s="536" t="str">
        <f>VLOOKUP($B2303,[1]DG!A:D,[1]DG!$C$2,)</f>
        <v>Cổ dê CDĐKĐT( bắt thùng điện kế)</v>
      </c>
      <c r="G2303" s="550" t="str">
        <f>VLOOKUP($B2303,[1]DG!A:D,[1]DG!$D$2,)</f>
        <v>bộ</v>
      </c>
      <c r="H2303" s="436">
        <f t="shared" si="364"/>
        <v>0</v>
      </c>
      <c r="I2303" s="436"/>
      <c r="J2303" s="436"/>
      <c r="K2303" s="436">
        <f>IFERROR(HLOOKUP(B2303,[1]pp3p1m!$1:$3,2,0),0)</f>
        <v>0</v>
      </c>
      <c r="L2303" s="436"/>
      <c r="M2303" s="436"/>
      <c r="N2303" s="436"/>
      <c r="O2303" s="436"/>
      <c r="P2303" s="435">
        <f t="shared" si="363"/>
        <v>0</v>
      </c>
      <c r="Q2303" s="447"/>
      <c r="R2303" s="447"/>
      <c r="S2303" s="447"/>
      <c r="T2303" s="432">
        <f t="shared" si="365"/>
        <v>0</v>
      </c>
    </row>
    <row r="2304" spans="1:20" ht="22.2" hidden="1" customHeight="1">
      <c r="A2304" s="379"/>
      <c r="B2304" s="545" t="s">
        <v>436</v>
      </c>
      <c r="C2304" s="469" t="str">
        <f t="shared" si="357"/>
        <v xml:space="preserve"> </v>
      </c>
      <c r="D2304" s="546">
        <f>D2284*4</f>
        <v>0</v>
      </c>
      <c r="E2304" s="422">
        <f>VLOOKUP($B2304,[1]DG!A:D,[1]DG!$B$2,)</f>
        <v>0</v>
      </c>
      <c r="F2304" s="441" t="str">
        <f>VLOOKUP($B2304,[1]DG!A:D,[1]DG!$C$2,)</f>
        <v>Keo silicon bít miệng ống</v>
      </c>
      <c r="G2304" s="422" t="str">
        <f>VLOOKUP($B2304,[1]DG!A:D,[1]DG!$D$2,)</f>
        <v>ống</v>
      </c>
      <c r="H2304" s="436">
        <f t="shared" si="364"/>
        <v>0</v>
      </c>
      <c r="I2304" s="436"/>
      <c r="J2304" s="436"/>
      <c r="K2304" s="436">
        <f>IFERROR(HLOOKUP(B2304,[1]pp3p1m!$1:$3,2,0),0)</f>
        <v>0</v>
      </c>
      <c r="L2304" s="436"/>
      <c r="M2304" s="436"/>
      <c r="N2304" s="436"/>
      <c r="O2304" s="436"/>
      <c r="P2304" s="435">
        <f t="shared" si="363"/>
        <v>0</v>
      </c>
      <c r="Q2304" s="447"/>
      <c r="R2304" s="447"/>
      <c r="S2304" s="447"/>
      <c r="T2304" s="432">
        <f t="shared" si="365"/>
        <v>0</v>
      </c>
    </row>
    <row r="2305" spans="1:20" ht="22.2" hidden="1" customHeight="1">
      <c r="A2305" s="379"/>
      <c r="B2305" s="545" t="s">
        <v>448</v>
      </c>
      <c r="C2305" s="469" t="str">
        <f t="shared" si="357"/>
        <v xml:space="preserve"> </v>
      </c>
      <c r="D2305" s="546">
        <f>D2284*4</f>
        <v>0</v>
      </c>
      <c r="E2305" s="422">
        <f>VLOOKUP($B2305,[1]DG!A:D,[1]DG!$B$2,)</f>
        <v>0</v>
      </c>
      <c r="F2305" s="441" t="str">
        <f>VLOOKUP($B2305,[1]DG!A:D,[1]DG!$C$2,)</f>
        <v>Dây đồng trần mềm dẹt</v>
      </c>
      <c r="G2305" s="422" t="str">
        <f>VLOOKUP($B2305,[1]DG!A:D,[1]DG!$D$2,)</f>
        <v>mét</v>
      </c>
      <c r="H2305" s="436">
        <f t="shared" si="364"/>
        <v>0</v>
      </c>
      <c r="I2305" s="436"/>
      <c r="J2305" s="436"/>
      <c r="K2305" s="436">
        <f>IFERROR(HLOOKUP(B2305,[1]pp3p1m!$1:$3,2,0),0)</f>
        <v>0</v>
      </c>
      <c r="L2305" s="436"/>
      <c r="M2305" s="436"/>
      <c r="N2305" s="436"/>
      <c r="O2305" s="436"/>
      <c r="P2305" s="435">
        <f t="shared" si="363"/>
        <v>0</v>
      </c>
      <c r="Q2305" s="447"/>
      <c r="R2305" s="447"/>
      <c r="S2305" s="447"/>
      <c r="T2305" s="432">
        <f t="shared" si="365"/>
        <v>0</v>
      </c>
    </row>
    <row r="2306" spans="1:20" ht="22.2" hidden="1" customHeight="1">
      <c r="A2306" s="379"/>
      <c r="B2306" s="545" t="s">
        <v>1448</v>
      </c>
      <c r="C2306" s="469" t="str">
        <f t="shared" si="357"/>
        <v xml:space="preserve"> </v>
      </c>
      <c r="D2306" s="546">
        <f>2*D2286</f>
        <v>0</v>
      </c>
      <c r="E2306" s="422">
        <f>VLOOKUP($B2306,[1]DG!A:D,[1]DG!$B$2,)</f>
        <v>0</v>
      </c>
      <c r="F2306" s="441" t="str">
        <f>VLOOKUP($B2306,[1]DG!A:D,[1]DG!$C$2,)</f>
        <v>Boulon 12x150+ 2 long đền vuông D14-50x50x3/Zn</v>
      </c>
      <c r="G2306" s="422" t="str">
        <f>VLOOKUP($B2306,[1]DG!A:D,[1]DG!$D$2,)</f>
        <v>bộ</v>
      </c>
      <c r="H2306" s="436">
        <f t="shared" si="364"/>
        <v>0</v>
      </c>
      <c r="I2306" s="436"/>
      <c r="J2306" s="436"/>
      <c r="K2306" s="436">
        <f>IFERROR(HLOOKUP(B2306,[1]pp3p1m!$1:$3,2,0),0)</f>
        <v>0</v>
      </c>
      <c r="L2306" s="436"/>
      <c r="M2306" s="436"/>
      <c r="N2306" s="436"/>
      <c r="O2306" s="436"/>
      <c r="P2306" s="435">
        <f t="shared" si="363"/>
        <v>0</v>
      </c>
      <c r="Q2306" s="447"/>
      <c r="R2306" s="447"/>
      <c r="S2306" s="447"/>
      <c r="T2306" s="432">
        <f t="shared" si="365"/>
        <v>0</v>
      </c>
    </row>
    <row r="2307" spans="1:20" ht="22.2" hidden="1" customHeight="1">
      <c r="A2307" s="379"/>
      <c r="B2307" s="545" t="s">
        <v>378</v>
      </c>
      <c r="C2307" s="469" t="str">
        <f t="shared" si="357"/>
        <v xml:space="preserve"> </v>
      </c>
      <c r="D2307" s="551">
        <f>3.77*D2284*0</f>
        <v>0</v>
      </c>
      <c r="E2307" s="422">
        <f>VLOOKUP($B2307,[1]DG!A:D,[1]DG!$B$2,)</f>
        <v>0</v>
      </c>
      <c r="F2307" s="441" t="str">
        <f>VLOOKUP($B2307,[1]DG!A:D,[1]DG!$C$2,)&amp;" : 2 thanh daøi 0,5m"</f>
        <v>Sắt góc L50 x50 x5 : 2 thanh daøi 0,5m</v>
      </c>
      <c r="G2307" s="422" t="str">
        <f>VLOOKUP($B2307,[1]DG!A:D,[1]DG!$D$2,)</f>
        <v>kg</v>
      </c>
      <c r="H2307" s="436">
        <f t="shared" si="364"/>
        <v>0</v>
      </c>
      <c r="I2307" s="436"/>
      <c r="J2307" s="436"/>
      <c r="K2307" s="436">
        <f>IFERROR(HLOOKUP(B2307,[1]pp3p1m!$1:$3,2,0),0)</f>
        <v>0</v>
      </c>
      <c r="L2307" s="436"/>
      <c r="M2307" s="436"/>
      <c r="N2307" s="436"/>
      <c r="O2307" s="436"/>
      <c r="P2307" s="435">
        <f t="shared" si="363"/>
        <v>0</v>
      </c>
      <c r="Q2307" s="447"/>
      <c r="R2307" s="447"/>
      <c r="S2307" s="447"/>
      <c r="T2307" s="432">
        <f t="shared" si="365"/>
        <v>0</v>
      </c>
    </row>
    <row r="2308" spans="1:20" ht="22.2" hidden="1" customHeight="1">
      <c r="A2308" s="379"/>
      <c r="B2308" s="545" t="s">
        <v>157</v>
      </c>
      <c r="C2308" s="469" t="str">
        <f t="shared" si="357"/>
        <v xml:space="preserve"> </v>
      </c>
      <c r="D2308" s="546">
        <f>4*D2284*0</f>
        <v>0</v>
      </c>
      <c r="E2308" s="422">
        <f>VLOOKUP($B2308,[1]DG!A:D,[1]DG!$B$2,)</f>
        <v>0</v>
      </c>
      <c r="F2308" s="441" t="str">
        <f>VLOOKUP($B2308,[1]DG!A:D,[1]DG!$C$2,)</f>
        <v>Boulon 12x60+ 2 long đền vuông D14-50x50x3/Zn</v>
      </c>
      <c r="G2308" s="422" t="str">
        <f>VLOOKUP($B2308,[1]DG!A:D,[1]DG!$D$2,)</f>
        <v>bộ</v>
      </c>
      <c r="H2308" s="436">
        <f t="shared" si="364"/>
        <v>0</v>
      </c>
      <c r="I2308" s="436"/>
      <c r="J2308" s="436"/>
      <c r="K2308" s="436">
        <f>IFERROR(HLOOKUP(B2308,[1]pp3p1m!$1:$3,2,0),0)</f>
        <v>0</v>
      </c>
      <c r="L2308" s="436"/>
      <c r="M2308" s="436"/>
      <c r="N2308" s="436"/>
      <c r="O2308" s="436"/>
      <c r="P2308" s="435">
        <f t="shared" si="363"/>
        <v>0</v>
      </c>
      <c r="Q2308" s="447"/>
      <c r="R2308" s="447"/>
      <c r="S2308" s="447"/>
      <c r="T2308" s="432">
        <f t="shared" si="365"/>
        <v>0</v>
      </c>
    </row>
    <row r="2309" spans="1:20" ht="22.2" hidden="1" customHeight="1">
      <c r="A2309" s="423" t="s">
        <v>1449</v>
      </c>
      <c r="B2309" s="424" t="s">
        <v>1449</v>
      </c>
      <c r="C2309" s="469" t="str">
        <f>IF(L2309&gt;0,"x","")</f>
        <v/>
      </c>
      <c r="D2309" s="426">
        <f>IF(SUM(D2310:D2314)=0,0,1)</f>
        <v>0</v>
      </c>
      <c r="E2309" s="349" t="s">
        <v>1417</v>
      </c>
      <c r="F2309" s="428" t="s">
        <v>1450</v>
      </c>
      <c r="G2309" s="349"/>
      <c r="H2309" s="429"/>
      <c r="I2309" s="430"/>
      <c r="J2309" s="430"/>
      <c r="K2309" s="430"/>
      <c r="L2309" s="430">
        <f>SUM(L2310:L2314)</f>
        <v>0</v>
      </c>
      <c r="M2309" s="430"/>
      <c r="N2309" s="430"/>
      <c r="O2309" s="430"/>
      <c r="P2309" s="435">
        <f t="shared" si="363"/>
        <v>0</v>
      </c>
      <c r="Q2309" s="431"/>
      <c r="R2309" s="431"/>
      <c r="S2309" s="431"/>
      <c r="T2309" s="432">
        <f t="shared" si="365"/>
        <v>0</v>
      </c>
    </row>
    <row r="2310" spans="1:20" ht="22.2" hidden="1" customHeight="1">
      <c r="A2310" s="379"/>
      <c r="B2310" s="399" t="s">
        <v>56</v>
      </c>
      <c r="C2310" s="469" t="str">
        <f t="shared" si="357"/>
        <v xml:space="preserve"> </v>
      </c>
      <c r="D2310" s="494"/>
      <c r="E2310" s="422" t="str">
        <f>VLOOKUP($B2310,[1]DG!A:D,[1]DG!$B$2,)</f>
        <v>02.3155</v>
      </c>
      <c r="F2310" s="441" t="str">
        <f>VLOOKUP($B2310,[1]DG!A:D,[1]DG!$C$2,)</f>
        <v>FCO 27kV - 100A</v>
      </c>
      <c r="G2310" s="422" t="str">
        <f>VLOOKUP($B2310,[1]DG!A:D,[1]DG!$D$2,)</f>
        <v>cái</v>
      </c>
      <c r="H2310" s="435">
        <f>L2310</f>
        <v>0</v>
      </c>
      <c r="I2310" s="435"/>
      <c r="J2310" s="435"/>
      <c r="K2310" s="435"/>
      <c r="L2310" s="430">
        <f>IFERROR(HLOOKUP(chitiet!B2310,[1]pp1p!$1:$3,3,0),0)</f>
        <v>0</v>
      </c>
      <c r="M2310" s="435"/>
      <c r="N2310" s="435"/>
      <c r="O2310" s="435"/>
      <c r="P2310" s="435">
        <f t="shared" si="363"/>
        <v>0</v>
      </c>
      <c r="Q2310" s="442"/>
      <c r="R2310" s="442"/>
      <c r="S2310" s="442"/>
      <c r="T2310" s="432">
        <f t="shared" si="365"/>
        <v>0</v>
      </c>
    </row>
    <row r="2311" spans="1:20" ht="22.2" hidden="1" customHeight="1">
      <c r="A2311" s="379"/>
      <c r="B2311" s="491" t="s">
        <v>191</v>
      </c>
      <c r="C2311" s="465" t="str">
        <f t="shared" si="357"/>
        <v xml:space="preserve"> </v>
      </c>
      <c r="D2311" s="544"/>
      <c r="E2311" s="422">
        <f>VLOOKUP($B2311,[1]DG!A:D,[1]DG!$B$2,)</f>
        <v>0</v>
      </c>
      <c r="F2311" s="441" t="str">
        <f>VLOOKUP($B2311,[1]DG!A:D,[1]DG!$C$2,)</f>
        <v>Chụp đầu cực FCO (bộ 2 cái)</v>
      </c>
      <c r="G2311" s="422" t="str">
        <f>VLOOKUP($B2311,[1]DG!A:D,[1]DG!$D$2,)</f>
        <v>bộ</v>
      </c>
      <c r="H2311" s="435">
        <f t="shared" ref="H2311:H2314" si="366">L2311</f>
        <v>0</v>
      </c>
      <c r="I2311" s="436"/>
      <c r="J2311" s="436"/>
      <c r="K2311" s="436">
        <f t="shared" ref="K2311" si="367">D2311</f>
        <v>0</v>
      </c>
      <c r="L2311" s="430">
        <f>IFERROR(HLOOKUP(chitiet!B2311,[1]pp1p!$1:$3,3,0),0)</f>
        <v>0</v>
      </c>
      <c r="M2311" s="436"/>
      <c r="N2311" s="436"/>
      <c r="O2311" s="436"/>
      <c r="P2311" s="435">
        <f t="shared" si="363"/>
        <v>0</v>
      </c>
      <c r="Q2311" s="447"/>
      <c r="R2311" s="447"/>
      <c r="S2311" s="447"/>
      <c r="T2311" s="432">
        <f t="shared" si="365"/>
        <v>0</v>
      </c>
    </row>
    <row r="2312" spans="1:20" ht="22.2" hidden="1" customHeight="1">
      <c r="A2312" s="379"/>
      <c r="B2312" s="399" t="s">
        <v>1451</v>
      </c>
      <c r="C2312" s="469" t="str">
        <f t="shared" ref="C2312:C2376" si="368">IF(OR(P2312&lt;&gt;0,H2312&lt;&gt;0),"x"," ")</f>
        <v xml:space="preserve"> </v>
      </c>
      <c r="D2312" s="494"/>
      <c r="E2312" s="422">
        <f>VLOOKUP($B2312,[1]DG!A:D,[1]DG!$B$2,)</f>
        <v>0</v>
      </c>
      <c r="F2312" s="441" t="str">
        <f>VLOOKUP($B2312,[1]DG!A:D,[1]DG!$C$2,)</f>
        <v>Dây chảy 8K</v>
      </c>
      <c r="G2312" s="422" t="str">
        <f>VLOOKUP($B2312,[1]DG!A:D,[1]DG!$D$2,)</f>
        <v>Sợi</v>
      </c>
      <c r="H2312" s="435">
        <f t="shared" si="366"/>
        <v>0</v>
      </c>
      <c r="I2312" s="435"/>
      <c r="J2312" s="435"/>
      <c r="K2312" s="435"/>
      <c r="L2312" s="430">
        <f>IFERROR(HLOOKUP(chitiet!B2312,[1]pp1p!$1:$3,3,0),0)</f>
        <v>0</v>
      </c>
      <c r="M2312" s="435"/>
      <c r="N2312" s="435"/>
      <c r="O2312" s="435"/>
      <c r="P2312" s="435">
        <f t="shared" si="363"/>
        <v>0</v>
      </c>
      <c r="Q2312" s="442"/>
      <c r="R2312" s="442"/>
      <c r="S2312" s="442"/>
      <c r="T2312" s="432">
        <f t="shared" si="365"/>
        <v>0</v>
      </c>
    </row>
    <row r="2313" spans="1:20" ht="22.2" hidden="1" customHeight="1">
      <c r="A2313" s="379"/>
      <c r="B2313" s="399" t="s">
        <v>1452</v>
      </c>
      <c r="C2313" s="469" t="str">
        <f t="shared" si="368"/>
        <v xml:space="preserve"> </v>
      </c>
      <c r="D2313" s="494"/>
      <c r="E2313" s="422">
        <f>VLOOKUP($B2313,[1]DG!A:D,[1]DG!$B$2,)</f>
        <v>0</v>
      </c>
      <c r="F2313" s="441" t="str">
        <f>VLOOKUP($B2313,[1]DG!A:D,[1]DG!$C$2,)</f>
        <v>Dây chảy 10K</v>
      </c>
      <c r="G2313" s="422" t="str">
        <f>VLOOKUP($B2313,[1]DG!A:D,[1]DG!$D$2,)</f>
        <v>Sợi</v>
      </c>
      <c r="H2313" s="435">
        <f t="shared" si="366"/>
        <v>0</v>
      </c>
      <c r="I2313" s="435"/>
      <c r="J2313" s="435"/>
      <c r="K2313" s="435"/>
      <c r="L2313" s="430">
        <f>IFERROR(HLOOKUP(chitiet!B2313,[1]pp1p!$1:$3,3,0),0)</f>
        <v>0</v>
      </c>
      <c r="M2313" s="435"/>
      <c r="N2313" s="435"/>
      <c r="O2313" s="435"/>
      <c r="P2313" s="435">
        <f t="shared" si="363"/>
        <v>0</v>
      </c>
      <c r="Q2313" s="442"/>
      <c r="R2313" s="442"/>
      <c r="S2313" s="442"/>
      <c r="T2313" s="432">
        <f t="shared" si="365"/>
        <v>0</v>
      </c>
    </row>
    <row r="2314" spans="1:20" ht="22.2" hidden="1" customHeight="1">
      <c r="A2314" s="379"/>
      <c r="B2314" s="399" t="s">
        <v>1453</v>
      </c>
      <c r="C2314" s="469" t="str">
        <f t="shared" si="368"/>
        <v xml:space="preserve"> </v>
      </c>
      <c r="D2314" s="494"/>
      <c r="E2314" s="422">
        <f>VLOOKUP($B2314,[1]DG!A:D,[1]DG!$B$2,)</f>
        <v>0</v>
      </c>
      <c r="F2314" s="441" t="str">
        <f>VLOOKUP($B2314,[1]DG!A:D,[1]DG!$C$2,)</f>
        <v>Dây chảy 12K</v>
      </c>
      <c r="G2314" s="422" t="str">
        <f>VLOOKUP($B2314,[1]DG!A:D,[1]DG!$D$2,)</f>
        <v>Sợi</v>
      </c>
      <c r="H2314" s="435">
        <f t="shared" si="366"/>
        <v>0</v>
      </c>
      <c r="I2314" s="435"/>
      <c r="J2314" s="435"/>
      <c r="K2314" s="435"/>
      <c r="L2314" s="430">
        <f>IFERROR(HLOOKUP(chitiet!B2314,[1]pp1p!$1:$3,3,0),0)</f>
        <v>0</v>
      </c>
      <c r="M2314" s="435"/>
      <c r="N2314" s="435"/>
      <c r="O2314" s="435"/>
      <c r="P2314" s="435">
        <f t="shared" si="363"/>
        <v>0</v>
      </c>
      <c r="Q2314" s="442"/>
      <c r="R2314" s="442"/>
      <c r="S2314" s="442"/>
      <c r="T2314" s="432">
        <f t="shared" si="365"/>
        <v>0</v>
      </c>
    </row>
    <row r="2315" spans="1:20" ht="22.2" hidden="1" customHeight="1">
      <c r="A2315" s="423" t="s">
        <v>1454</v>
      </c>
      <c r="B2315" s="424" t="s">
        <v>1454</v>
      </c>
      <c r="C2315" s="469" t="str">
        <f>IF(D2315&lt;&gt;0,"x"," ")</f>
        <v xml:space="preserve"> </v>
      </c>
      <c r="D2315" s="426">
        <f>IF(SUM(D2316:D2319)=0,0,1)</f>
        <v>0</v>
      </c>
      <c r="E2315" s="349" t="s">
        <v>615</v>
      </c>
      <c r="F2315" s="428" t="s">
        <v>1455</v>
      </c>
      <c r="G2315" s="349"/>
      <c r="H2315" s="429">
        <f>SUM(I2315:O2315)</f>
        <v>0</v>
      </c>
      <c r="I2315" s="430"/>
      <c r="J2315" s="430"/>
      <c r="K2315" s="430"/>
      <c r="L2315" s="430">
        <f>IFERROR(HLOOKUP(chitiet!B2315,[1]pp1p!$1:$3,3,0),0)</f>
        <v>0</v>
      </c>
      <c r="M2315" s="430"/>
      <c r="N2315" s="430"/>
      <c r="O2315" s="430"/>
      <c r="P2315" s="435">
        <f t="shared" si="363"/>
        <v>0</v>
      </c>
      <c r="Q2315" s="543"/>
      <c r="R2315" s="543"/>
      <c r="S2315" s="543"/>
      <c r="T2315" s="432">
        <f t="shared" si="365"/>
        <v>0</v>
      </c>
    </row>
    <row r="2316" spans="1:20" ht="22.2" hidden="1" customHeight="1">
      <c r="A2316" s="379"/>
      <c r="B2316" s="491" t="s">
        <v>1456</v>
      </c>
      <c r="C2316" s="469" t="str">
        <f t="shared" si="368"/>
        <v xml:space="preserve"> </v>
      </c>
      <c r="D2316" s="494"/>
      <c r="E2316" s="422" t="str">
        <f>VLOOKUP($B2316,[1]DG!A:D,[1]DG!$B$2,)</f>
        <v>05.5104</v>
      </c>
      <c r="F2316" s="441" t="str">
        <f>VLOOKUP($B2316,[1]DG!A:D,[1]DG!$C$2,)</f>
        <v>Điện năng kế 3 pha 380V-5A</v>
      </c>
      <c r="G2316" s="422" t="str">
        <f>VLOOKUP($B2316,[1]DG!A:D,[1]DG!$D$2,)</f>
        <v>cái</v>
      </c>
      <c r="H2316" s="435">
        <f>D2316</f>
        <v>0</v>
      </c>
      <c r="I2316" s="435"/>
      <c r="J2316" s="435"/>
      <c r="K2316" s="435"/>
      <c r="L2316" s="435">
        <f>D2316</f>
        <v>0</v>
      </c>
      <c r="M2316" s="435"/>
      <c r="N2316" s="435"/>
      <c r="O2316" s="435"/>
      <c r="P2316" s="435">
        <f t="shared" si="363"/>
        <v>0</v>
      </c>
      <c r="Q2316" s="442"/>
      <c r="R2316" s="442"/>
      <c r="S2316" s="442"/>
      <c r="T2316" s="432">
        <f t="shared" si="365"/>
        <v>0</v>
      </c>
    </row>
    <row r="2317" spans="1:20" ht="22.2" hidden="1" customHeight="1">
      <c r="A2317" s="379"/>
      <c r="B2317" s="491" t="s">
        <v>119</v>
      </c>
      <c r="C2317" s="469" t="str">
        <f t="shared" si="368"/>
        <v xml:space="preserve"> </v>
      </c>
      <c r="D2317" s="494"/>
      <c r="E2317" s="422">
        <f>VLOOKUP($B2317,[1]DG!A:D,[1]DG!$B$2,)</f>
        <v>0</v>
      </c>
      <c r="F2317" s="441" t="str">
        <f>VLOOKUP($B2317,[1]DG!A:D,[1]DG!$C$2,)</f>
        <v>Biến dòng 600V - 100/5A</v>
      </c>
      <c r="G2317" s="422" t="str">
        <f>VLOOKUP($B2317,[1]DG!A:D,[1]DG!$D$2,)</f>
        <v>cái</v>
      </c>
      <c r="H2317" s="435">
        <f>D2317</f>
        <v>0</v>
      </c>
      <c r="I2317" s="435"/>
      <c r="J2317" s="435"/>
      <c r="K2317" s="435"/>
      <c r="L2317" s="435">
        <f>D2317</f>
        <v>0</v>
      </c>
      <c r="M2317" s="435"/>
      <c r="N2317" s="435"/>
      <c r="O2317" s="435"/>
      <c r="P2317" s="435">
        <f t="shared" si="363"/>
        <v>0</v>
      </c>
      <c r="Q2317" s="442"/>
      <c r="R2317" s="442"/>
      <c r="S2317" s="442"/>
      <c r="T2317" s="432">
        <f t="shared" si="365"/>
        <v>0</v>
      </c>
    </row>
    <row r="2318" spans="1:20" ht="22.2" hidden="1" customHeight="1">
      <c r="A2318" s="379"/>
      <c r="B2318" s="491" t="s">
        <v>151</v>
      </c>
      <c r="C2318" s="469" t="str">
        <f t="shared" si="368"/>
        <v xml:space="preserve"> </v>
      </c>
      <c r="D2318" s="494"/>
      <c r="E2318" s="422" t="str">
        <f>VLOOKUP($B2318,[1]DG!A:D,[1]DG!$B$2,)</f>
        <v>02.8401</v>
      </c>
      <c r="F2318" s="441" t="str">
        <f>VLOOKUP($B2318,[1]DG!A:D,[1]DG!$C$2,)</f>
        <v>MCCB 3 cực 400V-100A - 30KA</v>
      </c>
      <c r="G2318" s="422" t="str">
        <f>VLOOKUP($B2318,[1]DG!A:D,[1]DG!$D$2,)</f>
        <v>cái</v>
      </c>
      <c r="H2318" s="435">
        <f>D2318</f>
        <v>0</v>
      </c>
      <c r="I2318" s="435"/>
      <c r="J2318" s="435"/>
      <c r="K2318" s="435"/>
      <c r="L2318" s="435">
        <f>D2318</f>
        <v>0</v>
      </c>
      <c r="M2318" s="435"/>
      <c r="N2318" s="435"/>
      <c r="O2318" s="435"/>
      <c r="P2318" s="435">
        <f t="shared" si="363"/>
        <v>0</v>
      </c>
      <c r="Q2318" s="442"/>
      <c r="R2318" s="442"/>
      <c r="S2318" s="442"/>
      <c r="T2318" s="432">
        <f t="shared" si="365"/>
        <v>0</v>
      </c>
    </row>
    <row r="2319" spans="1:20" ht="22.2" hidden="1" customHeight="1">
      <c r="A2319" s="379"/>
      <c r="B2319" s="491" t="s">
        <v>1457</v>
      </c>
      <c r="C2319" s="469" t="str">
        <f t="shared" si="368"/>
        <v xml:space="preserve"> </v>
      </c>
      <c r="D2319" s="494"/>
      <c r="E2319" s="422">
        <f>VLOOKUP($B2319,[1]DG!A:D,[1]DG!$B$2,)</f>
        <v>0</v>
      </c>
      <c r="F2319" s="441" t="str">
        <f>VLOOKUP($B2319,[1]DG!A:D,[1]DG!$C$2,)</f>
        <v>Contactor 3P-50A</v>
      </c>
      <c r="G2319" s="422" t="str">
        <f>VLOOKUP($B2319,[1]DG!A:D,[1]DG!$D$2,)</f>
        <v>cái</v>
      </c>
      <c r="H2319" s="435">
        <f>D2319</f>
        <v>0</v>
      </c>
      <c r="I2319" s="435"/>
      <c r="J2319" s="435"/>
      <c r="K2319" s="435"/>
      <c r="L2319" s="435">
        <f>D2319</f>
        <v>0</v>
      </c>
      <c r="M2319" s="435"/>
      <c r="N2319" s="435"/>
      <c r="O2319" s="435"/>
      <c r="P2319" s="435">
        <f t="shared" si="363"/>
        <v>0</v>
      </c>
      <c r="Q2319" s="442"/>
      <c r="R2319" s="442"/>
      <c r="S2319" s="442"/>
      <c r="T2319" s="432">
        <f t="shared" si="365"/>
        <v>0</v>
      </c>
    </row>
    <row r="2320" spans="1:20" ht="22.2" hidden="1" customHeight="1">
      <c r="A2320" s="423" t="s">
        <v>1458</v>
      </c>
      <c r="B2320" s="424" t="s">
        <v>1458</v>
      </c>
      <c r="C2320" s="469" t="str">
        <f>IF(D2320&lt;&gt;0,"x"," ")</f>
        <v xml:space="preserve"> </v>
      </c>
      <c r="D2320" s="552"/>
      <c r="E2320" s="553" t="s">
        <v>1459</v>
      </c>
      <c r="F2320" s="554" t="s">
        <v>1460</v>
      </c>
      <c r="G2320" s="553"/>
      <c r="H2320" s="429">
        <f t="shared" ref="H2320:H2321" si="369">SUM(I2320:O2320)</f>
        <v>0</v>
      </c>
      <c r="I2320" s="430"/>
      <c r="J2320" s="430"/>
      <c r="K2320" s="430"/>
      <c r="L2320" s="430">
        <f>IFERROR(HLOOKUP(chitiet!B2320,[1]pp1p!$1:$3,3,0),0)</f>
        <v>0</v>
      </c>
      <c r="M2320" s="430"/>
      <c r="N2320" s="430"/>
      <c r="O2320" s="555"/>
      <c r="P2320" s="435">
        <f t="shared" si="363"/>
        <v>0</v>
      </c>
      <c r="Q2320" s="431"/>
      <c r="R2320" s="431"/>
      <c r="S2320" s="431"/>
      <c r="T2320" s="432">
        <f t="shared" si="365"/>
        <v>0</v>
      </c>
    </row>
    <row r="2321" spans="1:20" ht="22.2" hidden="1" customHeight="1">
      <c r="A2321" s="423" t="s">
        <v>1461</v>
      </c>
      <c r="B2321" s="424" t="s">
        <v>1461</v>
      </c>
      <c r="C2321" s="425" t="str">
        <f t="shared" si="368"/>
        <v xml:space="preserve"> </v>
      </c>
      <c r="D2321" s="426"/>
      <c r="E2321" s="349"/>
      <c r="F2321" s="428" t="s">
        <v>1462</v>
      </c>
      <c r="G2321" s="349" t="s">
        <v>1463</v>
      </c>
      <c r="H2321" s="429">
        <f t="shared" si="369"/>
        <v>0</v>
      </c>
      <c r="I2321" s="430"/>
      <c r="J2321" s="430"/>
      <c r="K2321" s="430"/>
      <c r="L2321" s="430">
        <f>IFERROR(HLOOKUP(chitiet!B2321,[1]pp1p!$1:$3,3,0),0)</f>
        <v>0</v>
      </c>
      <c r="M2321" s="430"/>
      <c r="N2321" s="430"/>
      <c r="O2321" s="430"/>
      <c r="P2321" s="435">
        <f t="shared" si="363"/>
        <v>0</v>
      </c>
      <c r="Q2321" s="431"/>
      <c r="R2321" s="431"/>
      <c r="S2321" s="431"/>
      <c r="T2321" s="432">
        <f t="shared" si="365"/>
        <v>0</v>
      </c>
    </row>
    <row r="2322" spans="1:20" ht="22.2" hidden="1" customHeight="1">
      <c r="A2322" s="379"/>
      <c r="B2322" s="495" t="s">
        <v>153</v>
      </c>
      <c r="C2322" s="411" t="str">
        <f t="shared" si="368"/>
        <v xml:space="preserve"> </v>
      </c>
      <c r="D2322" s="448">
        <v>3.2</v>
      </c>
      <c r="E2322" s="422"/>
      <c r="F2322" s="441" t="str">
        <f>VLOOKUP($B2322,[1]DG!A:D,[1]DG!$C$2,)</f>
        <v>Sắt Ø10</v>
      </c>
      <c r="G2322" s="422" t="str">
        <f>VLOOKUP($B2322,[1]DG!A:D,[1]DG!$D$2,)</f>
        <v>kg</v>
      </c>
      <c r="H2322" s="436">
        <f t="shared" ref="H2322:H2334" si="370">IF($H$2320&lt;&gt;0,D2322,)</f>
        <v>0</v>
      </c>
      <c r="I2322" s="436">
        <f t="shared" ref="I2322:I2331" si="371">$I$2320*D2322</f>
        <v>0</v>
      </c>
      <c r="J2322" s="436">
        <f t="shared" ref="J2322:J2331" si="372">$J$2320*D2322</f>
        <v>0</v>
      </c>
      <c r="K2322" s="436">
        <f t="shared" ref="K2322:K2331" si="373">$K$2320*D2322</f>
        <v>0</v>
      </c>
      <c r="L2322" s="436">
        <f t="shared" ref="L2322:L2357" si="374">$K$2320*H2322</f>
        <v>0</v>
      </c>
      <c r="M2322" s="436"/>
      <c r="N2322" s="436"/>
      <c r="O2322" s="436"/>
      <c r="P2322" s="435">
        <f t="shared" si="363"/>
        <v>0</v>
      </c>
      <c r="Q2322" s="447"/>
      <c r="R2322" s="447"/>
      <c r="S2322" s="447"/>
      <c r="T2322" s="432">
        <f t="shared" si="365"/>
        <v>0</v>
      </c>
    </row>
    <row r="2323" spans="1:20" ht="22.2" hidden="1" customHeight="1">
      <c r="A2323" s="379"/>
      <c r="B2323" s="495" t="s">
        <v>1464</v>
      </c>
      <c r="C2323" s="411" t="str">
        <f t="shared" si="368"/>
        <v xml:space="preserve"> </v>
      </c>
      <c r="D2323" s="556"/>
      <c r="E2323" s="422"/>
      <c r="F2323" s="455" t="str">
        <f>VLOOKUP($B2323,[1]DG!A:D,[1]DG!$C$2,)</f>
        <v>Sắt Ø12</v>
      </c>
      <c r="G2323" s="422" t="str">
        <f>VLOOKUP($B2323,[1]DG!A:D,[1]DG!$D$2,)</f>
        <v>kg</v>
      </c>
      <c r="H2323" s="436">
        <f t="shared" si="370"/>
        <v>0</v>
      </c>
      <c r="I2323" s="436">
        <f t="shared" si="371"/>
        <v>0</v>
      </c>
      <c r="J2323" s="436">
        <f t="shared" si="372"/>
        <v>0</v>
      </c>
      <c r="K2323" s="436">
        <f t="shared" si="373"/>
        <v>0</v>
      </c>
      <c r="L2323" s="436">
        <f t="shared" si="374"/>
        <v>0</v>
      </c>
      <c r="M2323" s="436"/>
      <c r="N2323" s="436"/>
      <c r="O2323" s="436"/>
      <c r="P2323" s="435">
        <f t="shared" si="363"/>
        <v>0</v>
      </c>
      <c r="Q2323" s="447"/>
      <c r="R2323" s="447"/>
      <c r="S2323" s="447"/>
      <c r="T2323" s="432">
        <f t="shared" si="365"/>
        <v>0</v>
      </c>
    </row>
    <row r="2324" spans="1:20" ht="22.2" hidden="1" customHeight="1">
      <c r="A2324" s="379"/>
      <c r="B2324" s="495" t="s">
        <v>1465</v>
      </c>
      <c r="C2324" s="411" t="str">
        <f t="shared" si="368"/>
        <v xml:space="preserve"> </v>
      </c>
      <c r="D2324" s="556">
        <v>2.92</v>
      </c>
      <c r="E2324" s="422"/>
      <c r="F2324" s="441" t="str">
        <f>VLOOKUP($B2324,[1]DG!A:D,[1]DG!$C$2,)</f>
        <v>Thép tấm 6mm</v>
      </c>
      <c r="G2324" s="422" t="str">
        <f>VLOOKUP($B2324,[1]DG!A:D,[1]DG!$D$2,)</f>
        <v>kg</v>
      </c>
      <c r="H2324" s="436">
        <f t="shared" si="370"/>
        <v>0</v>
      </c>
      <c r="I2324" s="436">
        <f t="shared" si="371"/>
        <v>0</v>
      </c>
      <c r="J2324" s="436">
        <f t="shared" si="372"/>
        <v>0</v>
      </c>
      <c r="K2324" s="436">
        <f t="shared" si="373"/>
        <v>0</v>
      </c>
      <c r="L2324" s="436">
        <f t="shared" si="374"/>
        <v>0</v>
      </c>
      <c r="M2324" s="436"/>
      <c r="N2324" s="436"/>
      <c r="O2324" s="436"/>
      <c r="P2324" s="435">
        <f t="shared" si="363"/>
        <v>0</v>
      </c>
      <c r="Q2324" s="447"/>
      <c r="R2324" s="447"/>
      <c r="S2324" s="447"/>
      <c r="T2324" s="432">
        <f t="shared" si="365"/>
        <v>0</v>
      </c>
    </row>
    <row r="2325" spans="1:20" ht="22.2" hidden="1" customHeight="1">
      <c r="A2325" s="379"/>
      <c r="B2325" s="495" t="s">
        <v>79</v>
      </c>
      <c r="C2325" s="411" t="str">
        <f t="shared" si="368"/>
        <v xml:space="preserve"> </v>
      </c>
      <c r="D2325" s="556">
        <v>4</v>
      </c>
      <c r="E2325" s="422"/>
      <c r="F2325" s="441" t="str">
        <f>VLOOKUP($B2325,[1]DG!A:D,[1]DG!$C$2,)</f>
        <v>Boulon 12x50+ 2 long đền vuông D14-50x50x3/Zn</v>
      </c>
      <c r="G2325" s="422" t="str">
        <f>VLOOKUP($B2325,[1]DG!A:D,[1]DG!$D$2,)</f>
        <v>bộ</v>
      </c>
      <c r="H2325" s="436">
        <f t="shared" si="370"/>
        <v>0</v>
      </c>
      <c r="I2325" s="436">
        <f t="shared" si="371"/>
        <v>0</v>
      </c>
      <c r="J2325" s="436">
        <f t="shared" si="372"/>
        <v>0</v>
      </c>
      <c r="K2325" s="436">
        <f t="shared" si="373"/>
        <v>0</v>
      </c>
      <c r="L2325" s="436">
        <f t="shared" si="374"/>
        <v>0</v>
      </c>
      <c r="M2325" s="436"/>
      <c r="N2325" s="436"/>
      <c r="O2325" s="436"/>
      <c r="P2325" s="435">
        <f t="shared" si="363"/>
        <v>0</v>
      </c>
      <c r="Q2325" s="447"/>
      <c r="R2325" s="447"/>
      <c r="S2325" s="447"/>
      <c r="T2325" s="432">
        <f t="shared" si="365"/>
        <v>0</v>
      </c>
    </row>
    <row r="2326" spans="1:20" ht="22.2" hidden="1" customHeight="1">
      <c r="A2326" s="379"/>
      <c r="B2326" s="495" t="s">
        <v>1466</v>
      </c>
      <c r="C2326" s="411" t="str">
        <f t="shared" si="368"/>
        <v xml:space="preserve"> </v>
      </c>
      <c r="D2326" s="556">
        <v>2.5</v>
      </c>
      <c r="E2326" s="422"/>
      <c r="F2326" s="441" t="str">
        <f>VLOOKUP($B2326,[1]DG!A:D,[1]DG!$C$2,)</f>
        <v>Que hàn điện</v>
      </c>
      <c r="G2326" s="422" t="str">
        <f>VLOOKUP($B2326,[1]DG!A:D,[1]DG!$D$2,)</f>
        <v>kg</v>
      </c>
      <c r="H2326" s="436">
        <f t="shared" si="370"/>
        <v>0</v>
      </c>
      <c r="I2326" s="436">
        <f t="shared" si="371"/>
        <v>0</v>
      </c>
      <c r="J2326" s="436">
        <f t="shared" si="372"/>
        <v>0</v>
      </c>
      <c r="K2326" s="436">
        <f t="shared" si="373"/>
        <v>0</v>
      </c>
      <c r="L2326" s="436">
        <f t="shared" si="374"/>
        <v>0</v>
      </c>
      <c r="M2326" s="436"/>
      <c r="N2326" s="436"/>
      <c r="O2326" s="436"/>
      <c r="P2326" s="435">
        <f t="shared" si="363"/>
        <v>0</v>
      </c>
      <c r="Q2326" s="447"/>
      <c r="R2326" s="447"/>
      <c r="S2326" s="447"/>
      <c r="T2326" s="432">
        <f t="shared" si="365"/>
        <v>0</v>
      </c>
    </row>
    <row r="2327" spans="1:20" ht="22.2" hidden="1" customHeight="1">
      <c r="A2327" s="379"/>
      <c r="B2327" s="495" t="s">
        <v>1467</v>
      </c>
      <c r="C2327" s="411" t="str">
        <f t="shared" si="368"/>
        <v xml:space="preserve"> </v>
      </c>
      <c r="D2327" s="556">
        <v>1.5</v>
      </c>
      <c r="E2327" s="422"/>
      <c r="F2327" s="441" t="str">
        <f>VLOOKUP($B2327,[1]DG!A:D,[1]DG!$C$2,)</f>
        <v>Sơn chống rỉ</v>
      </c>
      <c r="G2327" s="422" t="str">
        <f>VLOOKUP($B2327,[1]DG!A:D,[1]DG!$D$2,)</f>
        <v>kg</v>
      </c>
      <c r="H2327" s="436">
        <f t="shared" si="370"/>
        <v>0</v>
      </c>
      <c r="I2327" s="436">
        <f t="shared" si="371"/>
        <v>0</v>
      </c>
      <c r="J2327" s="436">
        <f t="shared" si="372"/>
        <v>0</v>
      </c>
      <c r="K2327" s="436">
        <f t="shared" si="373"/>
        <v>0</v>
      </c>
      <c r="L2327" s="436">
        <f t="shared" si="374"/>
        <v>0</v>
      </c>
      <c r="M2327" s="436"/>
      <c r="N2327" s="436"/>
      <c r="O2327" s="436"/>
      <c r="P2327" s="435">
        <f t="shared" si="363"/>
        <v>0</v>
      </c>
      <c r="Q2327" s="447"/>
      <c r="R2327" s="447"/>
      <c r="S2327" s="447"/>
      <c r="T2327" s="432">
        <f t="shared" si="365"/>
        <v>0</v>
      </c>
    </row>
    <row r="2328" spans="1:20" ht="22.2" hidden="1" customHeight="1">
      <c r="A2328" s="379"/>
      <c r="B2328" s="495" t="s">
        <v>1468</v>
      </c>
      <c r="C2328" s="411" t="str">
        <f t="shared" si="368"/>
        <v xml:space="preserve"> </v>
      </c>
      <c r="D2328" s="556">
        <v>1</v>
      </c>
      <c r="E2328" s="422"/>
      <c r="F2328" s="441" t="str">
        <f>VLOOKUP($B2328,[1]DG!A:D,[1]DG!$C$2,)</f>
        <v>Sơn màu</v>
      </c>
      <c r="G2328" s="422" t="str">
        <f>VLOOKUP($B2328,[1]DG!A:D,[1]DG!$D$2,)</f>
        <v>kg</v>
      </c>
      <c r="H2328" s="436">
        <f t="shared" si="370"/>
        <v>0</v>
      </c>
      <c r="I2328" s="436">
        <f t="shared" si="371"/>
        <v>0</v>
      </c>
      <c r="J2328" s="436">
        <f t="shared" si="372"/>
        <v>0</v>
      </c>
      <c r="K2328" s="436">
        <f t="shared" si="373"/>
        <v>0</v>
      </c>
      <c r="L2328" s="436">
        <f t="shared" si="374"/>
        <v>0</v>
      </c>
      <c r="M2328" s="436"/>
      <c r="N2328" s="436"/>
      <c r="O2328" s="436"/>
      <c r="P2328" s="435">
        <f t="shared" si="363"/>
        <v>0</v>
      </c>
      <c r="Q2328" s="447"/>
      <c r="R2328" s="447"/>
      <c r="S2328" s="447"/>
      <c r="T2328" s="432">
        <f t="shared" si="365"/>
        <v>0</v>
      </c>
    </row>
    <row r="2329" spans="1:20" ht="22.2" hidden="1" customHeight="1">
      <c r="A2329" s="379"/>
      <c r="B2329" s="495" t="s">
        <v>1469</v>
      </c>
      <c r="C2329" s="411" t="str">
        <f t="shared" si="368"/>
        <v xml:space="preserve"> </v>
      </c>
      <c r="D2329" s="556">
        <v>0.9</v>
      </c>
      <c r="E2329" s="422"/>
      <c r="F2329" s="441" t="str">
        <f>VLOOKUP($B2329,[1]DG!A:D,[1]DG!$C$2,)</f>
        <v>Ô xy gió</v>
      </c>
      <c r="G2329" s="422" t="str">
        <f>VLOOKUP($B2329,[1]DG!A:D,[1]DG!$D$2,)</f>
        <v>m3</v>
      </c>
      <c r="H2329" s="436">
        <f t="shared" si="370"/>
        <v>0</v>
      </c>
      <c r="I2329" s="436">
        <f t="shared" si="371"/>
        <v>0</v>
      </c>
      <c r="J2329" s="436">
        <f t="shared" si="372"/>
        <v>0</v>
      </c>
      <c r="K2329" s="436">
        <f t="shared" si="373"/>
        <v>0</v>
      </c>
      <c r="L2329" s="436">
        <f t="shared" si="374"/>
        <v>0</v>
      </c>
      <c r="M2329" s="436"/>
      <c r="N2329" s="436"/>
      <c r="O2329" s="436"/>
      <c r="P2329" s="435">
        <f t="shared" si="363"/>
        <v>0</v>
      </c>
      <c r="Q2329" s="447"/>
      <c r="R2329" s="447"/>
      <c r="S2329" s="447"/>
      <c r="T2329" s="432">
        <f t="shared" si="365"/>
        <v>0</v>
      </c>
    </row>
    <row r="2330" spans="1:20" ht="22.2" hidden="1" customHeight="1">
      <c r="A2330" s="379"/>
      <c r="B2330" s="495" t="s">
        <v>1470</v>
      </c>
      <c r="C2330" s="411" t="str">
        <f t="shared" si="368"/>
        <v xml:space="preserve"> </v>
      </c>
      <c r="D2330" s="556">
        <v>0.3</v>
      </c>
      <c r="E2330" s="422"/>
      <c r="F2330" s="441" t="str">
        <f>VLOOKUP($B2330,[1]DG!A:D,[1]DG!$C$2,)</f>
        <v>Hơi Axetylen</v>
      </c>
      <c r="G2330" s="422" t="str">
        <f>VLOOKUP($B2330,[1]DG!A:D,[1]DG!$D$2,)</f>
        <v>m3</v>
      </c>
      <c r="H2330" s="436">
        <f t="shared" si="370"/>
        <v>0</v>
      </c>
      <c r="I2330" s="436">
        <f t="shared" si="371"/>
        <v>0</v>
      </c>
      <c r="J2330" s="436">
        <f t="shared" si="372"/>
        <v>0</v>
      </c>
      <c r="K2330" s="436">
        <f t="shared" si="373"/>
        <v>0</v>
      </c>
      <c r="L2330" s="436">
        <f>$K$2320*H2330</f>
        <v>0</v>
      </c>
      <c r="M2330" s="436"/>
      <c r="N2330" s="436"/>
      <c r="O2330" s="436"/>
      <c r="P2330" s="435">
        <f t="shared" si="363"/>
        <v>0</v>
      </c>
      <c r="Q2330" s="447"/>
      <c r="R2330" s="447"/>
      <c r="S2330" s="447"/>
      <c r="T2330" s="432">
        <f t="shared" si="365"/>
        <v>0</v>
      </c>
    </row>
    <row r="2331" spans="1:20" ht="22.2" hidden="1" customHeight="1">
      <c r="A2331" s="379"/>
      <c r="B2331" s="495" t="s">
        <v>1471</v>
      </c>
      <c r="C2331" s="411" t="str">
        <f t="shared" si="368"/>
        <v xml:space="preserve"> </v>
      </c>
      <c r="D2331" s="556">
        <v>6</v>
      </c>
      <c r="E2331" s="422"/>
      <c r="F2331" s="441" t="str">
        <f>VLOOKUP($B2331,[1]DG!A:D,[1]DG!$C$2,)</f>
        <v>Cọ sơn</v>
      </c>
      <c r="G2331" s="422" t="str">
        <f>VLOOKUP($B2331,[1]DG!A:D,[1]DG!$D$2,)</f>
        <v>cái</v>
      </c>
      <c r="H2331" s="436">
        <f t="shared" si="370"/>
        <v>0</v>
      </c>
      <c r="I2331" s="436">
        <f t="shared" si="371"/>
        <v>0</v>
      </c>
      <c r="J2331" s="436">
        <f t="shared" si="372"/>
        <v>0</v>
      </c>
      <c r="K2331" s="436">
        <f t="shared" si="373"/>
        <v>0</v>
      </c>
      <c r="L2331" s="436">
        <f>$K$2320*H2331</f>
        <v>0</v>
      </c>
      <c r="M2331" s="436"/>
      <c r="N2331" s="436"/>
      <c r="O2331" s="436"/>
      <c r="P2331" s="435">
        <f t="shared" si="363"/>
        <v>0</v>
      </c>
      <c r="Q2331" s="447"/>
      <c r="R2331" s="447"/>
      <c r="S2331" s="447"/>
      <c r="T2331" s="432">
        <f t="shared" si="365"/>
        <v>0</v>
      </c>
    </row>
    <row r="2332" spans="1:20" ht="22.2" hidden="1" customHeight="1">
      <c r="A2332" s="379"/>
      <c r="B2332" s="495" t="s">
        <v>1472</v>
      </c>
      <c r="C2332" s="411" t="str">
        <f t="shared" si="368"/>
        <v xml:space="preserve"> </v>
      </c>
      <c r="D2332" s="556">
        <v>0.19</v>
      </c>
      <c r="E2332" s="422" t="str">
        <f>VLOOKUP($B2332,[1]DG!A:D,[1]DG!$B$2,)</f>
        <v>NB.1110</v>
      </c>
      <c r="F2332" s="434" t="str">
        <f>VLOOKUP($B2332,[1]DG!A:D,[1]DG!$C$2,)</f>
        <v>Gia công và lắp dựng cột báo hiệu cao 9m</v>
      </c>
      <c r="G2332" s="422" t="str">
        <f>VLOOKUP($B2332,[1]DG!A:D,[1]DG!$D$2,)</f>
        <v>Tấn</v>
      </c>
      <c r="H2332" s="436">
        <f t="shared" si="370"/>
        <v>0</v>
      </c>
      <c r="I2332" s="436"/>
      <c r="J2332" s="436"/>
      <c r="K2332" s="436"/>
      <c r="L2332" s="436"/>
      <c r="M2332" s="436"/>
      <c r="N2332" s="436"/>
      <c r="O2332" s="436"/>
      <c r="P2332" s="435">
        <f t="shared" si="363"/>
        <v>0</v>
      </c>
      <c r="Q2332" s="447"/>
      <c r="R2332" s="447"/>
      <c r="S2332" s="447"/>
      <c r="T2332" s="432">
        <f t="shared" si="365"/>
        <v>0</v>
      </c>
    </row>
    <row r="2333" spans="1:20" ht="22.2" hidden="1" customHeight="1">
      <c r="A2333" s="379"/>
      <c r="B2333" s="495" t="s">
        <v>1473</v>
      </c>
      <c r="C2333" s="411" t="str">
        <f t="shared" si="368"/>
        <v xml:space="preserve"> </v>
      </c>
      <c r="D2333" s="556">
        <v>3.98</v>
      </c>
      <c r="E2333" s="422" t="str">
        <f>VLOOKUP($B2333,[1]DG!A:D,[1]DG!$B$2,)</f>
        <v>S2.118</v>
      </c>
      <c r="F2333" s="441" t="str">
        <f>VLOOKUP($B2333,[1]DG!A:D,[1]DG!$C$2,)</f>
        <v>Sơn cột báo hiệu</v>
      </c>
      <c r="G2333" s="422" t="str">
        <f>VLOOKUP($B2333,[1]DG!A:D,[1]DG!$D$2,)</f>
        <v>m2</v>
      </c>
      <c r="H2333" s="436">
        <f t="shared" si="370"/>
        <v>0</v>
      </c>
      <c r="I2333" s="436">
        <f>$I$2320*D2333</f>
        <v>0</v>
      </c>
      <c r="J2333" s="436">
        <f>$J$2320*D2333</f>
        <v>0</v>
      </c>
      <c r="K2333" s="436">
        <f>$K$2320*D2333</f>
        <v>0</v>
      </c>
      <c r="L2333" s="436">
        <f t="shared" si="374"/>
        <v>0</v>
      </c>
      <c r="M2333" s="436"/>
      <c r="N2333" s="436"/>
      <c r="O2333" s="436"/>
      <c r="P2333" s="435">
        <f t="shared" si="363"/>
        <v>0</v>
      </c>
      <c r="Q2333" s="447"/>
      <c r="R2333" s="447"/>
      <c r="S2333" s="447"/>
      <c r="T2333" s="432">
        <f t="shared" si="365"/>
        <v>0</v>
      </c>
    </row>
    <row r="2334" spans="1:20" ht="22.2" hidden="1" customHeight="1">
      <c r="A2334" s="379"/>
      <c r="B2334" s="495" t="s">
        <v>1474</v>
      </c>
      <c r="C2334" s="411" t="str">
        <f t="shared" si="368"/>
        <v xml:space="preserve"> </v>
      </c>
      <c r="D2334" s="556">
        <v>0.19</v>
      </c>
      <c r="E2334" s="422" t="str">
        <f>VLOOKUP($B2334,[1]DG!A:D,[1]DG!$B$2,)</f>
        <v>021351</v>
      </c>
      <c r="F2334" s="441" t="str">
        <f>VLOOKUP($B2334,[1]DG!A:D,[1]DG!$C$2,)</f>
        <v>Vận Chuyển thép</v>
      </c>
      <c r="G2334" s="422" t="str">
        <f>VLOOKUP($B2334,[1]DG!A:D,[1]DG!$D$2,)</f>
        <v>Tấn</v>
      </c>
      <c r="H2334" s="436">
        <f t="shared" si="370"/>
        <v>0</v>
      </c>
      <c r="I2334" s="436"/>
      <c r="J2334" s="436"/>
      <c r="K2334" s="436"/>
      <c r="L2334" s="436"/>
      <c r="M2334" s="436"/>
      <c r="N2334" s="436"/>
      <c r="O2334" s="436"/>
      <c r="P2334" s="435">
        <f t="shared" si="363"/>
        <v>0</v>
      </c>
      <c r="Q2334" s="447"/>
      <c r="R2334" s="447"/>
      <c r="S2334" s="447"/>
      <c r="T2334" s="432">
        <f t="shared" si="365"/>
        <v>0</v>
      </c>
    </row>
    <row r="2335" spans="1:20" ht="22.2" hidden="1" customHeight="1">
      <c r="A2335" s="423" t="s">
        <v>1475</v>
      </c>
      <c r="B2335" s="424" t="s">
        <v>1475</v>
      </c>
      <c r="C2335" s="425" t="str">
        <f t="shared" si="368"/>
        <v xml:space="preserve"> </v>
      </c>
      <c r="D2335" s="426"/>
      <c r="E2335" s="349"/>
      <c r="F2335" s="428" t="s">
        <v>1476</v>
      </c>
      <c r="G2335" s="349" t="s">
        <v>1477</v>
      </c>
      <c r="H2335" s="429">
        <f>SUM(I2335:O2335)</f>
        <v>0</v>
      </c>
      <c r="I2335" s="430"/>
      <c r="J2335" s="430"/>
      <c r="K2335" s="430"/>
      <c r="L2335" s="430">
        <f>IFERROR(HLOOKUP(chitiet!B2335,[1]pp1p!$1:$3,3,0),0)</f>
        <v>0</v>
      </c>
      <c r="M2335" s="430"/>
      <c r="N2335" s="430"/>
      <c r="O2335" s="430"/>
      <c r="P2335" s="435">
        <f t="shared" si="363"/>
        <v>0</v>
      </c>
      <c r="Q2335" s="431"/>
      <c r="R2335" s="431"/>
      <c r="S2335" s="431"/>
      <c r="T2335" s="432">
        <f t="shared" si="365"/>
        <v>0</v>
      </c>
    </row>
    <row r="2336" spans="1:20" ht="22.2" hidden="1" customHeight="1">
      <c r="A2336" s="379"/>
      <c r="B2336" s="495" t="s">
        <v>1478</v>
      </c>
      <c r="C2336" s="411" t="str">
        <f t="shared" si="368"/>
        <v xml:space="preserve"> </v>
      </c>
      <c r="D2336" s="556">
        <v>26.3</v>
      </c>
      <c r="E2336" s="422"/>
      <c r="F2336" s="441" t="str">
        <f>VLOOKUP($B2336,[1]DG!A:D,[1]DG!$C$2,)</f>
        <v>Sắt góc L45 x45 x 4</v>
      </c>
      <c r="G2336" s="422" t="str">
        <f>VLOOKUP($B2336,[1]DG!A:D,[1]DG!$D$2,)</f>
        <v>kg</v>
      </c>
      <c r="H2336" s="436">
        <f t="shared" ref="H2336:H2348" si="375">IF($H$2320&lt;&gt;0,D2336,)</f>
        <v>0</v>
      </c>
      <c r="I2336" s="436">
        <f t="shared" ref="I2336:I2345" si="376">$I$2320*D2336</f>
        <v>0</v>
      </c>
      <c r="J2336" s="436">
        <f t="shared" ref="J2336:J2345" si="377">$J$2320*D2336</f>
        <v>0</v>
      </c>
      <c r="K2336" s="436">
        <f t="shared" ref="K2336:K2345" si="378">$K$2320*D2336</f>
        <v>0</v>
      </c>
      <c r="L2336" s="436">
        <f t="shared" si="374"/>
        <v>0</v>
      </c>
      <c r="M2336" s="436"/>
      <c r="N2336" s="436"/>
      <c r="O2336" s="436"/>
      <c r="P2336" s="435">
        <f t="shared" si="363"/>
        <v>0</v>
      </c>
      <c r="Q2336" s="447"/>
      <c r="R2336" s="447"/>
      <c r="S2336" s="447"/>
      <c r="T2336" s="432">
        <f t="shared" si="365"/>
        <v>0</v>
      </c>
    </row>
    <row r="2337" spans="1:20" ht="22.2" hidden="1" customHeight="1">
      <c r="A2337" s="379"/>
      <c r="B2337" s="495" t="s">
        <v>1479</v>
      </c>
      <c r="C2337" s="411" t="str">
        <f t="shared" si="368"/>
        <v xml:space="preserve"> </v>
      </c>
      <c r="D2337" s="556">
        <v>3.14</v>
      </c>
      <c r="E2337" s="422"/>
      <c r="F2337" s="441" t="str">
        <f>VLOOKUP($B2337,[1]DG!A:D,[1]DG!$C$2,)</f>
        <v>Thép tấm 4mm</v>
      </c>
      <c r="G2337" s="422" t="str">
        <f>VLOOKUP($B2337,[1]DG!A:D,[1]DG!$D$2,)</f>
        <v>kg</v>
      </c>
      <c r="H2337" s="436">
        <f t="shared" si="375"/>
        <v>0</v>
      </c>
      <c r="I2337" s="436">
        <f t="shared" si="376"/>
        <v>0</v>
      </c>
      <c r="J2337" s="436">
        <f t="shared" si="377"/>
        <v>0</v>
      </c>
      <c r="K2337" s="436">
        <f t="shared" si="378"/>
        <v>0</v>
      </c>
      <c r="L2337" s="436">
        <f t="shared" si="374"/>
        <v>0</v>
      </c>
      <c r="M2337" s="436"/>
      <c r="N2337" s="436"/>
      <c r="O2337" s="436"/>
      <c r="P2337" s="435">
        <f t="shared" si="363"/>
        <v>0</v>
      </c>
      <c r="Q2337" s="447"/>
      <c r="R2337" s="447"/>
      <c r="S2337" s="447"/>
      <c r="T2337" s="432">
        <f t="shared" si="365"/>
        <v>0</v>
      </c>
    </row>
    <row r="2338" spans="1:20" ht="22.2" hidden="1" customHeight="1">
      <c r="A2338" s="379"/>
      <c r="B2338" s="495" t="s">
        <v>1480</v>
      </c>
      <c r="C2338" s="411" t="str">
        <f t="shared" si="368"/>
        <v xml:space="preserve"> </v>
      </c>
      <c r="D2338" s="556">
        <v>45.22</v>
      </c>
      <c r="E2338" s="422"/>
      <c r="F2338" s="441" t="str">
        <f>VLOOKUP($B2338,[1]DG!A:D,[1]DG!$C$2,)</f>
        <v>Thép tấm 2mm</v>
      </c>
      <c r="G2338" s="422" t="str">
        <f>VLOOKUP($B2338,[1]DG!A:D,[1]DG!$D$2,)</f>
        <v>kg</v>
      </c>
      <c r="H2338" s="436">
        <f t="shared" si="375"/>
        <v>0</v>
      </c>
      <c r="I2338" s="436">
        <f t="shared" si="376"/>
        <v>0</v>
      </c>
      <c r="J2338" s="436">
        <f t="shared" si="377"/>
        <v>0</v>
      </c>
      <c r="K2338" s="436">
        <f t="shared" si="378"/>
        <v>0</v>
      </c>
      <c r="L2338" s="436">
        <f t="shared" si="374"/>
        <v>0</v>
      </c>
      <c r="M2338" s="436"/>
      <c r="N2338" s="436"/>
      <c r="O2338" s="436"/>
      <c r="P2338" s="435">
        <f t="shared" si="363"/>
        <v>0</v>
      </c>
      <c r="Q2338" s="447"/>
      <c r="R2338" s="447"/>
      <c r="S2338" s="447"/>
      <c r="T2338" s="432">
        <f t="shared" si="365"/>
        <v>0</v>
      </c>
    </row>
    <row r="2339" spans="1:20" ht="22.2" hidden="1" customHeight="1">
      <c r="A2339" s="379"/>
      <c r="B2339" s="495" t="s">
        <v>79</v>
      </c>
      <c r="C2339" s="411" t="str">
        <f t="shared" si="368"/>
        <v xml:space="preserve"> </v>
      </c>
      <c r="D2339" s="556">
        <v>2</v>
      </c>
      <c r="E2339" s="422"/>
      <c r="F2339" s="441" t="str">
        <f>VLOOKUP($B2339,[1]DG!A:D,[1]DG!$C$2,)</f>
        <v>Boulon 12x50+ 2 long đền vuông D14-50x50x3/Zn</v>
      </c>
      <c r="G2339" s="422" t="str">
        <f>VLOOKUP($B2339,[1]DG!A:D,[1]DG!$D$2,)</f>
        <v>bộ</v>
      </c>
      <c r="H2339" s="436">
        <f t="shared" si="375"/>
        <v>0</v>
      </c>
      <c r="I2339" s="436">
        <f t="shared" si="376"/>
        <v>0</v>
      </c>
      <c r="J2339" s="436">
        <f t="shared" si="377"/>
        <v>0</v>
      </c>
      <c r="K2339" s="436">
        <f t="shared" si="378"/>
        <v>0</v>
      </c>
      <c r="L2339" s="436">
        <f>$K$2320*H2339</f>
        <v>0</v>
      </c>
      <c r="M2339" s="436"/>
      <c r="N2339" s="436"/>
      <c r="O2339" s="436"/>
      <c r="P2339" s="435">
        <f t="shared" si="363"/>
        <v>0</v>
      </c>
      <c r="Q2339" s="447"/>
      <c r="R2339" s="447"/>
      <c r="S2339" s="447"/>
      <c r="T2339" s="432">
        <f t="shared" si="365"/>
        <v>0</v>
      </c>
    </row>
    <row r="2340" spans="1:20" ht="22.2" hidden="1" customHeight="1">
      <c r="A2340" s="379"/>
      <c r="B2340" s="495" t="s">
        <v>1466</v>
      </c>
      <c r="C2340" s="411" t="str">
        <f t="shared" si="368"/>
        <v xml:space="preserve"> </v>
      </c>
      <c r="D2340" s="556">
        <v>3</v>
      </c>
      <c r="E2340" s="422"/>
      <c r="F2340" s="441" t="str">
        <f>VLOOKUP($B2340,[1]DG!A:D,[1]DG!$C$2,)</f>
        <v>Que hàn điện</v>
      </c>
      <c r="G2340" s="422" t="str">
        <f>VLOOKUP($B2340,[1]DG!A:D,[1]DG!$D$2,)</f>
        <v>kg</v>
      </c>
      <c r="H2340" s="436">
        <f t="shared" si="375"/>
        <v>0</v>
      </c>
      <c r="I2340" s="436">
        <f t="shared" si="376"/>
        <v>0</v>
      </c>
      <c r="J2340" s="436">
        <f t="shared" si="377"/>
        <v>0</v>
      </c>
      <c r="K2340" s="436">
        <f t="shared" si="378"/>
        <v>0</v>
      </c>
      <c r="L2340" s="436">
        <f t="shared" si="374"/>
        <v>0</v>
      </c>
      <c r="M2340" s="436"/>
      <c r="N2340" s="436"/>
      <c r="O2340" s="436"/>
      <c r="P2340" s="435">
        <f t="shared" si="363"/>
        <v>0</v>
      </c>
      <c r="Q2340" s="447"/>
      <c r="R2340" s="447"/>
      <c r="S2340" s="447"/>
      <c r="T2340" s="432">
        <f t="shared" si="365"/>
        <v>0</v>
      </c>
    </row>
    <row r="2341" spans="1:20" ht="22.2" hidden="1" customHeight="1">
      <c r="A2341" s="379"/>
      <c r="B2341" s="495" t="s">
        <v>1467</v>
      </c>
      <c r="C2341" s="411" t="str">
        <f t="shared" si="368"/>
        <v xml:space="preserve"> </v>
      </c>
      <c r="D2341" s="556">
        <v>1.8</v>
      </c>
      <c r="E2341" s="422"/>
      <c r="F2341" s="441" t="str">
        <f>VLOOKUP($B2341,[1]DG!A:D,[1]DG!$C$2,)</f>
        <v>Sơn chống rỉ</v>
      </c>
      <c r="G2341" s="422" t="str">
        <f>VLOOKUP($B2341,[1]DG!A:D,[1]DG!$D$2,)</f>
        <v>kg</v>
      </c>
      <c r="H2341" s="436">
        <f t="shared" si="375"/>
        <v>0</v>
      </c>
      <c r="I2341" s="436">
        <f t="shared" si="376"/>
        <v>0</v>
      </c>
      <c r="J2341" s="436">
        <f t="shared" si="377"/>
        <v>0</v>
      </c>
      <c r="K2341" s="436">
        <f t="shared" si="378"/>
        <v>0</v>
      </c>
      <c r="L2341" s="436">
        <f t="shared" si="374"/>
        <v>0</v>
      </c>
      <c r="M2341" s="436"/>
      <c r="N2341" s="436"/>
      <c r="O2341" s="436"/>
      <c r="P2341" s="435">
        <f t="shared" si="363"/>
        <v>0</v>
      </c>
      <c r="Q2341" s="447"/>
      <c r="R2341" s="447"/>
      <c r="S2341" s="447"/>
      <c r="T2341" s="432">
        <f t="shared" si="365"/>
        <v>0</v>
      </c>
    </row>
    <row r="2342" spans="1:20" ht="22.2" hidden="1" customHeight="1">
      <c r="A2342" s="379"/>
      <c r="B2342" s="495" t="s">
        <v>1468</v>
      </c>
      <c r="C2342" s="411" t="str">
        <f t="shared" si="368"/>
        <v xml:space="preserve"> </v>
      </c>
      <c r="D2342" s="556">
        <v>1</v>
      </c>
      <c r="E2342" s="422"/>
      <c r="F2342" s="441" t="str">
        <f>VLOOKUP($B2342,[1]DG!A:D,[1]DG!$C$2,)</f>
        <v>Sơn màu</v>
      </c>
      <c r="G2342" s="422" t="str">
        <f>VLOOKUP($B2342,[1]DG!A:D,[1]DG!$D$2,)</f>
        <v>kg</v>
      </c>
      <c r="H2342" s="436">
        <f t="shared" si="375"/>
        <v>0</v>
      </c>
      <c r="I2342" s="436">
        <f t="shared" si="376"/>
        <v>0</v>
      </c>
      <c r="J2342" s="436">
        <f t="shared" si="377"/>
        <v>0</v>
      </c>
      <c r="K2342" s="436">
        <f t="shared" si="378"/>
        <v>0</v>
      </c>
      <c r="L2342" s="436">
        <f t="shared" si="374"/>
        <v>0</v>
      </c>
      <c r="M2342" s="436"/>
      <c r="N2342" s="436"/>
      <c r="O2342" s="436"/>
      <c r="P2342" s="435">
        <f t="shared" si="363"/>
        <v>0</v>
      </c>
      <c r="Q2342" s="447"/>
      <c r="R2342" s="447"/>
      <c r="S2342" s="447"/>
      <c r="T2342" s="432">
        <f t="shared" si="365"/>
        <v>0</v>
      </c>
    </row>
    <row r="2343" spans="1:20" ht="22.2" hidden="1" customHeight="1">
      <c r="A2343" s="379"/>
      <c r="B2343" s="495" t="s">
        <v>1469</v>
      </c>
      <c r="C2343" s="411" t="str">
        <f t="shared" si="368"/>
        <v xml:space="preserve"> </v>
      </c>
      <c r="D2343" s="556">
        <v>1.8</v>
      </c>
      <c r="E2343" s="422"/>
      <c r="F2343" s="441" t="str">
        <f>VLOOKUP($B2343,[1]DG!A:D,[1]DG!$C$2,)</f>
        <v>Ô xy gió</v>
      </c>
      <c r="G2343" s="422" t="str">
        <f>VLOOKUP($B2343,[1]DG!A:D,[1]DG!$D$2,)</f>
        <v>m3</v>
      </c>
      <c r="H2343" s="436">
        <f t="shared" si="375"/>
        <v>0</v>
      </c>
      <c r="I2343" s="436">
        <f t="shared" si="376"/>
        <v>0</v>
      </c>
      <c r="J2343" s="436">
        <f t="shared" si="377"/>
        <v>0</v>
      </c>
      <c r="K2343" s="436">
        <f t="shared" si="378"/>
        <v>0</v>
      </c>
      <c r="L2343" s="436">
        <f t="shared" si="374"/>
        <v>0</v>
      </c>
      <c r="M2343" s="436"/>
      <c r="N2343" s="436"/>
      <c r="O2343" s="436"/>
      <c r="P2343" s="435">
        <f t="shared" si="363"/>
        <v>0</v>
      </c>
      <c r="Q2343" s="447"/>
      <c r="R2343" s="447"/>
      <c r="S2343" s="447"/>
      <c r="T2343" s="432">
        <f t="shared" si="365"/>
        <v>0</v>
      </c>
    </row>
    <row r="2344" spans="1:20" ht="22.2" hidden="1" customHeight="1">
      <c r="A2344" s="379"/>
      <c r="B2344" s="495" t="s">
        <v>1470</v>
      </c>
      <c r="C2344" s="411" t="str">
        <f t="shared" si="368"/>
        <v xml:space="preserve"> </v>
      </c>
      <c r="D2344" s="556">
        <v>0.6</v>
      </c>
      <c r="E2344" s="422"/>
      <c r="F2344" s="441" t="str">
        <f>VLOOKUP($B2344,[1]DG!A:D,[1]DG!$C$2,)</f>
        <v>Hơi Axetylen</v>
      </c>
      <c r="G2344" s="422" t="str">
        <f>VLOOKUP($B2344,[1]DG!A:D,[1]DG!$D$2,)</f>
        <v>m3</v>
      </c>
      <c r="H2344" s="436">
        <f t="shared" si="375"/>
        <v>0</v>
      </c>
      <c r="I2344" s="436">
        <f t="shared" si="376"/>
        <v>0</v>
      </c>
      <c r="J2344" s="436">
        <f t="shared" si="377"/>
        <v>0</v>
      </c>
      <c r="K2344" s="436">
        <f t="shared" si="378"/>
        <v>0</v>
      </c>
      <c r="L2344" s="436">
        <f t="shared" si="374"/>
        <v>0</v>
      </c>
      <c r="M2344" s="436"/>
      <c r="N2344" s="436"/>
      <c r="O2344" s="436"/>
      <c r="P2344" s="435">
        <f t="shared" si="363"/>
        <v>0</v>
      </c>
      <c r="Q2344" s="447"/>
      <c r="R2344" s="447"/>
      <c r="S2344" s="447"/>
      <c r="T2344" s="432">
        <f t="shared" si="365"/>
        <v>0</v>
      </c>
    </row>
    <row r="2345" spans="1:20" ht="22.2" hidden="1" customHeight="1">
      <c r="A2345" s="379"/>
      <c r="B2345" s="495" t="s">
        <v>1471</v>
      </c>
      <c r="C2345" s="411" t="str">
        <f t="shared" si="368"/>
        <v xml:space="preserve"> </v>
      </c>
      <c r="D2345" s="556">
        <v>4</v>
      </c>
      <c r="E2345" s="422"/>
      <c r="F2345" s="441" t="str">
        <f>VLOOKUP($B2345,[1]DG!A:D,[1]DG!$C$2,)</f>
        <v>Cọ sơn</v>
      </c>
      <c r="G2345" s="422" t="str">
        <f>VLOOKUP($B2345,[1]DG!A:D,[1]DG!$D$2,)</f>
        <v>cái</v>
      </c>
      <c r="H2345" s="436">
        <f t="shared" si="375"/>
        <v>0</v>
      </c>
      <c r="I2345" s="436">
        <f t="shared" si="376"/>
        <v>0</v>
      </c>
      <c r="J2345" s="436">
        <f t="shared" si="377"/>
        <v>0</v>
      </c>
      <c r="K2345" s="436">
        <f t="shared" si="378"/>
        <v>0</v>
      </c>
      <c r="L2345" s="436">
        <f t="shared" si="374"/>
        <v>0</v>
      </c>
      <c r="M2345" s="436"/>
      <c r="N2345" s="436"/>
      <c r="O2345" s="436"/>
      <c r="P2345" s="435">
        <f t="shared" si="363"/>
        <v>0</v>
      </c>
      <c r="Q2345" s="447"/>
      <c r="R2345" s="447"/>
      <c r="S2345" s="447"/>
      <c r="T2345" s="432">
        <f t="shared" si="365"/>
        <v>0</v>
      </c>
    </row>
    <row r="2346" spans="1:20" ht="22.2" hidden="1" customHeight="1">
      <c r="A2346" s="379"/>
      <c r="B2346" s="495" t="s">
        <v>1481</v>
      </c>
      <c r="C2346" s="411" t="str">
        <f t="shared" si="368"/>
        <v xml:space="preserve"> </v>
      </c>
      <c r="D2346" s="556">
        <v>0.08</v>
      </c>
      <c r="E2346" s="422" t="str">
        <f>VLOOKUP($B2346,[1]DG!A:D,[1]DG!$B$2,)</f>
        <v>NB.1710</v>
      </c>
      <c r="F2346" s="434" t="str">
        <f>VLOOKUP($B2346,[1]DG!A:D,[1]DG!$C$2,)</f>
        <v>Gia công và lắp dựng bảng báo hiệu</v>
      </c>
      <c r="G2346" s="422" t="str">
        <f>VLOOKUP($B2346,[1]DG!A:D,[1]DG!$D$2,)</f>
        <v>Tấn</v>
      </c>
      <c r="H2346" s="436">
        <f t="shared" si="375"/>
        <v>0</v>
      </c>
      <c r="I2346" s="436"/>
      <c r="J2346" s="436"/>
      <c r="K2346" s="436"/>
      <c r="L2346" s="436"/>
      <c r="M2346" s="436"/>
      <c r="N2346" s="436"/>
      <c r="O2346" s="436"/>
      <c r="P2346" s="435">
        <f t="shared" ref="P2346:P2371" si="379">H2346+Q2346-R2346</f>
        <v>0</v>
      </c>
      <c r="Q2346" s="447"/>
      <c r="R2346" s="447"/>
      <c r="S2346" s="447"/>
      <c r="T2346" s="432">
        <f t="shared" si="365"/>
        <v>0</v>
      </c>
    </row>
    <row r="2347" spans="1:20" ht="22.2" hidden="1" customHeight="1">
      <c r="A2347" s="379"/>
      <c r="B2347" s="495" t="s">
        <v>1482</v>
      </c>
      <c r="C2347" s="411" t="str">
        <f t="shared" si="368"/>
        <v xml:space="preserve"> </v>
      </c>
      <c r="D2347" s="556">
        <v>5.76</v>
      </c>
      <c r="E2347" s="422" t="str">
        <f>VLOOKUP($B2347,[1]DG!A:D,[1]DG!$B$2,)</f>
        <v>S2.118</v>
      </c>
      <c r="F2347" s="441" t="str">
        <f>VLOOKUP($B2347,[1]DG!A:D,[1]DG!$C$2,)</f>
        <v>Sơn biển báo hiệu</v>
      </c>
      <c r="G2347" s="422" t="str">
        <f>VLOOKUP($B2347,[1]DG!A:D,[1]DG!$D$2,)</f>
        <v>m2</v>
      </c>
      <c r="H2347" s="436">
        <f t="shared" si="375"/>
        <v>0</v>
      </c>
      <c r="I2347" s="436">
        <f>$I$2320*D2347</f>
        <v>0</v>
      </c>
      <c r="J2347" s="436">
        <f>$J$2320*D2347</f>
        <v>0</v>
      </c>
      <c r="K2347" s="436">
        <f>$K$2320*D2347</f>
        <v>0</v>
      </c>
      <c r="L2347" s="436">
        <f t="shared" si="374"/>
        <v>0</v>
      </c>
      <c r="M2347" s="436"/>
      <c r="N2347" s="436"/>
      <c r="O2347" s="436"/>
      <c r="P2347" s="435">
        <f t="shared" si="379"/>
        <v>0</v>
      </c>
      <c r="Q2347" s="447"/>
      <c r="R2347" s="447"/>
      <c r="S2347" s="447"/>
      <c r="T2347" s="432">
        <f t="shared" si="365"/>
        <v>0</v>
      </c>
    </row>
    <row r="2348" spans="1:20" ht="22.2" hidden="1" customHeight="1">
      <c r="A2348" s="379"/>
      <c r="B2348" s="495" t="s">
        <v>1474</v>
      </c>
      <c r="C2348" s="411" t="str">
        <f t="shared" si="368"/>
        <v xml:space="preserve"> </v>
      </c>
      <c r="D2348" s="556">
        <v>0.08</v>
      </c>
      <c r="E2348" s="422" t="str">
        <f>VLOOKUP($B2348,[1]DG!A:D,[1]DG!$B$2,)</f>
        <v>021351</v>
      </c>
      <c r="F2348" s="441" t="str">
        <f>VLOOKUP($B2348,[1]DG!A:D,[1]DG!$C$2,)</f>
        <v>Vận Chuyển thép</v>
      </c>
      <c r="G2348" s="422" t="str">
        <f>VLOOKUP($B2348,[1]DG!A:D,[1]DG!$D$2,)</f>
        <v>Tấn</v>
      </c>
      <c r="H2348" s="436">
        <f t="shared" si="375"/>
        <v>0</v>
      </c>
      <c r="I2348" s="436"/>
      <c r="J2348" s="436"/>
      <c r="K2348" s="436"/>
      <c r="L2348" s="436"/>
      <c r="M2348" s="436"/>
      <c r="N2348" s="436"/>
      <c r="O2348" s="436"/>
      <c r="P2348" s="435">
        <f t="shared" si="379"/>
        <v>0</v>
      </c>
      <c r="Q2348" s="447"/>
      <c r="R2348" s="447"/>
      <c r="S2348" s="447"/>
      <c r="T2348" s="432">
        <f t="shared" si="365"/>
        <v>0</v>
      </c>
    </row>
    <row r="2349" spans="1:20" ht="22.2" hidden="1" customHeight="1">
      <c r="A2349" s="423" t="s">
        <v>1483</v>
      </c>
      <c r="B2349" s="424" t="s">
        <v>1483</v>
      </c>
      <c r="C2349" s="425" t="str">
        <f t="shared" si="368"/>
        <v xml:space="preserve"> </v>
      </c>
      <c r="D2349" s="426"/>
      <c r="E2349" s="349"/>
      <c r="F2349" s="428" t="s">
        <v>1484</v>
      </c>
      <c r="G2349" s="349" t="s">
        <v>344</v>
      </c>
      <c r="H2349" s="429">
        <f>SUM(I2349:O2349)</f>
        <v>0</v>
      </c>
      <c r="I2349" s="430"/>
      <c r="J2349" s="430"/>
      <c r="K2349" s="430"/>
      <c r="L2349" s="430">
        <f>IFERROR(HLOOKUP(chitiet!B2349,[1]pp1p!$1:$3,3,0),0)</f>
        <v>0</v>
      </c>
      <c r="M2349" s="430"/>
      <c r="N2349" s="430"/>
      <c r="O2349" s="430"/>
      <c r="P2349" s="435">
        <f t="shared" si="379"/>
        <v>0</v>
      </c>
      <c r="Q2349" s="431"/>
      <c r="R2349" s="431"/>
      <c r="S2349" s="431"/>
      <c r="T2349" s="432">
        <f t="shared" ref="T2349:T2368" si="380">IFERROR(HLOOKUP(B2349,BangKeTru,3,0),0)</f>
        <v>0</v>
      </c>
    </row>
    <row r="2350" spans="1:20" ht="22.2" hidden="1" customHeight="1">
      <c r="A2350" s="379"/>
      <c r="B2350" s="495" t="s">
        <v>643</v>
      </c>
      <c r="C2350" s="411" t="str">
        <f t="shared" si="368"/>
        <v xml:space="preserve"> </v>
      </c>
      <c r="D2350" s="556">
        <v>398</v>
      </c>
      <c r="E2350" s="422"/>
      <c r="F2350" s="434" t="str">
        <f>VLOOKUP($B2350,[1]DG!A:D,[1]DG!$C$2,)</f>
        <v>Ximăng (PC40)</v>
      </c>
      <c r="G2350" s="422" t="str">
        <f>VLOOKUP($B2350,[1]DG!A:D,[1]DG!$D$2,)</f>
        <v>kg</v>
      </c>
      <c r="H2350" s="436">
        <f t="shared" ref="H2350:H2360" si="381">IF($H$2320&lt;&gt;0,D2350,)</f>
        <v>0</v>
      </c>
      <c r="I2350" s="436">
        <f t="shared" ref="I2350:I2357" si="382">$I$2320*D2350</f>
        <v>0</v>
      </c>
      <c r="J2350" s="436">
        <f t="shared" ref="J2350:J2357" si="383">$J$2320*D2350</f>
        <v>0</v>
      </c>
      <c r="K2350" s="436">
        <f t="shared" ref="K2350:K2357" si="384">$K$2320*D2350</f>
        <v>0</v>
      </c>
      <c r="L2350" s="436">
        <f t="shared" si="374"/>
        <v>0</v>
      </c>
      <c r="M2350" s="436"/>
      <c r="N2350" s="436"/>
      <c r="O2350" s="436"/>
      <c r="P2350" s="435">
        <f t="shared" si="379"/>
        <v>0</v>
      </c>
      <c r="Q2350" s="447"/>
      <c r="R2350" s="447"/>
      <c r="S2350" s="447"/>
      <c r="T2350" s="432">
        <f t="shared" si="380"/>
        <v>0</v>
      </c>
    </row>
    <row r="2351" spans="1:20" ht="22.2" hidden="1" customHeight="1">
      <c r="A2351" s="379"/>
      <c r="B2351" s="449" t="s">
        <v>389</v>
      </c>
      <c r="C2351" s="411" t="str">
        <f t="shared" si="368"/>
        <v xml:space="preserve"> </v>
      </c>
      <c r="D2351" s="556">
        <v>0.81</v>
      </c>
      <c r="E2351" s="422"/>
      <c r="F2351" s="434" t="str">
        <f>VLOOKUP($B2351,[1]DG!A:D,[1]DG!$C$2,)</f>
        <v>Cát vàng</v>
      </c>
      <c r="G2351" s="422" t="str">
        <f>VLOOKUP($B2351,[1]DG!A:D,[1]DG!$D$2,)</f>
        <v>m3</v>
      </c>
      <c r="H2351" s="436">
        <f t="shared" si="381"/>
        <v>0</v>
      </c>
      <c r="I2351" s="436">
        <f t="shared" si="382"/>
        <v>0</v>
      </c>
      <c r="J2351" s="436">
        <f t="shared" si="383"/>
        <v>0</v>
      </c>
      <c r="K2351" s="436">
        <f t="shared" si="384"/>
        <v>0</v>
      </c>
      <c r="L2351" s="436">
        <f t="shared" si="374"/>
        <v>0</v>
      </c>
      <c r="M2351" s="436"/>
      <c r="N2351" s="436"/>
      <c r="O2351" s="436"/>
      <c r="P2351" s="435">
        <f t="shared" si="379"/>
        <v>0</v>
      </c>
      <c r="Q2351" s="447"/>
      <c r="R2351" s="447"/>
      <c r="S2351" s="447"/>
      <c r="T2351" s="432">
        <f t="shared" si="380"/>
        <v>0</v>
      </c>
    </row>
    <row r="2352" spans="1:20" ht="22.2" hidden="1" customHeight="1">
      <c r="A2352" s="379"/>
      <c r="B2352" s="495" t="s">
        <v>1485</v>
      </c>
      <c r="C2352" s="411" t="str">
        <f t="shared" si="368"/>
        <v xml:space="preserve"> </v>
      </c>
      <c r="D2352" s="556">
        <v>0.85</v>
      </c>
      <c r="E2352" s="422"/>
      <c r="F2352" s="434" t="str">
        <f>VLOOKUP($B2352,[1]DG!A:D,[1]DG!$C$2,)</f>
        <v>Đá 1x2</v>
      </c>
      <c r="G2352" s="422" t="str">
        <f>VLOOKUP($B2352,[1]DG!A:D,[1]DG!$D$2,)</f>
        <v>m3</v>
      </c>
      <c r="H2352" s="436">
        <f t="shared" si="381"/>
        <v>0</v>
      </c>
      <c r="I2352" s="436">
        <f t="shared" si="382"/>
        <v>0</v>
      </c>
      <c r="J2352" s="436">
        <f t="shared" si="383"/>
        <v>0</v>
      </c>
      <c r="K2352" s="436">
        <f t="shared" si="384"/>
        <v>0</v>
      </c>
      <c r="L2352" s="436">
        <f t="shared" si="374"/>
        <v>0</v>
      </c>
      <c r="M2352" s="436"/>
      <c r="N2352" s="436"/>
      <c r="O2352" s="436"/>
      <c r="P2352" s="435">
        <f t="shared" si="379"/>
        <v>0</v>
      </c>
      <c r="Q2352" s="447"/>
      <c r="R2352" s="447"/>
      <c r="S2352" s="447"/>
      <c r="T2352" s="432">
        <f t="shared" si="380"/>
        <v>0</v>
      </c>
    </row>
    <row r="2353" spans="1:20" ht="22.2" hidden="1" customHeight="1">
      <c r="A2353" s="379"/>
      <c r="B2353" s="495" t="s">
        <v>1486</v>
      </c>
      <c r="C2353" s="411" t="str">
        <f t="shared" si="368"/>
        <v xml:space="preserve"> </v>
      </c>
      <c r="D2353" s="556">
        <v>0.13</v>
      </c>
      <c r="E2353" s="422"/>
      <c r="F2353" s="434" t="str">
        <f>VLOOKUP($B2353,[1]DG!A:D,[1]DG!$C$2,)</f>
        <v>Đá 4x6</v>
      </c>
      <c r="G2353" s="422" t="str">
        <f>VLOOKUP($B2353,[1]DG!A:D,[1]DG!$D$2,)</f>
        <v>m3</v>
      </c>
      <c r="H2353" s="436">
        <f t="shared" si="381"/>
        <v>0</v>
      </c>
      <c r="I2353" s="436">
        <f t="shared" si="382"/>
        <v>0</v>
      </c>
      <c r="J2353" s="436">
        <f t="shared" si="383"/>
        <v>0</v>
      </c>
      <c r="K2353" s="436">
        <f t="shared" si="384"/>
        <v>0</v>
      </c>
      <c r="L2353" s="436">
        <f t="shared" si="374"/>
        <v>0</v>
      </c>
      <c r="M2353" s="436"/>
      <c r="N2353" s="436"/>
      <c r="O2353" s="436"/>
      <c r="P2353" s="435">
        <f t="shared" si="379"/>
        <v>0</v>
      </c>
      <c r="Q2353" s="447"/>
      <c r="R2353" s="447"/>
      <c r="S2353" s="447"/>
      <c r="T2353" s="432">
        <f t="shared" si="380"/>
        <v>0</v>
      </c>
    </row>
    <row r="2354" spans="1:20" ht="22.2" hidden="1" customHeight="1">
      <c r="A2354" s="379"/>
      <c r="B2354" s="495" t="s">
        <v>1487</v>
      </c>
      <c r="C2354" s="411" t="str">
        <f t="shared" si="368"/>
        <v xml:space="preserve"> </v>
      </c>
      <c r="D2354" s="556">
        <v>0.5</v>
      </c>
      <c r="E2354" s="422"/>
      <c r="F2354" s="434" t="str">
        <f>VLOOKUP($B2354,[1]DG!A:D,[1]DG!$C$2,)</f>
        <v>Nước đổ bê tông</v>
      </c>
      <c r="G2354" s="422" t="str">
        <f>VLOOKUP($B2354,[1]DG!A:D,[1]DG!$D$2,)</f>
        <v>m3</v>
      </c>
      <c r="H2354" s="436">
        <f t="shared" si="381"/>
        <v>0</v>
      </c>
      <c r="I2354" s="436">
        <f t="shared" si="382"/>
        <v>0</v>
      </c>
      <c r="J2354" s="436">
        <f t="shared" si="383"/>
        <v>0</v>
      </c>
      <c r="K2354" s="436">
        <f t="shared" si="384"/>
        <v>0</v>
      </c>
      <c r="L2354" s="436">
        <f t="shared" si="374"/>
        <v>0</v>
      </c>
      <c r="M2354" s="436"/>
      <c r="N2354" s="436"/>
      <c r="O2354" s="436"/>
      <c r="P2354" s="435">
        <f t="shared" si="379"/>
        <v>0</v>
      </c>
      <c r="Q2354" s="447"/>
      <c r="R2354" s="447"/>
      <c r="S2354" s="447"/>
      <c r="T2354" s="432">
        <f t="shared" si="380"/>
        <v>0</v>
      </c>
    </row>
    <row r="2355" spans="1:20" ht="22.2" hidden="1" customHeight="1">
      <c r="A2355" s="379"/>
      <c r="B2355" s="495" t="s">
        <v>1488</v>
      </c>
      <c r="C2355" s="411" t="str">
        <f t="shared" si="368"/>
        <v xml:space="preserve"> </v>
      </c>
      <c r="D2355" s="556">
        <v>0.14000000000000001</v>
      </c>
      <c r="E2355" s="422"/>
      <c r="F2355" s="441" t="str">
        <f>VLOOKUP($B2355,[1]DG!A:D,[1]DG!$C$2,)</f>
        <v>Dây thép buộc A70</v>
      </c>
      <c r="G2355" s="422" t="str">
        <f>VLOOKUP($B2355,[1]DG!A:D,[1]DG!$D$2,)</f>
        <v>kg</v>
      </c>
      <c r="H2355" s="436">
        <f t="shared" si="381"/>
        <v>0</v>
      </c>
      <c r="I2355" s="436">
        <f t="shared" si="382"/>
        <v>0</v>
      </c>
      <c r="J2355" s="436">
        <f t="shared" si="383"/>
        <v>0</v>
      </c>
      <c r="K2355" s="436">
        <f t="shared" si="384"/>
        <v>0</v>
      </c>
      <c r="L2355" s="436">
        <f t="shared" si="374"/>
        <v>0</v>
      </c>
      <c r="M2355" s="436"/>
      <c r="N2355" s="436"/>
      <c r="O2355" s="436"/>
      <c r="P2355" s="435">
        <f t="shared" si="379"/>
        <v>0</v>
      </c>
      <c r="Q2355" s="447"/>
      <c r="R2355" s="447"/>
      <c r="S2355" s="447"/>
      <c r="T2355" s="432">
        <f t="shared" si="380"/>
        <v>0</v>
      </c>
    </row>
    <row r="2356" spans="1:20" ht="22.2" hidden="1" customHeight="1">
      <c r="A2356" s="379"/>
      <c r="B2356" s="495" t="s">
        <v>644</v>
      </c>
      <c r="C2356" s="411" t="str">
        <f t="shared" si="368"/>
        <v xml:space="preserve"> </v>
      </c>
      <c r="D2356" s="556">
        <v>16</v>
      </c>
      <c r="E2356" s="422"/>
      <c r="F2356" s="441" t="str">
        <f>VLOOKUP($B2356,[1]DG!A:D,[1]DG!$C$2,)</f>
        <v>Sắt Ø8</v>
      </c>
      <c r="G2356" s="422" t="str">
        <f>VLOOKUP($B2356,[1]DG!A:D,[1]DG!$D$2,)</f>
        <v>kg</v>
      </c>
      <c r="H2356" s="436">
        <f t="shared" si="381"/>
        <v>0</v>
      </c>
      <c r="I2356" s="436">
        <f t="shared" si="382"/>
        <v>0</v>
      </c>
      <c r="J2356" s="436">
        <f t="shared" si="383"/>
        <v>0</v>
      </c>
      <c r="K2356" s="436">
        <f t="shared" si="384"/>
        <v>0</v>
      </c>
      <c r="L2356" s="436">
        <f t="shared" si="374"/>
        <v>0</v>
      </c>
      <c r="M2356" s="436"/>
      <c r="N2356" s="436"/>
      <c r="O2356" s="436"/>
      <c r="P2356" s="435">
        <f t="shared" si="379"/>
        <v>0</v>
      </c>
      <c r="Q2356" s="447"/>
      <c r="R2356" s="447"/>
      <c r="S2356" s="447"/>
      <c r="T2356" s="432">
        <f t="shared" si="380"/>
        <v>0</v>
      </c>
    </row>
    <row r="2357" spans="1:20" ht="22.2" hidden="1" customHeight="1">
      <c r="A2357" s="379"/>
      <c r="B2357" s="495" t="s">
        <v>1489</v>
      </c>
      <c r="C2357" s="411" t="str">
        <f t="shared" si="368"/>
        <v xml:space="preserve"> </v>
      </c>
      <c r="D2357" s="556">
        <v>36</v>
      </c>
      <c r="E2357" s="422" t="str">
        <f>VLOOKUP($B2357,[1]DG!A:D,[1]DG!$B$2,)</f>
        <v>04.5142</v>
      </c>
      <c r="F2357" s="441" t="str">
        <f>VLOOKUP($B2357,[1]DG!A:D,[1]DG!$C$2,)</f>
        <v>Cừ tràm 2,5m</v>
      </c>
      <c r="G2357" s="422" t="str">
        <f>VLOOKUP($B2357,[1]DG!A:D,[1]DG!$D$2,)</f>
        <v>cây</v>
      </c>
      <c r="H2357" s="436">
        <f t="shared" si="381"/>
        <v>0</v>
      </c>
      <c r="I2357" s="436">
        <f t="shared" si="382"/>
        <v>0</v>
      </c>
      <c r="J2357" s="436">
        <f t="shared" si="383"/>
        <v>0</v>
      </c>
      <c r="K2357" s="436">
        <f t="shared" si="384"/>
        <v>0</v>
      </c>
      <c r="L2357" s="436">
        <f t="shared" si="374"/>
        <v>0</v>
      </c>
      <c r="M2357" s="436"/>
      <c r="N2357" s="436"/>
      <c r="O2357" s="436"/>
      <c r="P2357" s="435">
        <f t="shared" si="379"/>
        <v>0</v>
      </c>
      <c r="Q2357" s="447"/>
      <c r="R2357" s="447"/>
      <c r="S2357" s="447"/>
      <c r="T2357" s="432">
        <f t="shared" si="380"/>
        <v>0</v>
      </c>
    </row>
    <row r="2358" spans="1:20" ht="22.2" hidden="1" customHeight="1">
      <c r="A2358" s="379"/>
      <c r="B2358" s="495" t="s">
        <v>1490</v>
      </c>
      <c r="C2358" s="411" t="str">
        <f t="shared" si="368"/>
        <v xml:space="preserve"> </v>
      </c>
      <c r="D2358" s="556">
        <v>15</v>
      </c>
      <c r="E2358" s="422" t="str">
        <f>VLOOKUP($B2358,[1]DG!A:D,[1]DG!$B$2,)</f>
        <v>03.1112</v>
      </c>
      <c r="F2358" s="434" t="str">
        <f>VLOOKUP($B2358,[1]DG!A:D,[1]DG!$C$2,)</f>
        <v>Đào hố móng đất cấp 2 sâu &gt;1m</v>
      </c>
      <c r="G2358" s="422" t="str">
        <f>VLOOKUP($B2358,[1]DG!A:D,[1]DG!$D$2,)</f>
        <v>m3</v>
      </c>
      <c r="H2358" s="436">
        <f t="shared" si="381"/>
        <v>0</v>
      </c>
      <c r="I2358" s="436"/>
      <c r="J2358" s="436"/>
      <c r="K2358" s="436"/>
      <c r="L2358" s="436"/>
      <c r="M2358" s="436"/>
      <c r="N2358" s="436"/>
      <c r="O2358" s="436"/>
      <c r="P2358" s="435">
        <f t="shared" si="379"/>
        <v>0</v>
      </c>
      <c r="Q2358" s="447"/>
      <c r="R2358" s="447"/>
      <c r="S2358" s="447"/>
      <c r="T2358" s="432">
        <f t="shared" si="380"/>
        <v>0</v>
      </c>
    </row>
    <row r="2359" spans="1:20" ht="22.2" hidden="1" customHeight="1">
      <c r="A2359" s="379"/>
      <c r="B2359" s="495" t="s">
        <v>1491</v>
      </c>
      <c r="C2359" s="411" t="str">
        <f t="shared" si="368"/>
        <v xml:space="preserve"> </v>
      </c>
      <c r="D2359" s="556">
        <v>15</v>
      </c>
      <c r="E2359" s="422" t="str">
        <f>VLOOKUP($B2359,[1]DG!A:D,[1]DG!$B$2,)</f>
        <v>03.2202</v>
      </c>
      <c r="F2359" s="434" t="str">
        <f>VLOOKUP($B2359,[1]DG!A:D,[1]DG!$C$2,)</f>
        <v>Đắp đất hố móng, đất cấp 2</v>
      </c>
      <c r="G2359" s="422" t="str">
        <f>VLOOKUP($B2359,[1]DG!A:D,[1]DG!$D$2,)</f>
        <v>m3</v>
      </c>
      <c r="H2359" s="436">
        <f t="shared" si="381"/>
        <v>0</v>
      </c>
      <c r="I2359" s="436"/>
      <c r="J2359" s="436"/>
      <c r="K2359" s="436"/>
      <c r="L2359" s="436"/>
      <c r="M2359" s="436"/>
      <c r="N2359" s="436"/>
      <c r="O2359" s="436"/>
      <c r="P2359" s="435">
        <f t="shared" si="379"/>
        <v>0</v>
      </c>
      <c r="Q2359" s="447"/>
      <c r="R2359" s="447"/>
      <c r="S2359" s="447"/>
      <c r="T2359" s="432">
        <f t="shared" si="380"/>
        <v>0</v>
      </c>
    </row>
    <row r="2360" spans="1:20" ht="22.2" hidden="1" customHeight="1">
      <c r="A2360" s="379"/>
      <c r="B2360" s="495" t="s">
        <v>771</v>
      </c>
      <c r="C2360" s="411" t="str">
        <f t="shared" si="368"/>
        <v xml:space="preserve"> </v>
      </c>
      <c r="D2360" s="556">
        <v>0.14399999999999999</v>
      </c>
      <c r="E2360" s="422" t="str">
        <f>VLOOKUP($B2360,[1]DG!A:D,[1]DG!$B$2,)</f>
        <v>04.3112</v>
      </c>
      <c r="F2360" s="434" t="str">
        <f>VLOOKUP($B2360,[1]DG!A:D,[1]DG!$C$2,)</f>
        <v>Đổ bê tông mác M100 đá 4x6</v>
      </c>
      <c r="G2360" s="422" t="str">
        <f>VLOOKUP($B2360,[1]DG!A:D,[1]DG!$D$2,)</f>
        <v>m3</v>
      </c>
      <c r="H2360" s="436">
        <f t="shared" si="381"/>
        <v>0</v>
      </c>
      <c r="I2360" s="436"/>
      <c r="J2360" s="436"/>
      <c r="K2360" s="436"/>
      <c r="L2360" s="436"/>
      <c r="M2360" s="436"/>
      <c r="N2360" s="436"/>
      <c r="O2360" s="436"/>
      <c r="P2360" s="435">
        <f t="shared" si="379"/>
        <v>0</v>
      </c>
      <c r="Q2360" s="447"/>
      <c r="R2360" s="447"/>
      <c r="S2360" s="447"/>
      <c r="T2360" s="432">
        <f t="shared" si="380"/>
        <v>0</v>
      </c>
    </row>
    <row r="2361" spans="1:20" ht="22.2" hidden="1" customHeight="1">
      <c r="A2361" s="379"/>
      <c r="B2361" s="495" t="s">
        <v>654</v>
      </c>
      <c r="C2361" s="411" t="str">
        <f t="shared" si="368"/>
        <v xml:space="preserve"> </v>
      </c>
      <c r="D2361" s="556">
        <v>1</v>
      </c>
      <c r="E2361" s="422" t="str">
        <f>VLOOKUP($B2361,[1]DG!A:D,[1]DG!$B$2,)</f>
        <v>04.1203c</v>
      </c>
      <c r="F2361" s="434" t="str">
        <f>VLOOKUP($B2361,[1]DG!A:D,[1]DG!$C$2,)</f>
        <v>Đổ bê tông móng trụ &lt;=250cm-M200 đá 1x2</v>
      </c>
      <c r="G2361" s="422" t="str">
        <f>VLOOKUP($B2361,[1]DG!A:D,[1]DG!$D$2,)</f>
        <v>m3</v>
      </c>
      <c r="H2361" s="436"/>
      <c r="I2361" s="436"/>
      <c r="J2361" s="436"/>
      <c r="K2361" s="436"/>
      <c r="L2361" s="436"/>
      <c r="M2361" s="436"/>
      <c r="N2361" s="436"/>
      <c r="O2361" s="436"/>
      <c r="P2361" s="435">
        <f t="shared" si="379"/>
        <v>0</v>
      </c>
      <c r="Q2361" s="447"/>
      <c r="R2361" s="447"/>
      <c r="S2361" s="447"/>
      <c r="T2361" s="432">
        <f t="shared" si="380"/>
        <v>0</v>
      </c>
    </row>
    <row r="2362" spans="1:20" ht="22.2" hidden="1" customHeight="1">
      <c r="A2362" s="379"/>
      <c r="B2362" s="495" t="s">
        <v>649</v>
      </c>
      <c r="C2362" s="411" t="str">
        <f t="shared" si="368"/>
        <v xml:space="preserve"> </v>
      </c>
      <c r="D2362" s="556">
        <v>17</v>
      </c>
      <c r="E2362" s="422" t="str">
        <f>VLOOKUP($B2362,[1]DG!A:D,[1]DG!$B$2,)</f>
        <v>04.5101</v>
      </c>
      <c r="F2362" s="434" t="str">
        <f>VLOOKUP($B2362,[1]DG!A:D,[1]DG!$C$2,)</f>
        <v>Gia công và lắp dựng cốt thép D&lt;=10</v>
      </c>
      <c r="G2362" s="422" t="str">
        <f>VLOOKUP($B2362,[1]DG!A:D,[1]DG!$D$2,)</f>
        <v>kg</v>
      </c>
      <c r="H2362" s="436"/>
      <c r="I2362" s="436"/>
      <c r="J2362" s="436"/>
      <c r="K2362" s="436"/>
      <c r="L2362" s="436"/>
      <c r="M2362" s="436"/>
      <c r="N2362" s="436"/>
      <c r="O2362" s="436"/>
      <c r="P2362" s="435">
        <f t="shared" si="379"/>
        <v>0</v>
      </c>
      <c r="Q2362" s="447"/>
      <c r="R2362" s="447"/>
      <c r="S2362" s="447"/>
      <c r="T2362" s="432">
        <f t="shared" si="380"/>
        <v>0</v>
      </c>
    </row>
    <row r="2363" spans="1:20" ht="22.2" hidden="1" customHeight="1">
      <c r="A2363" s="379"/>
      <c r="B2363" s="495" t="s">
        <v>774</v>
      </c>
      <c r="C2363" s="411" t="str">
        <f t="shared" si="368"/>
        <v xml:space="preserve"> </v>
      </c>
      <c r="D2363" s="556">
        <v>0.14399999999999999</v>
      </c>
      <c r="E2363" s="422" t="str">
        <f>VLOOKUP($B2363,[1]DG!A:D,[1]DG!$B$2,)</f>
        <v>04.2001</v>
      </c>
      <c r="F2363" s="434" t="str">
        <f>VLOOKUP($B2363,[1]DG!A:D,[1]DG!$C$2,)</f>
        <v>Gia công và lắp dựng ván khuôn</v>
      </c>
      <c r="G2363" s="422" t="str">
        <f>VLOOKUP($B2363,[1]DG!A:D,[1]DG!$D$2,)</f>
        <v>m2</v>
      </c>
      <c r="H2363" s="436"/>
      <c r="I2363" s="436"/>
      <c r="J2363" s="436"/>
      <c r="K2363" s="436"/>
      <c r="L2363" s="436"/>
      <c r="M2363" s="436"/>
      <c r="N2363" s="436"/>
      <c r="O2363" s="436"/>
      <c r="P2363" s="435">
        <f t="shared" si="379"/>
        <v>0</v>
      </c>
      <c r="Q2363" s="447"/>
      <c r="R2363" s="447"/>
      <c r="S2363" s="447"/>
      <c r="T2363" s="432">
        <f t="shared" si="380"/>
        <v>0</v>
      </c>
    </row>
    <row r="2364" spans="1:20" ht="22.2" hidden="1" customHeight="1">
      <c r="A2364" s="379"/>
      <c r="B2364" s="495" t="s">
        <v>1492</v>
      </c>
      <c r="C2364" s="411" t="str">
        <f t="shared" si="368"/>
        <v xml:space="preserve"> </v>
      </c>
      <c r="D2364" s="445">
        <v>0.4</v>
      </c>
      <c r="E2364" s="422" t="str">
        <f>VLOOKUP($B2364,[1]DG!A:C,2,)</f>
        <v>02.1211</v>
      </c>
      <c r="F2364" s="434" t="str">
        <f>VLOOKUP($B2364,[1]DG!A:C,3,)</f>
        <v>V/c xi măng ( cự ly &lt;=100m)</v>
      </c>
      <c r="G2364" s="422" t="str">
        <f>VLOOKUP($B2364,[1]DG!A:D,4,0)</f>
        <v>tấn</v>
      </c>
      <c r="H2364" s="436"/>
      <c r="I2364" s="436"/>
      <c r="J2364" s="436"/>
      <c r="K2364" s="436"/>
      <c r="L2364" s="436"/>
      <c r="M2364" s="436"/>
      <c r="N2364" s="436"/>
      <c r="O2364" s="436"/>
      <c r="P2364" s="435">
        <f t="shared" si="379"/>
        <v>0</v>
      </c>
      <c r="Q2364" s="444"/>
      <c r="R2364" s="444"/>
      <c r="S2364" s="444"/>
      <c r="T2364" s="432">
        <f t="shared" si="380"/>
        <v>0</v>
      </c>
    </row>
    <row r="2365" spans="1:20" ht="22.2" hidden="1" customHeight="1">
      <c r="A2365" s="379"/>
      <c r="B2365" s="495" t="s">
        <v>776</v>
      </c>
      <c r="C2365" s="411" t="str">
        <f t="shared" si="368"/>
        <v xml:space="preserve"> </v>
      </c>
      <c r="D2365" s="445">
        <v>0.81</v>
      </c>
      <c r="E2365" s="422">
        <f>VLOOKUP($B2365,[1]DG!A:C,2,)</f>
        <v>0</v>
      </c>
      <c r="F2365" s="434" t="str">
        <f>VLOOKUP($B2365,[1]DG!A:C,3,)</f>
        <v>Cát vàng</v>
      </c>
      <c r="G2365" s="422" t="str">
        <f>VLOOKUP($B2365,[1]DG!A:D,4,0)</f>
        <v>m3</v>
      </c>
      <c r="H2365" s="436"/>
      <c r="I2365" s="436"/>
      <c r="J2365" s="436"/>
      <c r="K2365" s="436"/>
      <c r="L2365" s="436"/>
      <c r="M2365" s="436"/>
      <c r="N2365" s="436"/>
      <c r="O2365" s="436"/>
      <c r="P2365" s="435">
        <f t="shared" si="379"/>
        <v>0</v>
      </c>
      <c r="Q2365" s="444"/>
      <c r="R2365" s="444"/>
      <c r="S2365" s="444"/>
      <c r="T2365" s="432">
        <f t="shared" si="380"/>
        <v>0</v>
      </c>
    </row>
    <row r="2366" spans="1:20" ht="22.2" hidden="1" customHeight="1">
      <c r="A2366" s="379"/>
      <c r="B2366" s="495" t="s">
        <v>775</v>
      </c>
      <c r="C2366" s="411" t="str">
        <f t="shared" si="368"/>
        <v xml:space="preserve"> </v>
      </c>
      <c r="D2366" s="445">
        <v>0.02</v>
      </c>
      <c r="E2366" s="422" t="str">
        <f>VLOOKUP($B2366,[1]DG!A:C,2,)</f>
        <v>02.1351</v>
      </c>
      <c r="F2366" s="434" t="str">
        <f>VLOOKUP($B2366,[1]DG!A:C,3,)</f>
        <v>V/c cốt thép ( cự ly &lt;=100m)</v>
      </c>
      <c r="G2366" s="422" t="str">
        <f>VLOOKUP($B2366,[1]DG!A:D,4,0)</f>
        <v>tấn</v>
      </c>
      <c r="H2366" s="436"/>
      <c r="I2366" s="436"/>
      <c r="J2366" s="436"/>
      <c r="K2366" s="436"/>
      <c r="L2366" s="436"/>
      <c r="M2366" s="436"/>
      <c r="N2366" s="436"/>
      <c r="O2366" s="436"/>
      <c r="P2366" s="435">
        <f t="shared" si="379"/>
        <v>0</v>
      </c>
      <c r="Q2366" s="444"/>
      <c r="R2366" s="444"/>
      <c r="S2366" s="444"/>
      <c r="T2366" s="432">
        <f t="shared" si="380"/>
        <v>0</v>
      </c>
    </row>
    <row r="2367" spans="1:20" ht="22.2" hidden="1" customHeight="1">
      <c r="A2367" s="379"/>
      <c r="B2367" s="495" t="s">
        <v>1493</v>
      </c>
      <c r="C2367" s="411" t="str">
        <f t="shared" si="368"/>
        <v xml:space="preserve"> </v>
      </c>
      <c r="D2367" s="557">
        <v>0.98</v>
      </c>
      <c r="E2367" s="558" t="str">
        <f>VLOOKUP($B2367,[1]DG!A:C,2,)</f>
        <v>02.1241</v>
      </c>
      <c r="F2367" s="559" t="str">
        <f>VLOOKUP($B2367,[1]DG!A:C,3,)</f>
        <v>V/c đá dăm ( cự ly &lt;=100m)</v>
      </c>
      <c r="G2367" s="246" t="str">
        <f>VLOOKUP($B2367,[1]DG!A:D,4,0)</f>
        <v>m3</v>
      </c>
      <c r="H2367" s="560"/>
      <c r="I2367" s="560"/>
      <c r="J2367" s="560"/>
      <c r="K2367" s="560"/>
      <c r="L2367" s="560"/>
      <c r="M2367" s="560"/>
      <c r="N2367" s="560"/>
      <c r="O2367" s="560"/>
      <c r="P2367" s="435">
        <f t="shared" si="379"/>
        <v>0</v>
      </c>
      <c r="Q2367" s="561"/>
      <c r="R2367" s="561"/>
      <c r="S2367" s="561"/>
      <c r="T2367" s="432">
        <f t="shared" si="380"/>
        <v>0</v>
      </c>
    </row>
    <row r="2368" spans="1:20" ht="16.2" hidden="1">
      <c r="B2368" s="562"/>
      <c r="C2368" s="400" t="s">
        <v>52</v>
      </c>
      <c r="D2368" s="412"/>
      <c r="E2368" s="413"/>
      <c r="F2368" s="414"/>
      <c r="G2368" s="413"/>
      <c r="H2368" s="413"/>
      <c r="I2368" s="413"/>
      <c r="J2368" s="413"/>
      <c r="K2368" s="413"/>
      <c r="L2368" s="413"/>
      <c r="M2368" s="413"/>
      <c r="N2368" s="413"/>
      <c r="O2368" s="413"/>
      <c r="P2368" s="413"/>
      <c r="Q2368" s="413"/>
      <c r="R2368" s="413"/>
      <c r="S2368" s="413"/>
      <c r="T2368" s="432">
        <f t="shared" si="380"/>
        <v>0</v>
      </c>
    </row>
    <row r="2369" spans="1:20" ht="16.2" hidden="1">
      <c r="A2369" s="379"/>
      <c r="C2369" s="400"/>
      <c r="D2369" s="501"/>
      <c r="T2369" s="379"/>
    </row>
    <row r="2370" spans="1:20" ht="16.2">
      <c r="D2370" s="501"/>
    </row>
    <row r="2371" spans="1:20" ht="16.2">
      <c r="D2371" s="501"/>
    </row>
    <row r="2372" spans="1:20" ht="16.2">
      <c r="D2372" s="501"/>
    </row>
    <row r="2373" spans="1:20" ht="16.2">
      <c r="D2373" s="501"/>
    </row>
    <row r="2374" spans="1:20" ht="16.2">
      <c r="D2374" s="501"/>
      <c r="F2374" s="564"/>
    </row>
    <row r="2375" spans="1:20" ht="16.8">
      <c r="D2375" s="501"/>
      <c r="F2375" s="565"/>
    </row>
    <row r="2376" spans="1:20" ht="16.2">
      <c r="D2376" s="501"/>
    </row>
    <row r="2377" spans="1:20" ht="16.2">
      <c r="D2377" s="501"/>
    </row>
    <row r="2378" spans="1:20" ht="16.2">
      <c r="D2378" s="501"/>
    </row>
    <row r="2379" spans="1:20" ht="16.2">
      <c r="D2379" s="501"/>
    </row>
    <row r="2380" spans="1:20" ht="16.2">
      <c r="D2380" s="501"/>
    </row>
    <row r="2381" spans="1:20" ht="16.2">
      <c r="D2381" s="501"/>
    </row>
    <row r="2382" spans="1:20" ht="16.2">
      <c r="D2382" s="501"/>
    </row>
    <row r="2383" spans="1:20" ht="16.2">
      <c r="D2383" s="501"/>
    </row>
    <row r="2384" spans="1:20" ht="16.2">
      <c r="D2384" s="501"/>
    </row>
    <row r="2385" spans="4:4" ht="16.2">
      <c r="D2385" s="501"/>
    </row>
    <row r="2386" spans="4:4" ht="16.2">
      <c r="D2386" s="501"/>
    </row>
    <row r="2387" spans="4:4" ht="16.2">
      <c r="D2387" s="501"/>
    </row>
    <row r="2388" spans="4:4" ht="16.2">
      <c r="D2388" s="501"/>
    </row>
    <row r="2389" spans="4:4" ht="16.2">
      <c r="D2389" s="501"/>
    </row>
    <row r="2390" spans="4:4" ht="16.2">
      <c r="D2390" s="501"/>
    </row>
    <row r="2391" spans="4:4" ht="16.2">
      <c r="D2391" s="501"/>
    </row>
    <row r="2392" spans="4:4" ht="16.2">
      <c r="D2392" s="501"/>
    </row>
    <row r="2393" spans="4:4" ht="16.2">
      <c r="D2393" s="501"/>
    </row>
    <row r="2394" spans="4:4" ht="16.2">
      <c r="D2394" s="501"/>
    </row>
    <row r="2395" spans="4:4" ht="16.2">
      <c r="D2395" s="501"/>
    </row>
    <row r="2396" spans="4:4" ht="16.2">
      <c r="D2396" s="501"/>
    </row>
    <row r="2397" spans="4:4" ht="16.2">
      <c r="D2397" s="501"/>
    </row>
    <row r="2398" spans="4:4" ht="16.2">
      <c r="D2398" s="501"/>
    </row>
    <row r="2399" spans="4:4" ht="16.2">
      <c r="D2399" s="501"/>
    </row>
    <row r="2400" spans="4:4" ht="16.2">
      <c r="D2400" s="501"/>
    </row>
    <row r="2401" spans="4:4" ht="16.2">
      <c r="D2401" s="501"/>
    </row>
    <row r="2402" spans="4:4" ht="16.2">
      <c r="D2402" s="501"/>
    </row>
    <row r="2403" spans="4:4" ht="16.2">
      <c r="D2403" s="501"/>
    </row>
    <row r="2404" spans="4:4" ht="16.2">
      <c r="D2404" s="501"/>
    </row>
    <row r="2405" spans="4:4" ht="16.2">
      <c r="D2405" s="501"/>
    </row>
    <row r="2406" spans="4:4" ht="16.2">
      <c r="D2406" s="501"/>
    </row>
    <row r="2407" spans="4:4" ht="16.2">
      <c r="D2407" s="501"/>
    </row>
    <row r="2408" spans="4:4" ht="16.2">
      <c r="D2408" s="501"/>
    </row>
    <row r="2409" spans="4:4" ht="16.2">
      <c r="D2409" s="501"/>
    </row>
    <row r="2410" spans="4:4" ht="16.2">
      <c r="D2410" s="501"/>
    </row>
    <row r="2411" spans="4:4" ht="16.2">
      <c r="D2411" s="501"/>
    </row>
    <row r="2412" spans="4:4" ht="16.2">
      <c r="D2412" s="501"/>
    </row>
    <row r="2413" spans="4:4" ht="16.2">
      <c r="D2413" s="501"/>
    </row>
    <row r="2414" spans="4:4" ht="16.2">
      <c r="D2414" s="501"/>
    </row>
    <row r="2415" spans="4:4" ht="16.2">
      <c r="D2415" s="501"/>
    </row>
    <row r="2416" spans="4:4" ht="16.2">
      <c r="D2416" s="501"/>
    </row>
    <row r="2417" spans="4:4" ht="16.2">
      <c r="D2417" s="501"/>
    </row>
    <row r="2418" spans="4:4" ht="16.2">
      <c r="D2418" s="501"/>
    </row>
    <row r="2419" spans="4:4" ht="16.2">
      <c r="D2419" s="501"/>
    </row>
    <row r="2420" spans="4:4" ht="16.2">
      <c r="D2420" s="501"/>
    </row>
    <row r="2421" spans="4:4" ht="16.2">
      <c r="D2421" s="501"/>
    </row>
    <row r="2422" spans="4:4" ht="16.2">
      <c r="D2422" s="501"/>
    </row>
    <row r="2423" spans="4:4" ht="16.2">
      <c r="D2423" s="501"/>
    </row>
    <row r="2424" spans="4:4" ht="16.2">
      <c r="D2424" s="501"/>
    </row>
    <row r="2425" spans="4:4" ht="16.2">
      <c r="D2425" s="501"/>
    </row>
    <row r="2426" spans="4:4" ht="16.2">
      <c r="D2426" s="501"/>
    </row>
    <row r="2427" spans="4:4" ht="16.2">
      <c r="D2427" s="501"/>
    </row>
    <row r="2428" spans="4:4" ht="16.2">
      <c r="D2428" s="501"/>
    </row>
    <row r="2429" spans="4:4" ht="16.2">
      <c r="D2429" s="501"/>
    </row>
    <row r="2430" spans="4:4" ht="16.2">
      <c r="D2430" s="501"/>
    </row>
    <row r="2431" spans="4:4" ht="16.2">
      <c r="D2431" s="501"/>
    </row>
    <row r="2432" spans="4:4" ht="16.2">
      <c r="D2432" s="501"/>
    </row>
    <row r="2433" spans="4:4" ht="16.2">
      <c r="D2433" s="501"/>
    </row>
    <row r="2434" spans="4:4" ht="16.2">
      <c r="D2434" s="501"/>
    </row>
    <row r="2435" spans="4:4" ht="16.2">
      <c r="D2435" s="501"/>
    </row>
    <row r="2436" spans="4:4" ht="16.2">
      <c r="D2436" s="501"/>
    </row>
    <row r="2437" spans="4:4" ht="16.2">
      <c r="D2437" s="501"/>
    </row>
    <row r="2438" spans="4:4" ht="16.2">
      <c r="D2438" s="501"/>
    </row>
    <row r="2439" spans="4:4" ht="16.2">
      <c r="D2439" s="501"/>
    </row>
    <row r="2440" spans="4:4" ht="16.2">
      <c r="D2440" s="501"/>
    </row>
    <row r="2441" spans="4:4" ht="16.2">
      <c r="D2441" s="501"/>
    </row>
    <row r="2442" spans="4:4" ht="16.2">
      <c r="D2442" s="501"/>
    </row>
    <row r="2443" spans="4:4" ht="16.2">
      <c r="D2443" s="501"/>
    </row>
    <row r="2444" spans="4:4" ht="16.2">
      <c r="D2444" s="501"/>
    </row>
    <row r="2445" spans="4:4" ht="16.2">
      <c r="D2445" s="501"/>
    </row>
    <row r="2446" spans="4:4" ht="16.2">
      <c r="D2446" s="501"/>
    </row>
    <row r="2447" spans="4:4" ht="16.2">
      <c r="D2447" s="501"/>
    </row>
    <row r="2448" spans="4:4" ht="16.2">
      <c r="D2448" s="501"/>
    </row>
    <row r="2449" spans="4:4" ht="16.2">
      <c r="D2449" s="501"/>
    </row>
    <row r="2450" spans="4:4" ht="16.2">
      <c r="D2450" s="501"/>
    </row>
    <row r="2451" spans="4:4" ht="16.2">
      <c r="D2451" s="501"/>
    </row>
    <row r="2452" spans="4:4" ht="16.2">
      <c r="D2452" s="501"/>
    </row>
    <row r="2453" spans="4:4" ht="16.2">
      <c r="D2453" s="501"/>
    </row>
    <row r="2454" spans="4:4" ht="16.2">
      <c r="D2454" s="501"/>
    </row>
    <row r="2455" spans="4:4" ht="16.2">
      <c r="D2455" s="501"/>
    </row>
    <row r="2456" spans="4:4" ht="16.2">
      <c r="D2456" s="501"/>
    </row>
    <row r="2457" spans="4:4" ht="16.2">
      <c r="D2457" s="501"/>
    </row>
    <row r="2458" spans="4:4" ht="16.2">
      <c r="D2458" s="501"/>
    </row>
    <row r="2459" spans="4:4" ht="16.2">
      <c r="D2459" s="501"/>
    </row>
    <row r="2460" spans="4:4" ht="16.2">
      <c r="D2460" s="501"/>
    </row>
    <row r="2461" spans="4:4" ht="16.2">
      <c r="D2461" s="501"/>
    </row>
    <row r="2462" spans="4:4" ht="16.2">
      <c r="D2462" s="501"/>
    </row>
    <row r="2463" spans="4:4" ht="16.2">
      <c r="D2463" s="501"/>
    </row>
    <row r="2464" spans="4:4" ht="16.2">
      <c r="D2464" s="501"/>
    </row>
    <row r="2465" spans="4:4" ht="16.2">
      <c r="D2465" s="501"/>
    </row>
    <row r="2466" spans="4:4" ht="16.2">
      <c r="D2466" s="501"/>
    </row>
    <row r="2467" spans="4:4" ht="16.2">
      <c r="D2467" s="501"/>
    </row>
    <row r="2468" spans="4:4" ht="16.2">
      <c r="D2468" s="501"/>
    </row>
    <row r="2469" spans="4:4" ht="16.2">
      <c r="D2469" s="501"/>
    </row>
    <row r="2470" spans="4:4" ht="16.2">
      <c r="D2470" s="501"/>
    </row>
    <row r="2471" spans="4:4" ht="16.2">
      <c r="D2471" s="501"/>
    </row>
    <row r="2472" spans="4:4" ht="16.2">
      <c r="D2472" s="501"/>
    </row>
    <row r="2473" spans="4:4" ht="16.2">
      <c r="D2473" s="501"/>
    </row>
    <row r="2474" spans="4:4" ht="16.2">
      <c r="D2474" s="501"/>
    </row>
    <row r="2475" spans="4:4" ht="16.2">
      <c r="D2475" s="501"/>
    </row>
    <row r="2476" spans="4:4" ht="16.2">
      <c r="D2476" s="501"/>
    </row>
    <row r="2477" spans="4:4" ht="16.2">
      <c r="D2477" s="501"/>
    </row>
    <row r="2478" spans="4:4" ht="16.2">
      <c r="D2478" s="501"/>
    </row>
    <row r="2479" spans="4:4" ht="16.2">
      <c r="D2479" s="501"/>
    </row>
    <row r="2480" spans="4:4" ht="16.2">
      <c r="D2480" s="501"/>
    </row>
    <row r="2481" spans="4:4" ht="16.2">
      <c r="D2481" s="501"/>
    </row>
    <row r="2482" spans="4:4" ht="16.2">
      <c r="D2482" s="501"/>
    </row>
    <row r="2483" spans="4:4" ht="16.2">
      <c r="D2483" s="501"/>
    </row>
    <row r="2484" spans="4:4" ht="16.2">
      <c r="D2484" s="501"/>
    </row>
    <row r="2485" spans="4:4" ht="16.2">
      <c r="D2485" s="501"/>
    </row>
    <row r="2486" spans="4:4" ht="16.2">
      <c r="D2486" s="501"/>
    </row>
    <row r="2487" spans="4:4" ht="16.2">
      <c r="D2487" s="501"/>
    </row>
    <row r="2488" spans="4:4" ht="16.2">
      <c r="D2488" s="501"/>
    </row>
    <row r="2489" spans="4:4" ht="16.2">
      <c r="D2489" s="501"/>
    </row>
    <row r="2490" spans="4:4" ht="16.2">
      <c r="D2490" s="501"/>
    </row>
    <row r="2491" spans="4:4" ht="16.2">
      <c r="D2491" s="501"/>
    </row>
    <row r="2492" spans="4:4" ht="16.2">
      <c r="D2492" s="501"/>
    </row>
    <row r="2493" spans="4:4" ht="16.2">
      <c r="D2493" s="501"/>
    </row>
    <row r="2494" spans="4:4" ht="16.2">
      <c r="D2494" s="501"/>
    </row>
    <row r="2495" spans="4:4" ht="16.2">
      <c r="D2495" s="501"/>
    </row>
    <row r="2496" spans="4:4" ht="16.2">
      <c r="D2496" s="501"/>
    </row>
    <row r="2497" spans="4:4" ht="16.2">
      <c r="D2497" s="501"/>
    </row>
    <row r="2498" spans="4:4" ht="16.2">
      <c r="D2498" s="501"/>
    </row>
    <row r="2499" spans="4:4" ht="16.2">
      <c r="D2499" s="501"/>
    </row>
    <row r="2500" spans="4:4" ht="16.2">
      <c r="D2500" s="501"/>
    </row>
    <row r="2501" spans="4:4" ht="16.2">
      <c r="D2501" s="501"/>
    </row>
    <row r="2502" spans="4:4" ht="16.2">
      <c r="D2502" s="501"/>
    </row>
    <row r="2503" spans="4:4" ht="16.2">
      <c r="D2503" s="501"/>
    </row>
    <row r="2504" spans="4:4" ht="16.2">
      <c r="D2504" s="501"/>
    </row>
    <row r="2505" spans="4:4" ht="16.2">
      <c r="D2505" s="501"/>
    </row>
    <row r="2506" spans="4:4" ht="16.2">
      <c r="D2506" s="501"/>
    </row>
    <row r="2507" spans="4:4" ht="16.2">
      <c r="D2507" s="501"/>
    </row>
    <row r="2508" spans="4:4" ht="16.2">
      <c r="D2508" s="501"/>
    </row>
    <row r="2509" spans="4:4" ht="16.2">
      <c r="D2509" s="501"/>
    </row>
    <row r="2510" spans="4:4" ht="16.2">
      <c r="D2510" s="501"/>
    </row>
    <row r="2511" spans="4:4" ht="16.2">
      <c r="D2511" s="501"/>
    </row>
    <row r="2512" spans="4:4" ht="16.2">
      <c r="D2512" s="501"/>
    </row>
    <row r="2513" spans="4:4" ht="16.2">
      <c r="D2513" s="501"/>
    </row>
    <row r="2514" spans="4:4" ht="16.2">
      <c r="D2514" s="501"/>
    </row>
    <row r="2515" spans="4:4" ht="16.2">
      <c r="D2515" s="501"/>
    </row>
    <row r="2516" spans="4:4" ht="16.2">
      <c r="D2516" s="501"/>
    </row>
    <row r="2517" spans="4:4" ht="16.2">
      <c r="D2517" s="501"/>
    </row>
    <row r="2518" spans="4:4" ht="16.2">
      <c r="D2518" s="501"/>
    </row>
    <row r="2519" spans="4:4" ht="16.2">
      <c r="D2519" s="501"/>
    </row>
    <row r="2520" spans="4:4" ht="16.2">
      <c r="D2520" s="501"/>
    </row>
    <row r="2521" spans="4:4" ht="16.2">
      <c r="D2521" s="501"/>
    </row>
    <row r="2522" spans="4:4" ht="16.2">
      <c r="D2522" s="501"/>
    </row>
    <row r="2523" spans="4:4" ht="16.2">
      <c r="D2523" s="501"/>
    </row>
    <row r="2524" spans="4:4" ht="16.2">
      <c r="D2524" s="501"/>
    </row>
    <row r="2525" spans="4:4" ht="16.2">
      <c r="D2525" s="501"/>
    </row>
    <row r="2526" spans="4:4" ht="16.2">
      <c r="D2526" s="501"/>
    </row>
    <row r="2527" spans="4:4" ht="16.2">
      <c r="D2527" s="501"/>
    </row>
    <row r="2528" spans="4:4" ht="16.2">
      <c r="D2528" s="501"/>
    </row>
    <row r="2529" spans="4:4" ht="16.2">
      <c r="D2529" s="501"/>
    </row>
    <row r="2530" spans="4:4" ht="16.2">
      <c r="D2530" s="501"/>
    </row>
    <row r="2531" spans="4:4" ht="16.2">
      <c r="D2531" s="501"/>
    </row>
    <row r="2532" spans="4:4" ht="16.2">
      <c r="D2532" s="501"/>
    </row>
    <row r="2533" spans="4:4" ht="16.2">
      <c r="D2533" s="501"/>
    </row>
    <row r="2534" spans="4:4" ht="16.2">
      <c r="D2534" s="501"/>
    </row>
    <row r="2535" spans="4:4" ht="16.2">
      <c r="D2535" s="501"/>
    </row>
    <row r="2536" spans="4:4" ht="16.2">
      <c r="D2536" s="501"/>
    </row>
    <row r="2537" spans="4:4" ht="16.2">
      <c r="D2537" s="501"/>
    </row>
    <row r="2538" spans="4:4" ht="16.2">
      <c r="D2538" s="501"/>
    </row>
    <row r="2539" spans="4:4" ht="16.2">
      <c r="D2539" s="501"/>
    </row>
    <row r="2540" spans="4:4" ht="16.2">
      <c r="D2540" s="501"/>
    </row>
    <row r="2541" spans="4:4" ht="16.2">
      <c r="D2541" s="501"/>
    </row>
    <row r="2542" spans="4:4" ht="16.2">
      <c r="D2542" s="501"/>
    </row>
    <row r="2543" spans="4:4" ht="16.2">
      <c r="D2543" s="501"/>
    </row>
    <row r="2544" spans="4:4" ht="16.2">
      <c r="D2544" s="501"/>
    </row>
    <row r="2545" spans="4:4" ht="16.2">
      <c r="D2545" s="501"/>
    </row>
    <row r="2546" spans="4:4" ht="16.2">
      <c r="D2546" s="501"/>
    </row>
    <row r="2547" spans="4:4" ht="16.2">
      <c r="D2547" s="501"/>
    </row>
    <row r="2548" spans="4:4" ht="16.2">
      <c r="D2548" s="501"/>
    </row>
    <row r="2549" spans="4:4" ht="16.2">
      <c r="D2549" s="501"/>
    </row>
    <row r="2550" spans="4:4" ht="16.2">
      <c r="D2550" s="501"/>
    </row>
    <row r="2551" spans="4:4" ht="16.2">
      <c r="D2551" s="501"/>
    </row>
    <row r="2552" spans="4:4" ht="16.2">
      <c r="D2552" s="501"/>
    </row>
    <row r="2553" spans="4:4" ht="16.2">
      <c r="D2553" s="501"/>
    </row>
    <row r="2554" spans="4:4" ht="16.2">
      <c r="D2554" s="501"/>
    </row>
    <row r="2555" spans="4:4" ht="16.2">
      <c r="D2555" s="501"/>
    </row>
    <row r="2556" spans="4:4" ht="16.2">
      <c r="D2556" s="501"/>
    </row>
    <row r="2557" spans="4:4" ht="16.2">
      <c r="D2557" s="501"/>
    </row>
    <row r="2558" spans="4:4" ht="16.2">
      <c r="D2558" s="501"/>
    </row>
    <row r="2559" spans="4:4" ht="16.2">
      <c r="D2559" s="501"/>
    </row>
    <row r="2560" spans="4:4" ht="16.2">
      <c r="D2560" s="501"/>
    </row>
    <row r="2561" spans="4:4" ht="16.2">
      <c r="D2561" s="501"/>
    </row>
    <row r="2562" spans="4:4" ht="16.2">
      <c r="D2562" s="501"/>
    </row>
    <row r="2563" spans="4:4" ht="16.2">
      <c r="D2563" s="501"/>
    </row>
    <row r="2564" spans="4:4" ht="16.2">
      <c r="D2564" s="501"/>
    </row>
    <row r="2565" spans="4:4" ht="16.2">
      <c r="D2565" s="501"/>
    </row>
    <row r="2566" spans="4:4" ht="16.2">
      <c r="D2566" s="501"/>
    </row>
    <row r="2567" spans="4:4" ht="16.2">
      <c r="D2567" s="501"/>
    </row>
    <row r="2568" spans="4:4" ht="16.2">
      <c r="D2568" s="501"/>
    </row>
    <row r="2569" spans="4:4" ht="16.2">
      <c r="D2569" s="501"/>
    </row>
    <row r="2570" spans="4:4" ht="16.2">
      <c r="D2570" s="501"/>
    </row>
    <row r="2571" spans="4:4" ht="16.2">
      <c r="D2571" s="501"/>
    </row>
    <row r="2572" spans="4:4" ht="16.2">
      <c r="D2572" s="501"/>
    </row>
    <row r="2573" spans="4:4" ht="16.2">
      <c r="D2573" s="501"/>
    </row>
    <row r="2574" spans="4:4" ht="16.2">
      <c r="D2574" s="501"/>
    </row>
    <row r="2575" spans="4:4" ht="16.2">
      <c r="D2575" s="501"/>
    </row>
    <row r="2576" spans="4:4" ht="16.2">
      <c r="D2576" s="501"/>
    </row>
    <row r="2577" spans="4:4" ht="16.2">
      <c r="D2577" s="501"/>
    </row>
    <row r="2578" spans="4:4" ht="16.2">
      <c r="D2578" s="501"/>
    </row>
    <row r="2579" spans="4:4" ht="16.2">
      <c r="D2579" s="501"/>
    </row>
    <row r="2580" spans="4:4" ht="16.2">
      <c r="D2580" s="501"/>
    </row>
    <row r="2581" spans="4:4" ht="16.2">
      <c r="D2581" s="501"/>
    </row>
    <row r="2582" spans="4:4" ht="16.2">
      <c r="D2582" s="501"/>
    </row>
    <row r="2583" spans="4:4" ht="16.2">
      <c r="D2583" s="501"/>
    </row>
    <row r="2584" spans="4:4" ht="16.2">
      <c r="D2584" s="501"/>
    </row>
    <row r="2585" spans="4:4" ht="16.2">
      <c r="D2585" s="501"/>
    </row>
    <row r="2586" spans="4:4" ht="16.2">
      <c r="D2586" s="501"/>
    </row>
    <row r="2587" spans="4:4" ht="16.2">
      <c r="D2587" s="501"/>
    </row>
    <row r="2588" spans="4:4" ht="16.2">
      <c r="D2588" s="501"/>
    </row>
    <row r="2589" spans="4:4" ht="16.2">
      <c r="D2589" s="501"/>
    </row>
    <row r="2590" spans="4:4" ht="16.2">
      <c r="D2590" s="501"/>
    </row>
    <row r="2591" spans="4:4" ht="16.2">
      <c r="D2591" s="501"/>
    </row>
    <row r="2592" spans="4:4" ht="16.2">
      <c r="D2592" s="501"/>
    </row>
    <row r="2593" spans="4:4" ht="16.2">
      <c r="D2593" s="501"/>
    </row>
    <row r="2594" spans="4:4" ht="16.2">
      <c r="D2594" s="501"/>
    </row>
    <row r="2595" spans="4:4" ht="16.2">
      <c r="D2595" s="501"/>
    </row>
    <row r="2596" spans="4:4" ht="16.2">
      <c r="D2596" s="501"/>
    </row>
    <row r="2597" spans="4:4" ht="16.2">
      <c r="D2597" s="501"/>
    </row>
    <row r="2598" spans="4:4" ht="16.2">
      <c r="D2598" s="501"/>
    </row>
    <row r="2599" spans="4:4" ht="16.2">
      <c r="D2599" s="501"/>
    </row>
    <row r="2600" spans="4:4" ht="16.2">
      <c r="D2600" s="501"/>
    </row>
    <row r="2601" spans="4:4" ht="16.2">
      <c r="D2601" s="501"/>
    </row>
    <row r="2602" spans="4:4" ht="16.2">
      <c r="D2602" s="501"/>
    </row>
    <row r="2603" spans="4:4" ht="16.2">
      <c r="D2603" s="501"/>
    </row>
    <row r="2604" spans="4:4" ht="16.2">
      <c r="D2604" s="501"/>
    </row>
    <row r="2605" spans="4:4" ht="16.2">
      <c r="D2605" s="501"/>
    </row>
    <row r="2606" spans="4:4" ht="16.2">
      <c r="D2606" s="501"/>
    </row>
    <row r="2607" spans="4:4" ht="16.2">
      <c r="D2607" s="501"/>
    </row>
    <row r="2608" spans="4:4" ht="16.2">
      <c r="D2608" s="501"/>
    </row>
    <row r="2609" spans="4:4" ht="16.2">
      <c r="D2609" s="501"/>
    </row>
    <row r="2610" spans="4:4" ht="16.2">
      <c r="D2610" s="501"/>
    </row>
    <row r="2611" spans="4:4" ht="16.2">
      <c r="D2611" s="501"/>
    </row>
    <row r="2612" spans="4:4" ht="16.2">
      <c r="D2612" s="501"/>
    </row>
    <row r="2613" spans="4:4" ht="16.2">
      <c r="D2613" s="501"/>
    </row>
    <row r="2614" spans="4:4" ht="16.2">
      <c r="D2614" s="501"/>
    </row>
    <row r="2615" spans="4:4" ht="16.2">
      <c r="D2615" s="501"/>
    </row>
    <row r="2616" spans="4:4" ht="16.2">
      <c r="D2616" s="501"/>
    </row>
    <row r="2617" spans="4:4" ht="16.2">
      <c r="D2617" s="501"/>
    </row>
    <row r="2618" spans="4:4" ht="16.2">
      <c r="D2618" s="501"/>
    </row>
    <row r="2619" spans="4:4" ht="16.2">
      <c r="D2619" s="501"/>
    </row>
    <row r="2620" spans="4:4" ht="16.2">
      <c r="D2620" s="501"/>
    </row>
    <row r="2621" spans="4:4" ht="16.2">
      <c r="D2621" s="501"/>
    </row>
    <row r="2622" spans="4:4" ht="16.2">
      <c r="D2622" s="501"/>
    </row>
    <row r="2623" spans="4:4" ht="16.2">
      <c r="D2623" s="501"/>
    </row>
    <row r="2624" spans="4:4" ht="16.2">
      <c r="D2624" s="501"/>
    </row>
    <row r="2625" spans="4:4" ht="16.2">
      <c r="D2625" s="501"/>
    </row>
    <row r="2626" spans="4:4" ht="16.2">
      <c r="D2626" s="501"/>
    </row>
    <row r="2627" spans="4:4" ht="16.2">
      <c r="D2627" s="501"/>
    </row>
    <row r="2628" spans="4:4" ht="16.2">
      <c r="D2628" s="501"/>
    </row>
    <row r="2629" spans="4:4" ht="16.2">
      <c r="D2629" s="501"/>
    </row>
    <row r="2630" spans="4:4" ht="16.2">
      <c r="D2630" s="501"/>
    </row>
    <row r="2631" spans="4:4" ht="16.2">
      <c r="D2631" s="501"/>
    </row>
    <row r="2632" spans="4:4" ht="16.2">
      <c r="D2632" s="501"/>
    </row>
    <row r="2633" spans="4:4" ht="16.2">
      <c r="D2633" s="501"/>
    </row>
    <row r="2634" spans="4:4" ht="16.2">
      <c r="D2634" s="501"/>
    </row>
    <row r="2635" spans="4:4" ht="16.2">
      <c r="D2635" s="501"/>
    </row>
    <row r="2636" spans="4:4" ht="16.2">
      <c r="D2636" s="501"/>
    </row>
    <row r="2637" spans="4:4" ht="16.2">
      <c r="D2637" s="501"/>
    </row>
    <row r="2638" spans="4:4" ht="16.2">
      <c r="D2638" s="501"/>
    </row>
    <row r="2639" spans="4:4" ht="16.2">
      <c r="D2639" s="501"/>
    </row>
    <row r="2640" spans="4:4" ht="16.2">
      <c r="D2640" s="501"/>
    </row>
    <row r="2641" spans="4:4" ht="16.2">
      <c r="D2641" s="501"/>
    </row>
    <row r="2642" spans="4:4" ht="16.2">
      <c r="D2642" s="501"/>
    </row>
    <row r="2643" spans="4:4" ht="16.2">
      <c r="D2643" s="501"/>
    </row>
    <row r="2644" spans="4:4" ht="16.2">
      <c r="D2644" s="501"/>
    </row>
    <row r="2645" spans="4:4" ht="16.2">
      <c r="D2645" s="501"/>
    </row>
    <row r="2646" spans="4:4" ht="16.2">
      <c r="D2646" s="501"/>
    </row>
    <row r="2647" spans="4:4" ht="16.2">
      <c r="D2647" s="501"/>
    </row>
    <row r="2648" spans="4:4" ht="16.2">
      <c r="D2648" s="501"/>
    </row>
    <row r="2649" spans="4:4" ht="16.2">
      <c r="D2649" s="501"/>
    </row>
    <row r="2650" spans="4:4" ht="16.2">
      <c r="D2650" s="501"/>
    </row>
    <row r="2651" spans="4:4" ht="16.2">
      <c r="D2651" s="501"/>
    </row>
    <row r="2652" spans="4:4" ht="16.2">
      <c r="D2652" s="501"/>
    </row>
    <row r="2653" spans="4:4" ht="16.2">
      <c r="D2653" s="501"/>
    </row>
    <row r="2654" spans="4:4" ht="16.2">
      <c r="D2654" s="501"/>
    </row>
    <row r="2655" spans="4:4" ht="16.2">
      <c r="D2655" s="501"/>
    </row>
    <row r="2656" spans="4:4" ht="16.2">
      <c r="D2656" s="501"/>
    </row>
    <row r="2657" spans="4:4" ht="16.2">
      <c r="D2657" s="501"/>
    </row>
    <row r="2658" spans="4:4" ht="16.2">
      <c r="D2658" s="501"/>
    </row>
    <row r="2659" spans="4:4" ht="16.2">
      <c r="D2659" s="501"/>
    </row>
    <row r="2660" spans="4:4" ht="16.2">
      <c r="D2660" s="501"/>
    </row>
    <row r="2661" spans="4:4" ht="16.2">
      <c r="D2661" s="501"/>
    </row>
    <row r="2662" spans="4:4" ht="16.2">
      <c r="D2662" s="501"/>
    </row>
    <row r="2663" spans="4:4" ht="16.2">
      <c r="D2663" s="501"/>
    </row>
    <row r="2664" spans="4:4" ht="16.2">
      <c r="D2664" s="501"/>
    </row>
    <row r="2665" spans="4:4" ht="16.2">
      <c r="D2665" s="501"/>
    </row>
    <row r="2666" spans="4:4" ht="16.2">
      <c r="D2666" s="501"/>
    </row>
    <row r="2667" spans="4:4" ht="16.2">
      <c r="D2667" s="501"/>
    </row>
    <row r="2668" spans="4:4" ht="16.2">
      <c r="D2668" s="501"/>
    </row>
    <row r="2669" spans="4:4" ht="16.2">
      <c r="D2669" s="501"/>
    </row>
    <row r="2670" spans="4:4" ht="16.2">
      <c r="D2670" s="501"/>
    </row>
    <row r="2671" spans="4:4" ht="16.2">
      <c r="D2671" s="501"/>
    </row>
    <row r="2672" spans="4:4" ht="16.2">
      <c r="D2672" s="501"/>
    </row>
    <row r="2673" spans="4:4" ht="16.2">
      <c r="D2673" s="501"/>
    </row>
    <row r="2674" spans="4:4" ht="16.2">
      <c r="D2674" s="501"/>
    </row>
    <row r="2675" spans="4:4" ht="16.2">
      <c r="D2675" s="501"/>
    </row>
    <row r="2676" spans="4:4" ht="16.2">
      <c r="D2676" s="501"/>
    </row>
    <row r="2677" spans="4:4" ht="16.2">
      <c r="D2677" s="501"/>
    </row>
    <row r="2678" spans="4:4" ht="16.2">
      <c r="D2678" s="501"/>
    </row>
    <row r="2679" spans="4:4" ht="16.2">
      <c r="D2679" s="501"/>
    </row>
    <row r="2680" spans="4:4" ht="16.2">
      <c r="D2680" s="501"/>
    </row>
    <row r="2681" spans="4:4" ht="16.2">
      <c r="D2681" s="501"/>
    </row>
    <row r="2682" spans="4:4" ht="16.2">
      <c r="D2682" s="501"/>
    </row>
    <row r="2683" spans="4:4" ht="16.2">
      <c r="D2683" s="501"/>
    </row>
    <row r="2684" spans="4:4" ht="16.2">
      <c r="D2684" s="501"/>
    </row>
    <row r="2685" spans="4:4" ht="16.2">
      <c r="D2685" s="501"/>
    </row>
    <row r="2686" spans="4:4" ht="16.2">
      <c r="D2686" s="501"/>
    </row>
    <row r="2687" spans="4:4" ht="16.2">
      <c r="D2687" s="501"/>
    </row>
    <row r="2688" spans="4:4" ht="16.2">
      <c r="D2688" s="501"/>
    </row>
    <row r="2689" spans="4:4" ht="16.2">
      <c r="D2689" s="501"/>
    </row>
    <row r="2690" spans="4:4" ht="16.2">
      <c r="D2690" s="501"/>
    </row>
    <row r="2691" spans="4:4" ht="16.2">
      <c r="D2691" s="501"/>
    </row>
    <row r="2692" spans="4:4" ht="16.2">
      <c r="D2692" s="501"/>
    </row>
    <row r="2693" spans="4:4" ht="16.2">
      <c r="D2693" s="501"/>
    </row>
    <row r="2694" spans="4:4" ht="16.2">
      <c r="D2694" s="501"/>
    </row>
    <row r="2695" spans="4:4" ht="16.2">
      <c r="D2695" s="501"/>
    </row>
    <row r="2696" spans="4:4" ht="16.2">
      <c r="D2696" s="501"/>
    </row>
    <row r="2697" spans="4:4" ht="16.2">
      <c r="D2697" s="501"/>
    </row>
    <row r="2698" spans="4:4" ht="16.2">
      <c r="D2698" s="501"/>
    </row>
    <row r="2699" spans="4:4" ht="16.2">
      <c r="D2699" s="501"/>
    </row>
    <row r="2700" spans="4:4" ht="16.2">
      <c r="D2700" s="501"/>
    </row>
    <row r="2701" spans="4:4" ht="16.2">
      <c r="D2701" s="501"/>
    </row>
    <row r="2702" spans="4:4" ht="16.2">
      <c r="D2702" s="501"/>
    </row>
    <row r="2703" spans="4:4" ht="16.2">
      <c r="D2703" s="501"/>
    </row>
    <row r="2704" spans="4:4" ht="16.2">
      <c r="D2704" s="501"/>
    </row>
    <row r="2705" spans="4:4" ht="16.2">
      <c r="D2705" s="501"/>
    </row>
    <row r="2706" spans="4:4" ht="16.2">
      <c r="D2706" s="501"/>
    </row>
    <row r="2707" spans="4:4" ht="16.2">
      <c r="D2707" s="501"/>
    </row>
    <row r="2708" spans="4:4" ht="16.2">
      <c r="D2708" s="501"/>
    </row>
    <row r="2709" spans="4:4" ht="16.2">
      <c r="D2709" s="501"/>
    </row>
    <row r="2710" spans="4:4" ht="16.2">
      <c r="D2710" s="501"/>
    </row>
    <row r="2711" spans="4:4" ht="16.2">
      <c r="D2711" s="501"/>
    </row>
    <row r="2712" spans="4:4" ht="16.2">
      <c r="D2712" s="501"/>
    </row>
    <row r="2713" spans="4:4" ht="16.2">
      <c r="D2713" s="501"/>
    </row>
    <row r="2714" spans="4:4" ht="16.2">
      <c r="D2714" s="501"/>
    </row>
    <row r="2715" spans="4:4" ht="16.2">
      <c r="D2715" s="501"/>
    </row>
    <row r="2716" spans="4:4" ht="16.2">
      <c r="D2716" s="501"/>
    </row>
    <row r="2717" spans="4:4" ht="16.2">
      <c r="D2717" s="501"/>
    </row>
    <row r="2718" spans="4:4" ht="16.2">
      <c r="D2718" s="501"/>
    </row>
    <row r="2719" spans="4:4" ht="16.2">
      <c r="D2719" s="501"/>
    </row>
    <row r="2720" spans="4:4" ht="16.2">
      <c r="D2720" s="501"/>
    </row>
    <row r="2721" spans="4:4" ht="16.2">
      <c r="D2721" s="501"/>
    </row>
    <row r="2722" spans="4:4" ht="16.2">
      <c r="D2722" s="501"/>
    </row>
    <row r="2723" spans="4:4" ht="16.2">
      <c r="D2723" s="501"/>
    </row>
    <row r="2724" spans="4:4" ht="16.2">
      <c r="D2724" s="501"/>
    </row>
    <row r="2725" spans="4:4" ht="16.2">
      <c r="D2725" s="501"/>
    </row>
    <row r="2726" spans="4:4" ht="16.2">
      <c r="D2726" s="501"/>
    </row>
    <row r="2727" spans="4:4" ht="16.2">
      <c r="D2727" s="501"/>
    </row>
    <row r="2728" spans="4:4" ht="16.2">
      <c r="D2728" s="501"/>
    </row>
    <row r="2729" spans="4:4" ht="16.2">
      <c r="D2729" s="501"/>
    </row>
    <row r="2730" spans="4:4" ht="16.2">
      <c r="D2730" s="501"/>
    </row>
    <row r="2731" spans="4:4" ht="16.2">
      <c r="D2731" s="501"/>
    </row>
    <row r="2732" spans="4:4" ht="16.2">
      <c r="D2732" s="501"/>
    </row>
    <row r="2733" spans="4:4" ht="16.2">
      <c r="D2733" s="501"/>
    </row>
    <row r="2734" spans="4:4" ht="16.2">
      <c r="D2734" s="501"/>
    </row>
    <row r="2735" spans="4:4" ht="16.2">
      <c r="D2735" s="501"/>
    </row>
    <row r="2736" spans="4:4" ht="16.2">
      <c r="D2736" s="501"/>
    </row>
    <row r="2737" spans="4:4" ht="16.2">
      <c r="D2737" s="501"/>
    </row>
    <row r="2738" spans="4:4" ht="16.2">
      <c r="D2738" s="501"/>
    </row>
    <row r="2739" spans="4:4" ht="16.2">
      <c r="D2739" s="501"/>
    </row>
    <row r="2740" spans="4:4" ht="16.2">
      <c r="D2740" s="501"/>
    </row>
    <row r="2741" spans="4:4" ht="16.2">
      <c r="D2741" s="501"/>
    </row>
    <row r="2742" spans="4:4" ht="16.2">
      <c r="D2742" s="501"/>
    </row>
    <row r="2743" spans="4:4" ht="16.2">
      <c r="D2743" s="501"/>
    </row>
    <row r="2744" spans="4:4" ht="16.2">
      <c r="D2744" s="501"/>
    </row>
    <row r="2745" spans="4:4" ht="16.2">
      <c r="D2745" s="501"/>
    </row>
    <row r="2746" spans="4:4" ht="16.2">
      <c r="D2746" s="501"/>
    </row>
    <row r="2747" spans="4:4" ht="16.2">
      <c r="D2747" s="501"/>
    </row>
    <row r="2748" spans="4:4" ht="16.2">
      <c r="D2748" s="501"/>
    </row>
    <row r="2749" spans="4:4" ht="16.2">
      <c r="D2749" s="501"/>
    </row>
    <row r="2750" spans="4:4" ht="16.2">
      <c r="D2750" s="501"/>
    </row>
    <row r="2751" spans="4:4" ht="16.2">
      <c r="D2751" s="501"/>
    </row>
    <row r="2752" spans="4:4" ht="16.2">
      <c r="D2752" s="501"/>
    </row>
    <row r="2753" spans="4:4" ht="16.2">
      <c r="D2753" s="501"/>
    </row>
    <row r="2754" spans="4:4" ht="16.2">
      <c r="D2754" s="501"/>
    </row>
    <row r="2755" spans="4:4" ht="16.2">
      <c r="D2755" s="501"/>
    </row>
    <row r="2756" spans="4:4" ht="16.2">
      <c r="D2756" s="501"/>
    </row>
    <row r="2757" spans="4:4" ht="16.2">
      <c r="D2757" s="501"/>
    </row>
    <row r="2758" spans="4:4" ht="16.2">
      <c r="D2758" s="501"/>
    </row>
    <row r="2759" spans="4:4" ht="16.2">
      <c r="D2759" s="501"/>
    </row>
    <row r="2760" spans="4:4" ht="16.2">
      <c r="D2760" s="501"/>
    </row>
    <row r="2761" spans="4:4" ht="16.2">
      <c r="D2761" s="501"/>
    </row>
    <row r="2762" spans="4:4" ht="16.2">
      <c r="D2762" s="501"/>
    </row>
    <row r="2763" spans="4:4" ht="16.2">
      <c r="D2763" s="501"/>
    </row>
    <row r="2764" spans="4:4" ht="16.2">
      <c r="D2764" s="501"/>
    </row>
    <row r="2765" spans="4:4" ht="16.2">
      <c r="D2765" s="501"/>
    </row>
    <row r="2766" spans="4:4" ht="16.2">
      <c r="D2766" s="501"/>
    </row>
    <row r="2767" spans="4:4" ht="16.2">
      <c r="D2767" s="501"/>
    </row>
    <row r="2768" spans="4:4" ht="16.2">
      <c r="D2768" s="501"/>
    </row>
    <row r="2769" spans="4:4" ht="16.2">
      <c r="D2769" s="501"/>
    </row>
    <row r="2770" spans="4:4" ht="16.2">
      <c r="D2770" s="501"/>
    </row>
    <row r="2771" spans="4:4" ht="16.2">
      <c r="D2771" s="501"/>
    </row>
    <row r="2772" spans="4:4" ht="16.2">
      <c r="D2772" s="501"/>
    </row>
    <row r="2773" spans="4:4" ht="16.2">
      <c r="D2773" s="501"/>
    </row>
    <row r="2774" spans="4:4" ht="16.2">
      <c r="D2774" s="501"/>
    </row>
    <row r="2775" spans="4:4" ht="16.2">
      <c r="D2775" s="501"/>
    </row>
    <row r="2776" spans="4:4" ht="16.2">
      <c r="D2776" s="501"/>
    </row>
    <row r="2777" spans="4:4" ht="16.2">
      <c r="D2777" s="501"/>
    </row>
    <row r="2778" spans="4:4" ht="16.2">
      <c r="D2778" s="501"/>
    </row>
    <row r="2779" spans="4:4" ht="16.2">
      <c r="D2779" s="501"/>
    </row>
    <row r="2780" spans="4:4" ht="16.2">
      <c r="D2780" s="501"/>
    </row>
    <row r="2781" spans="4:4" ht="16.2">
      <c r="D2781" s="501"/>
    </row>
    <row r="2782" spans="4:4" ht="16.2">
      <c r="D2782" s="501"/>
    </row>
    <row r="2783" spans="4:4" ht="16.2">
      <c r="D2783" s="501"/>
    </row>
    <row r="2784" spans="4:4" ht="16.2">
      <c r="D2784" s="501"/>
    </row>
    <row r="2785" spans="4:4" ht="16.2">
      <c r="D2785" s="501"/>
    </row>
    <row r="2786" spans="4:4" ht="16.2">
      <c r="D2786" s="501"/>
    </row>
    <row r="2787" spans="4:4" ht="16.2">
      <c r="D2787" s="501"/>
    </row>
    <row r="2788" spans="4:4" ht="16.2">
      <c r="D2788" s="501"/>
    </row>
    <row r="2789" spans="4:4" ht="16.2">
      <c r="D2789" s="501"/>
    </row>
    <row r="2790" spans="4:4" ht="16.2">
      <c r="D2790" s="501"/>
    </row>
    <row r="2791" spans="4:4" ht="16.2">
      <c r="D2791" s="501"/>
    </row>
    <row r="2792" spans="4:4" ht="16.2">
      <c r="D2792" s="501"/>
    </row>
    <row r="2793" spans="4:4" ht="16.2">
      <c r="D2793" s="501"/>
    </row>
    <row r="2794" spans="4:4" ht="16.2">
      <c r="D2794" s="501"/>
    </row>
    <row r="2795" spans="4:4" ht="16.2">
      <c r="D2795" s="501"/>
    </row>
    <row r="2796" spans="4:4" ht="16.2">
      <c r="D2796" s="501"/>
    </row>
    <row r="2797" spans="4:4" ht="16.2">
      <c r="D2797" s="501"/>
    </row>
    <row r="2798" spans="4:4" ht="16.2">
      <c r="D2798" s="501"/>
    </row>
    <row r="2799" spans="4:4" ht="16.2">
      <c r="D2799" s="501"/>
    </row>
    <row r="2800" spans="4:4" ht="16.2">
      <c r="D2800" s="501"/>
    </row>
    <row r="2801" spans="4:4" ht="16.2">
      <c r="D2801" s="501"/>
    </row>
    <row r="2802" spans="4:4" ht="16.2">
      <c r="D2802" s="501"/>
    </row>
    <row r="2803" spans="4:4" ht="16.2">
      <c r="D2803" s="501"/>
    </row>
    <row r="2804" spans="4:4" ht="16.2">
      <c r="D2804" s="501"/>
    </row>
    <row r="2805" spans="4:4" ht="16.2">
      <c r="D2805" s="501"/>
    </row>
    <row r="2806" spans="4:4" ht="16.2">
      <c r="D2806" s="501"/>
    </row>
    <row r="2807" spans="4:4" ht="16.2">
      <c r="D2807" s="501"/>
    </row>
    <row r="2808" spans="4:4" ht="16.2">
      <c r="D2808" s="501"/>
    </row>
  </sheetData>
  <autoFilter ref="A10:S2369">
    <filterColumn colId="2">
      <customFilters>
        <customFilter operator="notEqual" val=" "/>
      </customFilters>
    </filterColumn>
    <filterColumn colId="5">
      <colorFilter dxfId="41"/>
    </filterColumn>
  </autoFilter>
  <mergeCells count="4">
    <mergeCell ref="E9:E10"/>
    <mergeCell ref="F9:F10"/>
    <mergeCell ref="G9:G10"/>
    <mergeCell ref="S9:S10"/>
  </mergeCells>
  <conditionalFormatting sqref="T1:T8 T10:T359 T889:T1097 T645:T877 T1880:T1048576 T362 T364:T626 T628:T633 T1099:T1161 T1177:T1877 T1163:T1175">
    <cfRule type="timePeriod" dxfId="40" priority="41" timePeriod="today">
      <formula>FLOOR(T1,1)=TODAY()</formula>
    </cfRule>
  </conditionalFormatting>
  <conditionalFormatting sqref="B2351 B77 B94 B176 B341 B378 B398 B433 B516 B536 B552">
    <cfRule type="duplicateValues" dxfId="39" priority="40"/>
  </conditionalFormatting>
  <conditionalFormatting sqref="C1:C359 C1818:C1865 C1094:C1097 C2314:C1048576 C2312 C2030:C2310 C1935:C2028 C1868:C1877 C889:C1086 C645:C877 C1880:C1932 C362 C364:C626 C628:C633 C1099:C1161 C1177:C1816 C1163:C1175">
    <cfRule type="containsText" dxfId="38" priority="39" operator="containsText" text="x">
      <formula>NOT(ISERROR(SEARCH("x",C1)))</formula>
    </cfRule>
  </conditionalFormatting>
  <conditionalFormatting sqref="C1817">
    <cfRule type="containsText" dxfId="37" priority="38" operator="containsText" text="x">
      <formula>NOT(ISERROR(SEARCH("x",C1817)))</formula>
    </cfRule>
  </conditionalFormatting>
  <conditionalFormatting sqref="C1866:C1867">
    <cfRule type="containsText" dxfId="36" priority="37" operator="containsText" text="x">
      <formula>NOT(ISERROR(SEARCH("x",C1866)))</formula>
    </cfRule>
  </conditionalFormatting>
  <conditionalFormatting sqref="C1087:C1093">
    <cfRule type="containsText" dxfId="35" priority="36" operator="containsText" text="x">
      <formula>NOT(ISERROR(SEARCH("x",C1087)))</formula>
    </cfRule>
  </conditionalFormatting>
  <conditionalFormatting sqref="T1:T359 T889:T1097 T645:T877 T1880:T1048576 T362 T364:T626 T628:T633 T1099:T1161 T1177:T1877 T1163:T1175">
    <cfRule type="cellIs" dxfId="34" priority="35" operator="greaterThan">
      <formula>0</formula>
    </cfRule>
  </conditionalFormatting>
  <conditionalFormatting sqref="C2313">
    <cfRule type="containsText" dxfId="33" priority="34" operator="containsText" text="x">
      <formula>NOT(ISERROR(SEARCH("x",C2313)))</formula>
    </cfRule>
  </conditionalFormatting>
  <conditionalFormatting sqref="C2311">
    <cfRule type="containsText" dxfId="32" priority="33" operator="containsText" text="x">
      <formula>NOT(ISERROR(SEARCH("x",C2311)))</formula>
    </cfRule>
  </conditionalFormatting>
  <conditionalFormatting sqref="C2029">
    <cfRule type="containsText" dxfId="31" priority="32" operator="containsText" text="x">
      <formula>NOT(ISERROR(SEARCH("x",C2029)))</formula>
    </cfRule>
  </conditionalFormatting>
  <conditionalFormatting sqref="C1933:C1934">
    <cfRule type="containsText" dxfId="30" priority="31" operator="containsText" text="x">
      <formula>NOT(ISERROR(SEARCH("x",C1933)))</formula>
    </cfRule>
  </conditionalFormatting>
  <conditionalFormatting sqref="T878:T888">
    <cfRule type="timePeriod" dxfId="29" priority="30" timePeriod="today">
      <formula>FLOOR(T878,1)=TODAY()</formula>
    </cfRule>
  </conditionalFormatting>
  <conditionalFormatting sqref="C878:C888">
    <cfRule type="containsText" dxfId="28" priority="29" operator="containsText" text="x">
      <formula>NOT(ISERROR(SEARCH("x",C878)))</formula>
    </cfRule>
  </conditionalFormatting>
  <conditionalFormatting sqref="T878:T888">
    <cfRule type="cellIs" dxfId="27" priority="28" operator="greaterThan">
      <formula>0</formula>
    </cfRule>
  </conditionalFormatting>
  <conditionalFormatting sqref="T634:T644">
    <cfRule type="timePeriod" dxfId="26" priority="27" timePeriod="today">
      <formula>FLOOR(T634,1)=TODAY()</formula>
    </cfRule>
  </conditionalFormatting>
  <conditionalFormatting sqref="C634:C644">
    <cfRule type="containsText" dxfId="25" priority="26" operator="containsText" text="x">
      <formula>NOT(ISERROR(SEARCH("x",C634)))</formula>
    </cfRule>
  </conditionalFormatting>
  <conditionalFormatting sqref="T634:T644">
    <cfRule type="cellIs" dxfId="24" priority="25" operator="greaterThan">
      <formula>0</formula>
    </cfRule>
  </conditionalFormatting>
  <conditionalFormatting sqref="T1878">
    <cfRule type="timePeriod" dxfId="23" priority="24" timePeriod="today">
      <formula>FLOOR(T1878,1)=TODAY()</formula>
    </cfRule>
  </conditionalFormatting>
  <conditionalFormatting sqref="C1878">
    <cfRule type="containsText" dxfId="22" priority="23" operator="containsText" text="x">
      <formula>NOT(ISERROR(SEARCH("x",C1878)))</formula>
    </cfRule>
  </conditionalFormatting>
  <conditionalFormatting sqref="T1878">
    <cfRule type="cellIs" dxfId="21" priority="22" operator="greaterThan">
      <formula>0</formula>
    </cfRule>
  </conditionalFormatting>
  <conditionalFormatting sqref="T1879">
    <cfRule type="timePeriod" dxfId="20" priority="21" timePeriod="today">
      <formula>FLOOR(T1879,1)=TODAY()</formula>
    </cfRule>
  </conditionalFormatting>
  <conditionalFormatting sqref="C1879">
    <cfRule type="containsText" dxfId="19" priority="20" operator="containsText" text="x">
      <formula>NOT(ISERROR(SEARCH("x",C1879)))</formula>
    </cfRule>
  </conditionalFormatting>
  <conditionalFormatting sqref="T1879">
    <cfRule type="cellIs" dxfId="18" priority="19" operator="greaterThan">
      <formula>0</formula>
    </cfRule>
  </conditionalFormatting>
  <conditionalFormatting sqref="T360:T361">
    <cfRule type="timePeriod" dxfId="17" priority="18" timePeriod="today">
      <formula>FLOOR(T360,1)=TODAY()</formula>
    </cfRule>
  </conditionalFormatting>
  <conditionalFormatting sqref="C360:C361">
    <cfRule type="containsText" dxfId="16" priority="17" operator="containsText" text="x">
      <formula>NOT(ISERROR(SEARCH("x",C360)))</formula>
    </cfRule>
  </conditionalFormatting>
  <conditionalFormatting sqref="T360:T361">
    <cfRule type="cellIs" dxfId="15" priority="16" operator="greaterThan">
      <formula>0</formula>
    </cfRule>
  </conditionalFormatting>
  <conditionalFormatting sqref="T363">
    <cfRule type="timePeriod" dxfId="14" priority="15" timePeriod="today">
      <formula>FLOOR(T363,1)=TODAY()</formula>
    </cfRule>
  </conditionalFormatting>
  <conditionalFormatting sqref="C363">
    <cfRule type="containsText" dxfId="13" priority="14" operator="containsText" text="x">
      <formula>NOT(ISERROR(SEARCH("x",C363)))</formula>
    </cfRule>
  </conditionalFormatting>
  <conditionalFormatting sqref="T363">
    <cfRule type="cellIs" dxfId="12" priority="13" operator="greaterThan">
      <formula>0</formula>
    </cfRule>
  </conditionalFormatting>
  <conditionalFormatting sqref="T627">
    <cfRule type="timePeriod" dxfId="11" priority="12" timePeriod="today">
      <formula>FLOOR(T627,1)=TODAY()</formula>
    </cfRule>
  </conditionalFormatting>
  <conditionalFormatting sqref="C627">
    <cfRule type="containsText" dxfId="10" priority="11" operator="containsText" text="x">
      <formula>NOT(ISERROR(SEARCH("x",C627)))</formula>
    </cfRule>
  </conditionalFormatting>
  <conditionalFormatting sqref="T627">
    <cfRule type="cellIs" dxfId="9" priority="10" operator="greaterThan">
      <formula>0</formula>
    </cfRule>
  </conditionalFormatting>
  <conditionalFormatting sqref="T1098">
    <cfRule type="timePeriod" dxfId="8" priority="9" timePeriod="today">
      <formula>FLOOR(T1098,1)=TODAY()</formula>
    </cfRule>
  </conditionalFormatting>
  <conditionalFormatting sqref="C1098">
    <cfRule type="containsText" dxfId="7" priority="8" operator="containsText" text="x">
      <formula>NOT(ISERROR(SEARCH("x",C1098)))</formula>
    </cfRule>
  </conditionalFormatting>
  <conditionalFormatting sqref="T1098">
    <cfRule type="cellIs" dxfId="6" priority="7" operator="greaterThan">
      <formula>0</formula>
    </cfRule>
  </conditionalFormatting>
  <conditionalFormatting sqref="T1176">
    <cfRule type="timePeriod" dxfId="5" priority="6" timePeriod="today">
      <formula>FLOOR(T1176,1)=TODAY()</formula>
    </cfRule>
  </conditionalFormatting>
  <conditionalFormatting sqref="C1176">
    <cfRule type="containsText" dxfId="4" priority="5" operator="containsText" text="x">
      <formula>NOT(ISERROR(SEARCH("x",C1176)))</formula>
    </cfRule>
  </conditionalFormatting>
  <conditionalFormatting sqref="T1176">
    <cfRule type="cellIs" dxfId="3" priority="4" operator="greaterThan">
      <formula>0</formula>
    </cfRule>
  </conditionalFormatting>
  <conditionalFormatting sqref="T1162">
    <cfRule type="timePeriod" dxfId="2" priority="3" timePeriod="today">
      <formula>FLOOR(T1162,1)=TODAY()</formula>
    </cfRule>
  </conditionalFormatting>
  <conditionalFormatting sqref="C1162">
    <cfRule type="containsText" dxfId="1" priority="2" operator="containsText" text="x">
      <formula>NOT(ISERROR(SEARCH("x",C1162)))</formula>
    </cfRule>
  </conditionalFormatting>
  <conditionalFormatting sqref="T1162">
    <cfRule type="cellIs" dxfId="0" priority="1" operator="greaterThan">
      <formula>0</formula>
    </cfRule>
  </conditionalFormatting>
  <pageMargins left="0.43" right="0.23" top="0.79" bottom="0.51" header="0.25" footer="0.14000000000000001"/>
  <pageSetup paperSize="9" orientation="landscape" blackAndWhite="1" useFirstPageNumber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CT_tram</vt:lpstr>
      <vt:lpstr>chitiet</vt:lpstr>
      <vt:lpstr>DZ</vt:lpstr>
      <vt:lpstr>chitiet!Print_Area</vt:lpstr>
      <vt:lpstr>CT_tram!Print_Area</vt:lpstr>
      <vt:lpstr>chitiet!Print_Titles</vt:lpstr>
      <vt:lpstr>CT_tram!Print_Titles</vt:lpstr>
      <vt:lpstr>TBA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Tran</dc:creator>
  <cp:lastModifiedBy>Thuc Tran</cp:lastModifiedBy>
  <dcterms:created xsi:type="dcterms:W3CDTF">2020-10-01T03:10:20Z</dcterms:created>
  <dcterms:modified xsi:type="dcterms:W3CDTF">2020-10-01T03:10:38Z</dcterms:modified>
</cp:coreProperties>
</file>