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105" yWindow="-105" windowWidth="20730" windowHeight="11760" tabRatio="768" firstSheet="4" activeTab="13"/>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QuyMoCongTrinh" sheetId="19" r:id="rId9"/>
    <sheet name="PhanBoCatDien" sheetId="20" r:id="rId10"/>
    <sheet name="NangLucTongHop" sheetId="26" r:id="rId11"/>
    <sheet name="NhanSu" sheetId="6" r:id="rId12"/>
    <sheet name="CongTy" sheetId="12" r:id="rId13"/>
    <sheet name="HopDongTuongTu" sheetId="11" r:id="rId14"/>
    <sheet name="CongNhan" sheetId="23" r:id="rId15"/>
  </sheets>
  <externalReferences>
    <externalReference r:id="rId16"/>
    <externalReference r:id="rId17"/>
    <externalReference r:id="rId18"/>
    <externalReference r:id="rId19"/>
  </externalReferences>
  <definedNames>
    <definedName name="_xlnm._FilterDatabase" localSheetId="4" hidden="1">DanhMucBCap!$C$1:$I$38</definedName>
    <definedName name="_xlnm._FilterDatabase" localSheetId="13" hidden="1">HopDongTuongTu!$A$1:$J$21</definedName>
    <definedName name="_xlnm._FilterDatabase" localSheetId="10" hidden="1">NangLucTongHop!$A$1:$J$4</definedName>
    <definedName name="_xlnm._FilterDatabase" localSheetId="11" hidden="1">NhanSu!$A$1:$W$54</definedName>
    <definedName name="_xlnm._FilterDatabase" localSheetId="6" hidden="1">NhanSuMoi!$A$1:$M$47</definedName>
    <definedName name="_xlnm._FilterDatabase" localSheetId="3" hidden="1">'NhaSX-CungCap'!$A$1:$H$62</definedName>
    <definedName name="_xlnm._FilterDatabase" localSheetId="9" hidden="1">PhanBoCatDien!$B$1:$J$16</definedName>
    <definedName name="_xlnm._FilterDatabase" localSheetId="8" hidden="1">QuyMoCongTrinh!$A$1:$G$35</definedName>
    <definedName name="DGVC">[1]VCTC!$A$11:$J$33</definedName>
    <definedName name="DONGIA">[1]DG!$A$6:$H$613</definedName>
    <definedName name="dongia1">[2]DG!$A$5:$I$1360</definedName>
    <definedName name="tbmt">TBMT!$A:$J</definedName>
    <definedName name="TT">[3]DG!$A$5:$I$1419</definedName>
  </definedNames>
  <calcPr calcId="144525"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 i="7" l="1"/>
  <c r="K1" i="7"/>
  <c r="M4" i="1"/>
  <c r="M28" i="1"/>
  <c r="M27" i="1"/>
  <c r="R18" i="1"/>
  <c r="P18" i="1"/>
  <c r="T18" i="1"/>
  <c r="E50" i="6"/>
  <c r="H12" i="20"/>
  <c r="E5" i="20"/>
  <c r="D2" i="20"/>
  <c r="E6" i="20"/>
  <c r="D7" i="6"/>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23" i="19"/>
  <c r="D9" i="23"/>
  <c r="C14" i="20"/>
  <c r="C15" i="20"/>
  <c r="C16" i="20"/>
  <c r="C21" i="19"/>
  <c r="C11" i="19"/>
  <c r="C6" i="19"/>
  <c r="C2" i="19"/>
  <c r="C30" i="19"/>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c r="L2" i="6"/>
  <c r="D8" i="23"/>
  <c r="L8" i="6"/>
  <c r="D41" i="23"/>
  <c r="L10" i="6"/>
  <c r="L21" i="6"/>
  <c r="D11" i="23"/>
  <c r="L24" i="6"/>
  <c r="L28" i="6"/>
  <c r="D10" i="23"/>
  <c r="L30" i="6"/>
  <c r="D38" i="23"/>
  <c r="L32" i="6"/>
  <c r="D39" i="23"/>
  <c r="L34" i="6"/>
  <c r="D37" i="23"/>
  <c r="L42" i="6"/>
  <c r="D40" i="23"/>
  <c r="L45" i="6"/>
  <c r="D5" i="23"/>
  <c r="L51" i="6"/>
  <c r="D21" i="23"/>
  <c r="L54" i="6"/>
  <c r="D20" i="23"/>
  <c r="L7" i="6"/>
  <c r="D18" i="23"/>
  <c r="L11" i="6"/>
  <c r="D7" i="23"/>
  <c r="L13" i="6"/>
  <c r="L14" i="6"/>
  <c r="L19" i="6"/>
  <c r="L20" i="6"/>
  <c r="L27" i="6"/>
  <c r="D17" i="23"/>
  <c r="L29" i="6"/>
  <c r="D6" i="23"/>
  <c r="L36" i="6"/>
  <c r="D31" i="23"/>
  <c r="L37" i="6"/>
  <c r="D16" i="23"/>
  <c r="L38" i="6"/>
  <c r="D19" i="23"/>
  <c r="L41" i="6"/>
  <c r="L43" i="6"/>
  <c r="D30" i="23"/>
  <c r="L46" i="6"/>
  <c r="D29" i="23"/>
  <c r="L47" i="6"/>
  <c r="L48" i="6"/>
  <c r="L4" i="6"/>
  <c r="C3" i="20"/>
  <c r="C4" i="20"/>
  <c r="C5" i="20"/>
  <c r="C6" i="20"/>
  <c r="C7" i="20"/>
  <c r="C8" i="20"/>
  <c r="C9" i="20"/>
  <c r="C10" i="20"/>
  <c r="C11" i="20"/>
  <c r="C12" i="20"/>
  <c r="C13" i="20"/>
  <c r="C2" i="20"/>
  <c r="N1" i="7"/>
  <c r="O1" i="7"/>
  <c r="P1" i="7"/>
  <c r="Q1" i="7"/>
  <c r="M1" i="7"/>
  <c r="H1" i="7"/>
  <c r="N2" i="7"/>
  <c r="O2" i="7"/>
  <c r="M2" i="7"/>
  <c r="P2" i="7"/>
  <c r="Q2" i="7"/>
  <c r="E3" i="7"/>
  <c r="E4" i="7"/>
  <c r="E5" i="7"/>
  <c r="E6" i="7"/>
  <c r="E7" i="7"/>
  <c r="E2" i="7"/>
  <c r="E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1" i="1"/>
  <c r="M22" i="14"/>
  <c r="M21" i="14"/>
  <c r="M13" i="14"/>
  <c r="M14" i="14"/>
  <c r="M15" i="14"/>
  <c r="M16" i="14"/>
  <c r="M17" i="14"/>
  <c r="M18" i="14"/>
  <c r="M19" i="14"/>
  <c r="M20" i="14"/>
  <c r="M23" i="14"/>
  <c r="M24" i="14"/>
  <c r="N19" i="1"/>
  <c r="G5" i="12"/>
  <c r="F1" i="14"/>
  <c r="G1" i="14"/>
  <c r="M11" i="14"/>
  <c r="M12" i="14"/>
  <c r="M10" i="14"/>
  <c r="M3" i="14"/>
  <c r="M4" i="14"/>
  <c r="M5" i="14"/>
  <c r="M6" i="14"/>
  <c r="M2" i="14"/>
  <c r="E1" i="14"/>
  <c r="H1" i="14"/>
  <c r="I1" i="14"/>
  <c r="J1" i="14"/>
  <c r="K1" i="14"/>
  <c r="D1" i="14"/>
  <c r="A1" i="2"/>
  <c r="A5" i="2"/>
  <c r="R16" i="1"/>
  <c r="P16" i="1"/>
  <c r="E40" i="6"/>
  <c r="R14" i="1"/>
  <c r="P14" i="1"/>
  <c r="D28" i="23"/>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c r="L2" i="1"/>
  <c r="C2" i="1"/>
  <c r="B2" i="1"/>
  <c r="J2" i="1"/>
  <c r="H2" i="1"/>
  <c r="D2" i="1"/>
  <c r="F2" i="1"/>
  <c r="L24" i="1"/>
  <c r="N24" i="1"/>
  <c r="C7" i="3"/>
  <c r="C4" i="3"/>
  <c r="C3" i="3"/>
  <c r="C2" i="3"/>
  <c r="C6" i="3"/>
  <c r="C33" i="3"/>
  <c r="N2" i="1"/>
  <c r="M2" i="1"/>
  <c r="J12" i="1"/>
  <c r="J13" i="1"/>
  <c r="J11" i="1"/>
  <c r="L12" i="1"/>
  <c r="M12" i="1"/>
  <c r="L13" i="1"/>
  <c r="M13" i="1"/>
  <c r="M11" i="1"/>
  <c r="N13" i="1"/>
  <c r="N12"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6" i="6"/>
  <c r="E23" i="6"/>
  <c r="E49" i="6"/>
  <c r="E35" i="6"/>
  <c r="E39" i="6"/>
  <c r="E17" i="6"/>
  <c r="E22" i="6"/>
  <c r="D22" i="23"/>
  <c r="E31" i="6"/>
  <c r="E9" i="6"/>
  <c r="E18" i="6"/>
  <c r="D13" i="23"/>
  <c r="E12" i="6"/>
  <c r="E15" i="6"/>
  <c r="E33" i="6"/>
  <c r="E25" i="6"/>
  <c r="D33" i="23"/>
  <c r="E44" i="6"/>
  <c r="D34" i="23"/>
  <c r="D15" i="23"/>
  <c r="D27" i="23"/>
  <c r="D36" i="23"/>
  <c r="D26" i="23"/>
  <c r="D25" i="23"/>
  <c r="D14" i="23"/>
  <c r="E3" i="6"/>
  <c r="D35" i="23"/>
  <c r="D24" i="23"/>
  <c r="D12" i="23"/>
  <c r="D32" i="23"/>
  <c r="E5" i="6"/>
  <c r="D3" i="23"/>
  <c r="D2" i="23"/>
  <c r="L1" i="6"/>
  <c r="E16" i="6"/>
  <c r="D1" i="6"/>
  <c r="D42" i="23"/>
  <c r="D23" i="23"/>
</calcChain>
</file>

<file path=xl/sharedStrings.xml><?xml version="1.0" encoding="utf-8"?>
<sst xmlns="http://schemas.openxmlformats.org/spreadsheetml/2006/main" count="1658" uniqueCount="728">
  <si>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</si>
  <si>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</si>
  <si>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</si>
  <si>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</si>
  <si>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</si>
  <si>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</si>
  <si>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</si>
  <si>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</si>
  <si>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</si>
  <si>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</si>
  <si>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</si>
  <si>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</si>
  <si>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</si>
  <si>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</si>
  <si>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</si>
  <si>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</si>
  <si>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</si>
  <si>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</si>
  <si>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</si>
  <si>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</si>
  <si>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</si>
  <si>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</si>
  <si>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</si>
  <si>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</si>
  <si>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</si>
  <si>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</si>
  <si>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</si>
  <si>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</si>
  <si>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</si>
  <si>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</si>
  <si>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</si>
  <si>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</si>
  <si>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</si>
  <si>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</si>
  <si>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</si>
  <si>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</si>
  <si>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</si>
  <si>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</si>
  <si>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</si>
  <si>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</si>
  <si>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</si>
  <si>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</si>
  <si>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</si>
  <si>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</si>
  <si>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</si>
  <si>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</si>
  <si>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</si>
  <si>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</si>
  <si>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</si>
  <si>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</si>
  <si>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</si>
  <si>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</si>
  <si>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</si>
  <si>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</si>
  <si>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</si>
  <si>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</si>
  <si>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</si>
  <si>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</si>
  <si>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</si>
  <si>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</si>
  <si>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</si>
  <si>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</si>
  <si>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</si>
  <si>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</si>
  <si>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</si>
  <si>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</si>
  <si>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</si>
  <si>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</si>
  <si>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</si>
  <si>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</si>
  <si>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</si>
  <si>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</si>
  <si>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</si>
  <si>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</si>
  <si>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</si>
  <si>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</si>
  <si>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</si>
  <si>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</si>
  <si>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</si>
  <si>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</si>
  <si>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</si>
  <si>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</si>
  <si>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</si>
  <si>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</si>
  <si>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</si>
  <si>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</si>
  <si>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</si>
  <si>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</si>
  <si>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</si>
  <si>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</si>
  <si>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</si>
  <si>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</si>
  <si>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</si>
  <si>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</si>
  <si>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</si>
  <si>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</si>
  <si>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</si>
  <si>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</si>
  <si>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</si>
  <si>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</si>
  <si>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</si>
  <si>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</si>
  <si>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</si>
  <si>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</si>
  <si>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</si>
  <si>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</si>
  <si>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</si>
  <si>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</si>
  <si>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</si>
  <si>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</si>
  <si>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</si>
  <si>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</si>
  <si>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</si>
  <si>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</si>
  <si>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</si>
  <si>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</si>
  <si>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</si>
  <si>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</si>
  <si>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</si>
  <si>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</si>
  <si>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</si>
  <si>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</si>
  <si>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</si>
  <si>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</si>
  <si>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</si>
  <si>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</si>
  <si>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</si>
  <si>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</si>
  <si>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</si>
  <si>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</si>
  <si>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</si>
  <si>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</si>
  <si>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</si>
  <si>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</si>
  <si>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</si>
  <si>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</si>
  <si>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</si>
  <si>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</si>
  <si>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</si>
  <si>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</si>
  <si>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</si>
  <si>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</si>
  <si>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</si>
  <si>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</si>
  <si>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</si>
  <si>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</si>
  <si>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</si>
  <si>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</si>
  <si>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</si>
  <si>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</si>
  <si>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</si>
  <si>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</si>
  <si>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</si>
  <si>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</si>
  <si>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</si>
  <si>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</si>
  <si>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</si>
  <si>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</si>
  <si>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</si>
  <si>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</si>
  <si>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</si>
  <si>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</si>
  <si>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</si>
  <si>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</si>
  <si>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</si>
  <si>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</si>
  <si>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</si>
  <si>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</si>
  <si>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</si>
  <si>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</si>
  <si>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</si>
  <si>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</si>
  <si>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</si>
  <si>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</si>
  <si>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</si>
  <si>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</si>
  <si>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</si>
  <si>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</si>
  <si>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</si>
  <si>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</si>
  <si>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</si>
  <si>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</si>
  <si>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</si>
  <si>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</si>
  <si>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</si>
  <si>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</si>
  <si>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</si>
  <si>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</si>
  <si>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</si>
  <si>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</si>
  <si>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</si>
  <si>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</si>
  <si>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</si>
  <si>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</si>
  <si>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</si>
  <si>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</si>
  <si>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</si>
  <si>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</si>
  <si>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</si>
  <si>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</si>
  <si>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</si>
  <si>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</si>
  <si>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</si>
  <si>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</si>
  <si>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</si>
  <si>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</si>
  <si>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</si>
  <si>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</si>
  <si>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</si>
  <si>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</si>
  <si>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</si>
  <si>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</si>
  <si>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</si>
  <si>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</si>
  <si>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</si>
  <si>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</si>
  <si>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</si>
  <si>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</si>
  <si>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</si>
  <si>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</si>
  <si>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</si>
  <si>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</si>
  <si>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</si>
  <si>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</si>
  <si>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</si>
  <si>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</si>
  <si>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</si>
  <si>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</si>
  <si>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</si>
  <si>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</si>
  <si>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</si>
  <si>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</si>
  <si>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</si>
  <si>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</si>
  <si>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</si>
  <si>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</si>
  <si>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</si>
  <si>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</si>
  <si>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</si>
  <si>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</si>
  <si>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</si>
  <si>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</si>
  <si>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</si>
  <si>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</si>
  <si>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</si>
  <si>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</si>
  <si>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</si>
  <si>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</si>
  <si>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</si>
  <si>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</si>
  <si>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</si>
  <si>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</si>
  <si>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</si>
  <si>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</si>
  <si>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</si>
  <si>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</si>
  <si>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</si>
  <si>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</si>
  <si>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</si>
  <si>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</si>
  <si>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</si>
  <si>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</si>
  <si>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</si>
  <si>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</si>
  <si>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</si>
  <si>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</si>
  <si>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</si>
  <si>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</si>
  <si>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</si>
  <si>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</si>
  <si>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</si>
  <si>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</si>
  <si>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</si>
  <si>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</si>
  <si>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</si>
  <si>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</si>
  <si>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</si>
  <si>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</si>
  <si>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</si>
  <si>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</si>
  <si>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</si>
  <si>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</si>
  <si>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</si>
  <si>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</si>
  <si>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</si>
  <si>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</si>
  <si>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</si>
  <si>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</si>
  <si>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</si>
  <si>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</si>
  <si>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</si>
  <si>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</si>
  <si>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</si>
  <si>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</si>
  <si>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</si>
  <si>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</si>
  <si>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</si>
  <si>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</si>
  <si>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</si>
  <si>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</si>
  <si>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</si>
  <si>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</si>
  <si>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</si>
  <si>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</si>
  <si>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</si>
  <si>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</si>
  <si>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</si>
  <si>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</si>
  <si>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</si>
  <si>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</si>
  <si>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</si>
  <si>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</si>
  <si>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</si>
  <si>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</si>
  <si>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</si>
  <si>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</si>
  <si>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</si>
  <si>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</si>
  <si>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</si>
  <si>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</si>
  <si>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</si>
  <si>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</si>
  <si>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</si>
  <si>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</si>
  <si>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</si>
  <si>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</si>
  <si>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</si>
  <si>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</si>
  <si>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</si>
  <si>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</si>
  <si>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</si>
  <si>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</si>
  <si>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</si>
  <si>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</si>
  <si>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</si>
  <si>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</si>
  <si>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</si>
  <si>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</si>
  <si>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</si>
  <si>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</si>
  <si>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</si>
  <si>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</si>
  <si>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</si>
  <si>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</si>
  <si>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</si>
  <si>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</si>
  <si>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</si>
  <si>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</si>
  <si>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</si>
  <si>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</si>
  <si>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</si>
  <si>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</si>
  <si>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</si>
  <si>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</si>
  <si>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</si>
  <si>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</si>
  <si>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</si>
  <si>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</si>
  <si>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</si>
  <si>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</si>
  <si>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</si>
  <si>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</si>
  <si>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</si>
  <si>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</si>
  <si>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</si>
  <si>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</si>
  <si>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</si>
  <si>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</si>
  <si>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</si>
  <si>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</si>
  <si>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</si>
  <si>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</si>
  <si>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</si>
  <si>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</si>
  <si>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</si>
  <si>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</si>
  <si>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</si>
  <si>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</si>
  <si>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</si>
  <si>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</si>
  <si>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</si>
  <si>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</si>
  <si>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</si>
  <si>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</si>
  <si>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</si>
  <si>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</si>
  <si>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</si>
  <si>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</si>
  <si>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</si>
  <si>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</si>
  <si>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</si>
  <si>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</si>
  <si>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</si>
  <si>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</si>
  <si>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</si>
  <si>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</si>
  <si>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</si>
  <si>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</si>
  <si>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</si>
  <si>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</si>
  <si>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</si>
  <si>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</si>
  <si>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</si>
  <si>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</si>
  <si>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</si>
  <si>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</si>
  <si>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</si>
  <si>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</si>
  <si>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</si>
  <si>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</si>
  <si>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</si>
  <si>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</si>
  <si>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</si>
  <si>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</si>
  <si>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</si>
  <si>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</si>
  <si>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</si>
  <si>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</si>
  <si>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</si>
  <si>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</si>
  <si>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</si>
  <si>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</si>
  <si>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</si>
  <si>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</si>
  <si>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</si>
  <si>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</si>
  <si>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</si>
  <si>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</si>
  <si>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</si>
  <si>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</si>
  <si>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</si>
  <si>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</si>
  <si>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</si>
  <si>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</si>
  <si>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</si>
  <si>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</si>
  <si>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</si>
  <si>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</si>
  <si>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</si>
  <si>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</si>
  <si>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</si>
  <si>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</si>
  <si>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</si>
  <si>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</si>
  <si>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</si>
  <si>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</si>
  <si>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</si>
  <si>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</si>
  <si>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</si>
  <si>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</si>
  <si>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</si>
  <si>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</si>
  <si>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</si>
  <si>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</si>
  <si>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</si>
  <si>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</si>
  <si>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</si>
  <si>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</si>
  <si>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</si>
  <si>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</si>
  <si>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</si>
  <si>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</si>
  <si>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</si>
  <si>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</si>
  <si>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</si>
  <si>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</si>
  <si>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</si>
  <si>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</si>
  <si>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</si>
  <si>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</si>
  <si>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</si>
  <si>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</si>
  <si>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</si>
  <si>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</si>
  <si>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</si>
  <si>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</si>
  <si>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</si>
  <si>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</si>
  <si>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</si>
  <si>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</si>
  <si>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</si>
  <si>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</si>
  <si>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</si>
  <si>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</si>
  <si>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</si>
  <si>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</si>
  <si>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</si>
  <si>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</si>
  <si>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</si>
  <si>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</si>
  <si>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</si>
  <si>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</si>
  <si>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</si>
  <si>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</si>
  <si>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</si>
  <si>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</si>
  <si>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</si>
  <si>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</si>
  <si>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</si>
  <si>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</si>
  <si>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</si>
  <si>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</si>
  <si>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</si>
  <si>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</si>
  <si>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</si>
  <si>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</si>
  <si>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</si>
  <si>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</si>
  <si>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</si>
  <si>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</si>
  <si>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</si>
  <si>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</si>
  <si>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</si>
  <si>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</si>
  <si>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</si>
  <si>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</si>
  <si>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</si>
  <si>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</si>
  <si>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</si>
  <si>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</si>
  <si>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</si>
  <si>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</si>
  <si>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</si>
  <si>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</si>
  <si>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</si>
  <si>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</si>
  <si>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</si>
  <si>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</si>
  <si>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</si>
  <si>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</si>
  <si>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</si>
  <si>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</si>
  <si>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</si>
  <si>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</si>
  <si>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</si>
  <si>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</si>
  <si>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</si>
  <si>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</si>
  <si>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</si>
  <si>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</si>
  <si>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</si>
  <si>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</si>
  <si>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</si>
  <si>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</si>
  <si>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</si>
  <si>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</si>
  <si>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</si>
  <si>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</si>
  <si>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</si>
  <si>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</si>
  <si>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</si>
  <si>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</si>
  <si>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</si>
  <si>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</si>
  <si>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</si>
  <si>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</si>
  <si>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</si>
  <si>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</si>
  <si>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</si>
  <si>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</si>
  <si>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</si>
  <si>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</si>
  <si>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</si>
  <si>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</si>
  <si>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</si>
  <si>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</si>
  <si>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</si>
  <si>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</si>
  <si>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</si>
  <si>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</si>
  <si>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</si>
  <si>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</si>
  <si>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</si>
  <si>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</si>
  <si>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</si>
  <si>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</si>
  <si>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</si>
  <si>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</si>
  <si>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</si>
  <si>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</si>
  <si>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</si>
  <si>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</si>
  <si>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</si>
  <si>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</si>
  <si>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</si>
  <si>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</si>
  <si>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</si>
  <si>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</si>
  <si>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</si>
  <si>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</si>
  <si>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</si>
  <si>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</si>
  <si>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</si>
  <si>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</si>
  <si>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</si>
  <si>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</si>
  <si>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</si>
  <si>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</si>
  <si>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</si>
  <si>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</si>
  <si>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</si>
  <si>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</si>
  <si>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</si>
  <si>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</si>
  <si>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</si>
  <si>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</si>
  <si>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</si>
  <si>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</si>
  <si>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</si>
  <si>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</si>
  <si>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</si>
  <si>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</si>
  <si>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</si>
  <si>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</si>
  <si>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</si>
  <si>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Dự án đầu tư</t>
  </si>
  <si>
    <t>Tên dự án</t>
  </si>
  <si>
    <t>công trình: Xây dựng mới lộ ra tuyến 481 máy T1 TBA 110kV Xuân Trường và tuyến đường dây 22kV</t>
  </si>
  <si>
    <t>Đấu thầu rộng rãi</t>
  </si>
  <si>
    <t>Bảo đảm dự thầu</t>
  </si>
  <si>
    <t>Hình thức đảm bảo</t>
  </si>
  <si>
    <t>Thư bảo lãnh</t>
  </si>
  <si>
    <t>18.600.000 VND</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</si>
  <si>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</si>
  <si>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</si>
  <si>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</si>
  <si>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</si>
  <si>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</si>
  <si>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</si>
  <si>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</si>
  <si>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</si>
  <si>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</si>
  <si>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</si>
  <si>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</si>
  <si>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</si>
  <si>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</si>
  <si>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</si>
  <si>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</si>
  <si>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</si>
  <si>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</si>
  <si>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</si>
  <si>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</si>
  <si>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</si>
  <si>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</si>
  <si>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</si>
  <si>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</si>
  <si>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</si>
  <si>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</si>
  <si>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</si>
  <si>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</si>
  <si>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</si>
  <si>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</si>
  <si>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</si>
  <si>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</si>
  <si>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</si>
  <si>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</si>
  <si>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</si>
  <si>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</si>
  <si>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ĐIỆN LỰC LONG KHÁNH –Số 03, đường Nguyễn Công Trứ – P.Xuân An, TP. Long Khánh, tỉnh Đồng Nai</t>
  </si>
  <si>
    <t>Thi công xây lắp</t>
  </si>
  <si>
    <t>Sửa chữa đường dây hạ thế sau các TBA Cây Da 1, 2, 3, 4, 5, 6, 7, 10, 11 – SCL 2021</t>
  </si>
  <si>
    <t>vốn SXKD năm 2020</t>
  </si>
  <si>
    <t>1,244,845,918 VND</t>
  </si>
  <si>
    <t>Một tỷ hai trăm bốn mươi bốn triệu tám trăm bốn mươi năm nghìn chín trăm mười tám đồng chẵn</t>
  </si>
  <si>
    <t>13.000.000 VND</t>
  </si>
  <si>
    <t>Mười ba triệu đồng chẵn</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</si>
  <si>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</si>
  <si>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</si>
  <si>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</si>
  <si>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</si>
  <si>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</si>
  <si>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</si>
  <si>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</si>
  <si>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</si>
  <si>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</si>
  <si>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</si>
  <si>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</si>
  <si>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</si>
  <si>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</si>
  <si>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</si>
  <si>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</si>
  <si>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</si>
  <si>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</si>
  <si>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</si>
  <si>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</si>
  <si>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</si>
  <si>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</si>
  <si>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</si>
  <si>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</si>
  <si>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</si>
  <si>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</si>
  <si>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</si>
  <si>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</si>
  <si>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</si>
  <si>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</si>
  <si>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</si>
  <si>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</si>
  <si>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</si>
  <si>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</si>
  <si>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</si>
  <si>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</si>
  <si>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</si>
  <si>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</si>
  <si>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</si>
  <si>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</si>
  <si>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</si>
  <si>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</si>
  <si>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</si>
  <si>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</si>
  <si>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</si>
  <si>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</si>
  <si>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</si>
  <si>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</si>
  <si>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</si>
  <si>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</si>
  <si>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</si>
  <si>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</si>
  <si>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</si>
  <si>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</si>
  <si>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</si>
  <si>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</si>
  <si>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</si>
  <si>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</si>
  <si>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Chờ cắt điện thi công, cắt điện thi công tháo gỡ thu hồi vật tư phụ kiện đường dây; lắp đặt phụ kiện đường dây; kéo rãi căng dây và đấu nối hoàn chỉnh</t>
  </si>
  <si>
    <t>Hộp phân phối 6CB, 9CB</t>
  </si>
  <si>
    <t>Đại Thiên An</t>
  </si>
  <si>
    <t>K/Q</t>
  </si>
  <si>
    <t>K/H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</si>
</sst>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dd/mm"/>
    <numFmt numFmtId="165" formatCode="_(* #,##0_);_(* \(#,##0\);_(* &quot;-&quot;??_);_(@_)"/>
    <numFmt numFmtId="166" formatCode="dd/mm/yyyy\ h:mm\ AM/PM"/>
    <numFmt numFmtId="167"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7" fontId="22" fillId="0" borderId="0" applyFont="0" applyFill="0" applyBorder="0" applyAlignment="0" applyProtection="0"/>
  </cellStyleXfs>
  <cellXfs count="143">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6" fontId="2" fillId="0" borderId="0" xfId="0" applyNumberFormat="1" applyFont="1" applyAlignment="1">
      <alignment vertical="center" wrapText="1"/>
    </xf>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5"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6"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65" fontId="0" fillId="0" borderId="0" xfId="1" applyNumberFormat="1" applyFont="1"/>
    <xf numFmtId="14" fontId="21" fillId="0" borderId="0" xfId="0" applyNumberFormat="1" applyFont="1" applyAlignment="1">
      <alignment horizontal="center" vertical="center" wrapText="1"/>
    </xf>
    <xf numFmtId="14" fontId="13" fillId="0" borderId="0" xfId="0" applyNumberFormat="1" applyFont="1" applyAlignment="1">
      <alignment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0" fontId="7" fillId="0" borderId="0" xfId="0" applyFont="1" applyBorder="1" applyAlignment="1">
      <alignment vertical="center"/>
    </xf>
    <xf numFmtId="0" fontId="7" fillId="0" borderId="5" xfId="0" applyFont="1" applyBorder="1" applyAlignment="1"/>
    <xf numFmtId="0" fontId="7" fillId="0" borderId="6" xfId="0" applyFont="1" applyBorder="1" applyAlignment="1"/>
    <xf numFmtId="0" fontId="7" fillId="0" borderId="0" xfId="0" applyFont="1" applyBorder="1" applyAlignment="1"/>
    <xf numFmtId="0" fontId="23" fillId="0" borderId="0" xfId="3" applyFont="1" applyBorder="1" applyAlignment="1">
      <alignment vertical="center"/>
    </xf>
    <xf numFmtId="0" fontId="23" fillId="0" borderId="0" xfId="3" applyFont="1" applyBorder="1" applyAlignment="1"/>
  </cellXfs>
  <cellStyles count="6">
    <cellStyle name="Comma" xfId="1" builtinId="3"/>
    <cellStyle name="Comma 2" xfId="5"/>
    <cellStyle name="Hyperlink" xfId="3" builtinId="8"/>
    <cellStyle name="Normal" xfId="0" builtinId="0"/>
    <cellStyle name="Normal 2" xfId="2"/>
    <cellStyle name="Normal 3" xfId="4"/>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514350</xdr:colOff>
      <xdr:row>1</xdr:row>
      <xdr:rowOff>81915</xdr:rowOff>
    </xdr:from>
    <xdr:to>
      <xdr:col>20</xdr:col>
      <xdr:colOff>83820</xdr:colOff>
      <xdr:row>9</xdr:row>
      <xdr:rowOff>243205</xdr:rowOff>
    </xdr:to>
    <xdr:pic>
      <xdr:nvPicPr>
        <xdr:cNvPr id="2" name="Picture 1">
          <a:extLst>
            <a:ext uri="{FF2B5EF4-FFF2-40B4-BE49-F238E27FC236}">
              <a16:creationId xmlns:a16="http://schemas.microsoft.com/office/drawing/2014/main" xmlns=""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0782300" y="396240"/>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election activeCell="B1" sqref="B1:M41"/>
    </sheetView>
  </sheetViews>
  <sheetFormatPr defaultRowHeight="15" x14ac:dyDescent="0.25"/>
  <cols>
    <col min="1" max="1" width="26.7109375" style="103" bestFit="1" customWidth="1"/>
    <col min="2" max="2" width="26.7109375" bestFit="1" customWidth="1"/>
    <col min="3" max="3" width="10.42578125" customWidth="1"/>
    <col min="4" max="4" width="42.28515625" customWidth="1"/>
    <col min="5" max="5" width="23" customWidth="1"/>
    <col min="10" max="10" width="15.7109375" bestFit="1" customWidth="1"/>
  </cols>
  <sheetData>
    <row r="1" spans="1:13" ht="25.9" customHeight="1" x14ac:dyDescent="0.25">
      <c r="A1" s="103" t="str">
        <f>LEFT(D1,11)</f>
        <v/>
      </c>
      <c r="B1" s="51" t="s">
        <v>413</v>
      </c>
      <c r="C1" s="41"/>
      <c r="D1" s="41"/>
      <c r="E1" s="52"/>
      <c r="F1" s="41"/>
      <c r="G1" s="41"/>
      <c r="H1" s="41"/>
      <c r="I1" s="41"/>
      <c r="J1" s="52"/>
      <c r="K1" s="41"/>
      <c r="L1" s="41"/>
      <c r="M1" s="41"/>
    </row>
    <row r="2" spans="1:13" ht="14.45" x14ac:dyDescent="0.3">
      <c r="A2" s="104" t="str">
        <f>TRIM(B2)</f>
        <v/>
      </c>
      <c r="B2" s="41"/>
      <c r="C2" s="41"/>
      <c r="D2" s="41"/>
      <c r="E2" s="41"/>
      <c r="F2" s="41"/>
      <c r="G2" s="41"/>
      <c r="H2" s="41"/>
      <c r="I2" s="41"/>
      <c r="J2" s="41"/>
      <c r="K2" s="41"/>
      <c r="L2" s="41"/>
      <c r="M2" s="41"/>
    </row>
    <row r="3" spans="1:13" ht="14.45" x14ac:dyDescent="0.3">
      <c r="A3" s="104" t="str">
        <f t="shared" ref="A3:A39" si="0">TRIM(B3)</f>
        <v/>
      </c>
      <c r="B3" s="41"/>
      <c r="C3" s="41"/>
      <c r="D3" s="41"/>
      <c r="E3" s="41"/>
      <c r="F3" s="41"/>
      <c r="G3" s="41"/>
      <c r="H3" s="41"/>
      <c r="I3" s="41"/>
      <c r="J3" s="41"/>
      <c r="K3" s="41"/>
      <c r="L3" s="41"/>
      <c r="M3" s="41"/>
    </row>
    <row r="4" spans="1:13" ht="14.45" x14ac:dyDescent="0.3">
      <c r="A4" s="104" t="str">
        <f t="shared" si="0"/>
        <v/>
      </c>
      <c r="B4" s="41"/>
      <c r="C4" s="41"/>
      <c r="D4" s="41"/>
      <c r="E4" s="41"/>
      <c r="F4" s="41"/>
      <c r="G4" s="41"/>
      <c r="H4" s="41"/>
      <c r="I4" s="41"/>
      <c r="J4" s="52"/>
      <c r="K4" s="41"/>
      <c r="L4" s="41"/>
      <c r="M4" s="41"/>
    </row>
    <row r="5" spans="1:13" ht="14.45" x14ac:dyDescent="0.3">
      <c r="A5" s="104" t="str">
        <f>TRIM(B5)</f>
        <v/>
      </c>
      <c r="B5" s="41"/>
      <c r="C5" s="41"/>
      <c r="D5" s="41"/>
      <c r="E5" s="41"/>
      <c r="F5" s="41"/>
      <c r="G5" s="41"/>
      <c r="H5" s="41"/>
      <c r="I5" s="41"/>
      <c r="J5" s="41"/>
      <c r="K5" s="41"/>
      <c r="L5" s="41"/>
      <c r="M5" s="41"/>
    </row>
    <row r="6" spans="1:13" ht="14.45" x14ac:dyDescent="0.3">
      <c r="A6" s="104" t="str">
        <f t="shared" si="0"/>
        <v/>
      </c>
      <c r="B6" s="41"/>
      <c r="C6" s="41"/>
      <c r="D6" s="41"/>
      <c r="E6" s="41"/>
      <c r="F6" s="41"/>
      <c r="G6" s="41"/>
      <c r="H6" s="41"/>
      <c r="I6" s="41"/>
      <c r="J6" s="41"/>
      <c r="K6" s="41"/>
      <c r="L6" s="41"/>
      <c r="M6" s="41"/>
    </row>
    <row r="7" spans="1:13" x14ac:dyDescent="0.25">
      <c r="A7" s="104" t="str">
        <f t="shared" si="0"/>
        <v>Thông tin chung</v>
      </c>
      <c r="B7" s="41" t="s">
        <v>414</v>
      </c>
      <c r="C7" s="41"/>
      <c r="D7" s="41"/>
      <c r="E7" s="41"/>
      <c r="F7" s="41"/>
      <c r="G7" s="41"/>
      <c r="H7" s="41"/>
      <c r="I7" s="41"/>
      <c r="J7" s="41"/>
      <c r="K7" s="41"/>
      <c r="L7" s="41"/>
      <c r="M7" s="41"/>
    </row>
    <row r="8" spans="1:13" x14ac:dyDescent="0.25">
      <c r="A8" s="104" t="str">
        <f t="shared" si="0"/>
        <v>Số TBMT</v>
      </c>
      <c r="B8" s="41" t="s">
        <v>265</v>
      </c>
      <c r="C8" s="41"/>
      <c r="D8" s="41" t="s">
        <v>657</v>
      </c>
      <c r="E8" s="41"/>
      <c r="F8" s="41"/>
      <c r="G8" s="41"/>
      <c r="H8" s="41" t="s">
        <v>266</v>
      </c>
      <c r="I8" s="41"/>
      <c r="J8" s="52">
        <v>44070.644444444442</v>
      </c>
      <c r="K8" s="41"/>
      <c r="L8" s="41"/>
      <c r="M8" s="41"/>
    </row>
    <row r="9" spans="1:13" x14ac:dyDescent="0.25">
      <c r="A9" s="104" t="str">
        <f t="shared" si="0"/>
        <v>Hình thức thông báo</v>
      </c>
      <c r="B9" s="41" t="s">
        <v>267</v>
      </c>
      <c r="C9" s="41"/>
      <c r="D9" s="41" t="s">
        <v>607</v>
      </c>
      <c r="E9" s="41"/>
      <c r="F9" s="41"/>
      <c r="G9" s="41"/>
      <c r="H9" s="41"/>
      <c r="I9" s="41"/>
      <c r="J9" s="41"/>
      <c r="K9" s="41"/>
      <c r="L9" s="41"/>
      <c r="M9" s="41"/>
    </row>
    <row r="10" spans="1:13" x14ac:dyDescent="0.25">
      <c r="A10" s="104" t="str">
        <f t="shared" si="0"/>
        <v>Loại thông báo</v>
      </c>
      <c r="B10" s="41" t="s">
        <v>268</v>
      </c>
      <c r="C10" s="41"/>
      <c r="D10" s="41" t="s">
        <v>269</v>
      </c>
      <c r="E10" s="41"/>
      <c r="F10" s="41"/>
      <c r="G10" s="41"/>
      <c r="H10" s="41" t="s">
        <v>270</v>
      </c>
      <c r="I10" s="41"/>
      <c r="J10" s="41" t="s">
        <v>271</v>
      </c>
      <c r="K10" s="41"/>
      <c r="L10" s="41"/>
      <c r="M10" s="41"/>
    </row>
    <row r="11" spans="1:13" x14ac:dyDescent="0.25">
      <c r="A11" s="104" t="str">
        <f t="shared" si="0"/>
        <v>Bên mời thầu</v>
      </c>
      <c r="B11" s="41" t="s">
        <v>272</v>
      </c>
      <c r="C11" s="41"/>
      <c r="D11" s="41" t="s">
        <v>416</v>
      </c>
      <c r="E11" s="41"/>
      <c r="F11" s="41"/>
      <c r="G11" s="41"/>
      <c r="H11" s="41"/>
      <c r="I11" s="41"/>
      <c r="J11" s="41"/>
      <c r="K11" s="41"/>
      <c r="L11" s="41"/>
      <c r="M11" s="41"/>
    </row>
    <row r="12" spans="1:13" x14ac:dyDescent="0.25">
      <c r="A12" s="104" t="str">
        <f t="shared" si="0"/>
        <v>Chủ đầu tư</v>
      </c>
      <c r="B12" s="41" t="s">
        <v>273</v>
      </c>
      <c r="C12" s="41"/>
      <c r="D12" s="41" t="s">
        <v>658</v>
      </c>
      <c r="E12" s="41"/>
      <c r="F12" s="41"/>
      <c r="G12" s="41"/>
      <c r="H12" s="41"/>
      <c r="I12" s="41"/>
      <c r="J12" s="41"/>
      <c r="K12" s="41"/>
      <c r="L12" s="41"/>
      <c r="M12" s="41"/>
    </row>
    <row r="13" spans="1:13" x14ac:dyDescent="0.25">
      <c r="A13" s="104" t="str">
        <f t="shared" si="0"/>
        <v>Phân loại</v>
      </c>
      <c r="B13" s="41" t="s">
        <v>274</v>
      </c>
      <c r="C13" s="41"/>
      <c r="D13" s="41" t="s">
        <v>615</v>
      </c>
      <c r="E13" s="41"/>
      <c r="F13" s="41"/>
      <c r="G13" s="41"/>
      <c r="H13" s="41"/>
      <c r="I13" s="41"/>
      <c r="J13" s="41"/>
      <c r="K13" s="41"/>
      <c r="L13" s="41"/>
      <c r="M13" s="41"/>
    </row>
    <row r="14" spans="1:13" x14ac:dyDescent="0.25">
      <c r="A14" s="104" t="str">
        <f t="shared" si="0"/>
        <v>Tên gói thầu</v>
      </c>
      <c r="B14" s="41" t="s">
        <v>275</v>
      </c>
      <c r="C14" s="41"/>
      <c r="D14" s="41" t="s">
        <v>659</v>
      </c>
      <c r="E14" s="41"/>
      <c r="F14" s="41"/>
      <c r="G14" s="41"/>
      <c r="H14" s="41"/>
      <c r="I14" s="41"/>
      <c r="J14" s="41"/>
      <c r="K14" s="41"/>
      <c r="L14" s="41"/>
      <c r="M14" s="41"/>
    </row>
    <row r="15" spans="1:13" x14ac:dyDescent="0.25">
      <c r="A15" s="104" t="str">
        <f t="shared" si="0"/>
        <v>Tên dự án</v>
      </c>
      <c r="B15" s="41" t="s">
        <v>616</v>
      </c>
      <c r="C15" s="41"/>
      <c r="D15" s="41" t="s">
        <v>660</v>
      </c>
      <c r="E15" s="41"/>
      <c r="F15" s="41"/>
      <c r="G15" s="41"/>
      <c r="H15" s="41"/>
      <c r="I15" s="41"/>
      <c r="J15" s="41"/>
      <c r="K15" s="41"/>
      <c r="L15" s="41"/>
      <c r="M15" s="41"/>
    </row>
    <row r="16" spans="1:13" x14ac:dyDescent="0.25">
      <c r="A16" s="104" t="str">
        <f t="shared" si="0"/>
        <v>Nguồn vốn</v>
      </c>
      <c r="B16" s="41" t="s">
        <v>277</v>
      </c>
      <c r="C16" s="41"/>
      <c r="D16" s="41" t="s">
        <v>661</v>
      </c>
      <c r="E16" s="41"/>
      <c r="F16" s="41"/>
      <c r="G16" s="41"/>
      <c r="H16" s="41"/>
      <c r="I16" s="41"/>
      <c r="J16" s="41"/>
      <c r="K16" s="41"/>
      <c r="L16" s="41"/>
      <c r="M16" s="41"/>
    </row>
    <row r="17" spans="1:13" x14ac:dyDescent="0.25">
      <c r="A17" s="104" t="str">
        <f t="shared" si="0"/>
        <v>Phương thức</v>
      </c>
      <c r="B17" s="41" t="s">
        <v>278</v>
      </c>
      <c r="C17" s="41"/>
      <c r="D17" s="41" t="s">
        <v>208</v>
      </c>
      <c r="E17" s="41"/>
      <c r="F17" s="41"/>
      <c r="G17" s="41"/>
      <c r="H17" s="41"/>
      <c r="I17" s="41"/>
      <c r="J17" s="41"/>
      <c r="K17" s="41"/>
      <c r="L17" s="41"/>
      <c r="M17" s="41"/>
    </row>
    <row r="18" spans="1:13" x14ac:dyDescent="0.25">
      <c r="A18" s="104" t="str">
        <f t="shared" si="0"/>
        <v>Thời gian thực hiện hợp đồng</v>
      </c>
      <c r="B18" s="41" t="s">
        <v>279</v>
      </c>
      <c r="C18" s="41"/>
      <c r="D18" s="52">
        <v>90</v>
      </c>
      <c r="E18" s="41"/>
      <c r="F18" s="41"/>
      <c r="G18" s="41"/>
      <c r="H18" s="41"/>
      <c r="I18" s="41"/>
      <c r="J18" s="52"/>
      <c r="K18" s="41"/>
      <c r="L18" s="41"/>
      <c r="M18" s="41"/>
    </row>
    <row r="19" spans="1:13" x14ac:dyDescent="0.25">
      <c r="A19" s="104" t="str">
        <f t="shared" si="0"/>
        <v>Nội dung chính gói thầu</v>
      </c>
      <c r="B19" s="41" t="s">
        <v>280</v>
      </c>
      <c r="C19" s="41"/>
      <c r="D19" s="41"/>
      <c r="E19" s="41"/>
      <c r="F19" s="41"/>
      <c r="G19" s="41"/>
      <c r="H19" s="41"/>
      <c r="I19" s="41"/>
      <c r="J19" s="41"/>
      <c r="K19" s="41"/>
      <c r="L19" s="41"/>
      <c r="M19" s="41"/>
    </row>
    <row r="20" spans="1:13" x14ac:dyDescent="0.25">
      <c r="A20" s="104" t="str">
        <f t="shared" si="0"/>
        <v>Loại hợp đồng</v>
      </c>
      <c r="B20" s="41" t="s">
        <v>281</v>
      </c>
      <c r="C20" s="41"/>
      <c r="D20" s="41" t="s">
        <v>207</v>
      </c>
      <c r="E20" s="41"/>
      <c r="F20" s="41"/>
      <c r="G20" s="41"/>
      <c r="H20" s="41"/>
      <c r="I20" s="41"/>
      <c r="J20" s="41"/>
      <c r="K20" s="41"/>
      <c r="L20" s="41"/>
      <c r="M20" s="41"/>
    </row>
    <row r="21" spans="1:13" x14ac:dyDescent="0.25">
      <c r="A21" s="104" t="str">
        <f t="shared" si="0"/>
        <v>Hình thức đấu thầu</v>
      </c>
      <c r="B21" s="41" t="s">
        <v>282</v>
      </c>
      <c r="C21" s="41"/>
      <c r="D21" s="52" t="s">
        <v>618</v>
      </c>
      <c r="E21" s="41"/>
      <c r="F21" s="41"/>
      <c r="G21" s="41"/>
      <c r="H21" s="41" t="s">
        <v>283</v>
      </c>
      <c r="I21" s="41"/>
      <c r="J21" s="52"/>
      <c r="K21" s="41"/>
      <c r="L21" s="41"/>
      <c r="M21" s="41"/>
    </row>
    <row r="22" spans="1:13" ht="14.45" x14ac:dyDescent="0.3">
      <c r="A22" s="104" t="str">
        <f t="shared" si="0"/>
        <v/>
      </c>
      <c r="B22" s="41"/>
      <c r="C22" s="41"/>
      <c r="D22" s="41"/>
      <c r="E22" s="41"/>
      <c r="F22" s="41"/>
      <c r="G22" s="41"/>
      <c r="H22" s="41"/>
      <c r="I22" s="41"/>
      <c r="J22" s="41"/>
      <c r="K22" s="41"/>
      <c r="L22" s="41"/>
      <c r="M22" s="41"/>
    </row>
    <row r="23" spans="1:13" x14ac:dyDescent="0.25">
      <c r="A23" s="104" t="str">
        <f t="shared" si="0"/>
        <v>Tham dự thầu</v>
      </c>
      <c r="B23" s="41" t="s">
        <v>284</v>
      </c>
      <c r="C23" s="41"/>
      <c r="D23" s="52"/>
      <c r="E23" s="41"/>
      <c r="F23" s="41"/>
      <c r="G23" s="41"/>
      <c r="H23" s="41"/>
      <c r="I23" s="41"/>
      <c r="J23" s="41"/>
      <c r="K23" s="41"/>
      <c r="L23" s="41"/>
      <c r="M23" s="41"/>
    </row>
    <row r="24" spans="1:13" x14ac:dyDescent="0.25">
      <c r="A24" s="104" t="str">
        <f t="shared" si="0"/>
        <v>Hình thức nhận HSDT</v>
      </c>
      <c r="B24" s="41" t="s">
        <v>285</v>
      </c>
      <c r="C24" s="41"/>
      <c r="D24" s="41" t="s">
        <v>209</v>
      </c>
      <c r="E24" s="41"/>
      <c r="F24" s="41"/>
      <c r="G24" s="41"/>
      <c r="H24" s="41"/>
      <c r="I24" s="41"/>
      <c r="J24" s="41"/>
      <c r="K24" s="41"/>
      <c r="L24" s="41"/>
      <c r="M24" s="41"/>
    </row>
    <row r="25" spans="1:13" x14ac:dyDescent="0.25">
      <c r="A25" s="104" t="str">
        <f t="shared" si="0"/>
        <v>Thời gian nhận HSDT từ ngày</v>
      </c>
      <c r="B25" s="41" t="s">
        <v>286</v>
      </c>
      <c r="C25" s="41"/>
      <c r="D25" s="52">
        <v>44070.644444444442</v>
      </c>
      <c r="E25" s="41"/>
      <c r="F25" s="41"/>
      <c r="G25" s="41"/>
      <c r="H25" s="41" t="s">
        <v>287</v>
      </c>
      <c r="I25" s="41"/>
      <c r="J25" s="52">
        <v>44081.375</v>
      </c>
      <c r="K25" s="41"/>
      <c r="L25" s="41"/>
      <c r="M25" s="41"/>
    </row>
    <row r="26" spans="1:13" x14ac:dyDescent="0.25">
      <c r="A26" s="104" t="str">
        <f t="shared" si="0"/>
        <v>Mua HSMT</v>
      </c>
      <c r="B26" s="41" t="s">
        <v>288</v>
      </c>
      <c r="C26" s="41"/>
      <c r="D26" s="52" t="s">
        <v>211</v>
      </c>
      <c r="E26" s="41"/>
      <c r="F26" s="41"/>
      <c r="G26" s="41"/>
      <c r="H26" s="41"/>
      <c r="I26" s="41"/>
      <c r="J26" s="41"/>
      <c r="K26" s="41"/>
      <c r="L26" s="41"/>
      <c r="M26" s="41"/>
    </row>
    <row r="27" spans="1:13" x14ac:dyDescent="0.25">
      <c r="A27" s="104" t="str">
        <f t="shared" si="0"/>
        <v>Địa điểm nhận HSDT</v>
      </c>
      <c r="B27" s="41" t="s">
        <v>289</v>
      </c>
      <c r="C27" s="41"/>
      <c r="D27" s="41" t="s">
        <v>290</v>
      </c>
      <c r="E27" s="41"/>
      <c r="F27" s="41"/>
      <c r="G27" s="41"/>
      <c r="H27" s="41"/>
      <c r="I27" s="41"/>
      <c r="J27" s="41"/>
      <c r="K27" s="41"/>
      <c r="L27" s="41"/>
      <c r="M27" s="41"/>
    </row>
    <row r="28" spans="1:13" x14ac:dyDescent="0.25">
      <c r="A28" s="104" t="str">
        <f t="shared" si="0"/>
        <v/>
      </c>
      <c r="B28" s="41"/>
      <c r="C28" s="41"/>
      <c r="D28" s="41"/>
      <c r="E28" s="41"/>
      <c r="F28" s="41"/>
      <c r="G28" s="41"/>
      <c r="H28" s="41"/>
      <c r="I28" s="41"/>
      <c r="J28" s="41"/>
      <c r="K28" s="41"/>
      <c r="L28" s="41"/>
      <c r="M28" s="41"/>
    </row>
    <row r="29" spans="1:13" x14ac:dyDescent="0.25">
      <c r="A29" s="104" t="str">
        <f t="shared" si="0"/>
        <v>Mở thầu</v>
      </c>
      <c r="B29" s="41" t="s">
        <v>291</v>
      </c>
      <c r="C29" s="41"/>
      <c r="D29" s="41"/>
      <c r="E29" s="41"/>
      <c r="F29" s="41"/>
      <c r="G29" s="41"/>
      <c r="H29" s="41"/>
      <c r="I29" s="41"/>
      <c r="J29" s="41"/>
      <c r="K29" s="41"/>
      <c r="L29" s="41"/>
      <c r="M29" s="41"/>
    </row>
    <row r="30" spans="1:13" x14ac:dyDescent="0.25">
      <c r="A30" s="104" t="str">
        <f t="shared" si="0"/>
        <v>Thời điểm mở thầu</v>
      </c>
      <c r="B30" s="41" t="s">
        <v>292</v>
      </c>
      <c r="C30" s="41"/>
      <c r="D30" s="52">
        <v>44081.375</v>
      </c>
      <c r="E30" s="41"/>
      <c r="F30" s="41"/>
      <c r="G30" s="41"/>
      <c r="H30" s="41"/>
      <c r="I30" s="41"/>
      <c r="J30" s="41"/>
      <c r="K30" s="41"/>
      <c r="L30" s="41"/>
      <c r="M30" s="41"/>
    </row>
    <row r="31" spans="1:13" x14ac:dyDescent="0.25">
      <c r="A31" s="104" t="str">
        <f t="shared" si="0"/>
        <v>Địa điểm mở thầu</v>
      </c>
      <c r="B31" s="41" t="s">
        <v>293</v>
      </c>
      <c r="C31" s="41"/>
      <c r="D31" s="41" t="s">
        <v>212</v>
      </c>
      <c r="E31" s="41"/>
      <c r="F31" s="41"/>
      <c r="G31" s="41"/>
      <c r="H31" s="41"/>
      <c r="I31" s="41"/>
      <c r="J31" s="41"/>
      <c r="K31" s="41"/>
      <c r="L31" s="41"/>
      <c r="M31" s="41"/>
    </row>
    <row r="32" spans="1:13" x14ac:dyDescent="0.25">
      <c r="A32" s="104" t="str">
        <f t="shared" si="0"/>
        <v>Giá gói thầu</v>
      </c>
      <c r="B32" s="41" t="s">
        <v>294</v>
      </c>
      <c r="C32" s="41"/>
      <c r="D32" s="41" t="s">
        <v>662</v>
      </c>
      <c r="E32" s="41"/>
      <c r="F32" s="41"/>
      <c r="G32" s="41"/>
      <c r="H32" s="41"/>
      <c r="I32" s="41"/>
      <c r="J32" s="41"/>
      <c r="K32" s="41"/>
      <c r="L32" s="41"/>
      <c r="M32" s="41"/>
    </row>
    <row r="33" spans="1:5" ht="45" x14ac:dyDescent="0.25">
      <c r="A33" s="104" t="str">
        <f t="shared" si="0"/>
        <v>Số tiền bằng chữ</v>
      </c>
      <c r="B33" s="1" t="s">
        <v>295</v>
      </c>
      <c r="C33" s="1"/>
      <c r="D33" s="1" t="s">
        <v>663</v>
      </c>
      <c r="E33" s="1"/>
    </row>
    <row r="34" spans="1:5" x14ac:dyDescent="0.25">
      <c r="A34" s="104" t="str">
        <f t="shared" si="0"/>
        <v/>
      </c>
      <c r="B34" s="1"/>
      <c r="C34" s="1"/>
      <c r="D34" s="1"/>
      <c r="E34" s="1"/>
    </row>
    <row r="35" spans="1:5" x14ac:dyDescent="0.25">
      <c r="A35" s="104" t="str">
        <f t="shared" si="0"/>
        <v>Bảo đảm dự thầu</v>
      </c>
      <c r="B35" s="1" t="s">
        <v>619</v>
      </c>
      <c r="C35" s="1"/>
      <c r="D35" s="1"/>
      <c r="E35" s="1"/>
    </row>
    <row r="36" spans="1:5" x14ac:dyDescent="0.25">
      <c r="A36" s="104" t="str">
        <f t="shared" si="0"/>
        <v>Hình thức đảm bảo</v>
      </c>
      <c r="B36" s="1" t="s">
        <v>620</v>
      </c>
      <c r="C36" s="1"/>
      <c r="D36" s="1" t="s">
        <v>621</v>
      </c>
      <c r="E36" s="1"/>
    </row>
    <row r="37" spans="1:5" x14ac:dyDescent="0.25">
      <c r="A37" s="104" t="str">
        <f t="shared" si="0"/>
        <v>Số tiền đảm bảo</v>
      </c>
      <c r="B37" s="1" t="s">
        <v>296</v>
      </c>
      <c r="C37" s="1"/>
      <c r="D37" s="1" t="s">
        <v>664</v>
      </c>
      <c r="E37" s="1"/>
    </row>
    <row r="38" spans="1:5" x14ac:dyDescent="0.25">
      <c r="A38" s="104" t="str">
        <f t="shared" si="0"/>
        <v>Số tiền bằng chữ</v>
      </c>
      <c r="B38" s="1" t="s">
        <v>295</v>
      </c>
      <c r="C38" s="1"/>
      <c r="D38" s="1" t="s">
        <v>665</v>
      </c>
      <c r="E38" s="1"/>
    </row>
    <row r="39" spans="1:5" x14ac:dyDescent="0.25">
      <c r="A39" s="10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topLeftCell="D1" workbookViewId="0">
      <pane ySplit="1" topLeftCell="A2" activePane="bottomLeft" state="frozen"/>
      <selection activeCell="D1" sqref="D1"/>
      <selection pane="bottomLeft" activeCell="G5" sqref="G5"/>
    </sheetView>
  </sheetViews>
  <sheetFormatPr defaultColWidth="8.85546875" defaultRowHeight="15" x14ac:dyDescent="0.25"/>
  <cols>
    <col min="1" max="1" width="17.42578125" style="20" customWidth="1"/>
    <col min="2" max="2" width="50.5703125" style="15" customWidth="1"/>
    <col min="3" max="3" width="52.5703125" style="15" customWidth="1"/>
    <col min="4" max="4" width="27.140625" style="15" customWidth="1"/>
    <col min="5" max="5" width="10.140625" style="15" customWidth="1"/>
    <col min="6" max="6" width="15.28515625" style="15" customWidth="1"/>
    <col min="7" max="7" width="14.28515625" style="15" customWidth="1"/>
    <col min="8" max="8" width="19.42578125" style="15" bestFit="1" customWidth="1"/>
    <col min="9" max="9" width="8.85546875" style="15"/>
    <col min="10" max="10" width="10.42578125" style="15" customWidth="1"/>
    <col min="11" max="12" width="14.28515625" style="15" customWidth="1"/>
    <col min="13" max="13" width="17.85546875" style="15" customWidth="1"/>
    <col min="14" max="14" width="14" style="70" customWidth="1"/>
    <col min="15" max="16" width="18.5703125" style="15" customWidth="1"/>
    <col min="17" max="17" width="14.42578125" style="15" bestFit="1" customWidth="1"/>
    <col min="18" max="18" width="12.7109375" style="15" bestFit="1" customWidth="1"/>
    <col min="19" max="19" width="13.28515625" style="15" customWidth="1"/>
    <col min="20" max="20" width="14.7109375" style="15" customWidth="1"/>
    <col min="21" max="21" width="20.5703125" style="15" customWidth="1"/>
    <col min="22" max="22" width="25.140625" style="15" customWidth="1"/>
    <col min="23" max="16384" width="8.85546875" style="15"/>
  </cols>
  <sheetData>
    <row r="1" spans="1:21" ht="30" x14ac:dyDescent="0.25">
      <c r="A1" s="20" t="s">
        <v>19</v>
      </c>
      <c r="B1" s="16" t="s">
        <v>0</v>
      </c>
      <c r="C1" s="16" t="s">
        <v>1</v>
      </c>
      <c r="D1" s="16" t="s">
        <v>2</v>
      </c>
      <c r="E1" s="16" t="s">
        <v>721</v>
      </c>
      <c r="F1" s="16" t="s">
        <v>3</v>
      </c>
      <c r="G1" s="16" t="s">
        <v>195</v>
      </c>
      <c r="H1" s="16" t="s">
        <v>4</v>
      </c>
      <c r="I1" s="16" t="s">
        <v>5</v>
      </c>
      <c r="J1" s="16" t="s">
        <v>12</v>
      </c>
      <c r="K1" s="16" t="s">
        <v>530</v>
      </c>
      <c r="L1" s="15" t="s">
        <v>158</v>
      </c>
      <c r="M1" s="15" t="s">
        <v>193</v>
      </c>
      <c r="N1" s="70" t="s">
        <v>194</v>
      </c>
      <c r="O1" s="15" t="s">
        <v>249</v>
      </c>
      <c r="P1" s="15" t="s">
        <v>251</v>
      </c>
      <c r="Q1" s="15" t="s">
        <v>250</v>
      </c>
      <c r="R1" s="15" t="s">
        <v>252</v>
      </c>
      <c r="S1" s="15" t="s">
        <v>642</v>
      </c>
      <c r="T1" s="70" t="s">
        <v>643</v>
      </c>
      <c r="U1" s="15" t="s">
        <v>650</v>
      </c>
    </row>
    <row r="2" spans="1:21" ht="51" customHeight="1" x14ac:dyDescent="0.3">
      <c r="A2" s="21" t="str">
        <f t="shared" ref="A2" si="0">VLOOKUP("Số TBMT",tbmt,4,0)</f>
        <v>20200880312-00</v>
      </c>
      <c r="B2" s="19" t="str">
        <f t="shared" ref="B2" si="1">IFERROR(VLOOKUP("Tên dự án",tbmt,4,0),VLOOKUP("Tên gói thầu",tbmt,4,0))</f>
        <v>Sửa chữa đường dây hạ thế sau các TBA Cây Da 1, 2, 3, 4, 5, 6, 7, 10, 11 – SCL 2021</v>
      </c>
      <c r="C2" s="19" t="str">
        <f t="shared" ref="C2" si="2">VLOOKUP("Chủ đầu tư",tbmt,4,0)</f>
        <v>ĐIỆN LỰC LONG KHÁNH –Số 03, đường Nguyễn Công Trứ – P.Xuân An, TP. Long Khánh, tỉnh Đồng Nai</v>
      </c>
      <c r="D2" s="19" t="str">
        <f t="shared" ref="D2" si="3">VLOOKUP("Bên mời thầu",tbmt,4,0)</f>
        <v>Điện lực Long Khánh. Công ty TNHH MTV Điện lực Đồng Nai</v>
      </c>
      <c r="E2" s="19"/>
      <c r="F2" s="19" t="str">
        <f t="shared" ref="F2" si="4">VLOOKUP("Số tiền đảm bảo",tbmt,4,0)</f>
        <v>13.000.000 VND</v>
      </c>
      <c r="G2" s="19"/>
      <c r="H2" s="53">
        <f t="shared" ref="H2" si="5">VLOOKUP("Thời gian nhận HSDT từ ngày",tbmt,10,0)</f>
        <v>44081.375</v>
      </c>
      <c r="I2" s="16"/>
      <c r="J2" s="19">
        <f>VLOOKUP("Thời gian thực hiện hợp đồng",tbmt,4,0)</f>
        <v>90</v>
      </c>
      <c r="K2" s="16">
        <v>12</v>
      </c>
      <c r="L2" s="42">
        <f t="shared" ref="L2:L24" si="6">DATEVALUE(LEFT(TEXT(VLOOKUP("Số TBMT",tbmt,10,0),"dd/MM/yyyy"),10))+5</f>
        <v>44075</v>
      </c>
      <c r="M2" s="43" t="str">
        <f>" ngày "&amp;TEXT(L2,"dd")&amp;" tháng "&amp;TEXT(L2,"MM")&amp;" năm "&amp;TEXT(L2,"yyyy")</f>
        <v xml:space="preserve"> ngày 01 tháng 09 năm 2020</v>
      </c>
      <c r="N2" s="42" t="str">
        <f>TEXT(L2+365,"dd/MM/yyyy")</f>
        <v>01/09/2021</v>
      </c>
    </row>
    <row r="3" spans="1:21" s="17" customFormat="1" ht="51" customHeight="1" x14ac:dyDescent="0.25">
      <c r="A3" s="22" t="s">
        <v>657</v>
      </c>
      <c r="B3" s="18" t="s">
        <v>660</v>
      </c>
      <c r="C3" s="18" t="s">
        <v>262</v>
      </c>
      <c r="D3" s="18" t="s">
        <v>261</v>
      </c>
      <c r="E3" s="18" t="s">
        <v>668</v>
      </c>
      <c r="F3" s="18" t="s">
        <v>664</v>
      </c>
      <c r="G3" s="18">
        <v>120</v>
      </c>
      <c r="H3" s="69">
        <v>44081.375</v>
      </c>
      <c r="I3" s="18"/>
      <c r="J3" s="18" t="s">
        <v>641</v>
      </c>
      <c r="K3" s="18">
        <v>12</v>
      </c>
      <c r="L3" s="102" t="s">
        <v>722</v>
      </c>
      <c r="M3" s="17" t="s">
        <v>666</v>
      </c>
      <c r="N3" s="49" t="s">
        <v>667</v>
      </c>
    </row>
    <row r="4" spans="1:21" s="17" customFormat="1" ht="51" customHeight="1" x14ac:dyDescent="0.25">
      <c r="A4" s="22">
        <v>20200563645</v>
      </c>
      <c r="B4" s="18" t="s">
        <v>644</v>
      </c>
      <c r="C4" s="16" t="s">
        <v>14</v>
      </c>
      <c r="D4" s="18" t="s">
        <v>550</v>
      </c>
      <c r="E4" s="18" t="s">
        <v>645</v>
      </c>
      <c r="F4" s="18" t="s">
        <v>646</v>
      </c>
      <c r="G4" s="18">
        <v>90</v>
      </c>
      <c r="H4" s="69">
        <v>43994.583333333336</v>
      </c>
      <c r="I4" s="18"/>
      <c r="J4" s="18" t="s">
        <v>645</v>
      </c>
      <c r="K4" s="18">
        <v>12</v>
      </c>
      <c r="L4" s="102" t="s">
        <v>647</v>
      </c>
      <c r="M4" s="43" t="str">
        <f>" ngày "&amp;TEXT(L4,"dd")&amp;" tháng "&amp;TEXT(L4,"MM")&amp;" năm "&amp;TEXT(L4,"yyyy")</f>
        <v xml:space="preserve"> ngày 08 tháng 06 năm 2020</v>
      </c>
      <c r="N4" s="102" t="s">
        <v>648</v>
      </c>
    </row>
    <row r="5" spans="1:21" s="17" customFormat="1" ht="45" x14ac:dyDescent="0.25">
      <c r="A5" s="22" t="s">
        <v>614</v>
      </c>
      <c r="B5" s="18" t="s">
        <v>617</v>
      </c>
      <c r="C5" s="18" t="s">
        <v>543</v>
      </c>
      <c r="D5" s="18" t="s">
        <v>247</v>
      </c>
      <c r="E5" s="18">
        <v>100</v>
      </c>
      <c r="F5" s="18" t="s">
        <v>622</v>
      </c>
      <c r="G5" s="18"/>
      <c r="H5" s="69">
        <v>43973.583333333336</v>
      </c>
      <c r="I5" s="18">
        <v>7</v>
      </c>
      <c r="J5" s="18">
        <v>220</v>
      </c>
      <c r="K5" s="18">
        <v>12</v>
      </c>
      <c r="L5" s="102" t="s">
        <v>623</v>
      </c>
      <c r="M5" s="17" t="s">
        <v>609</v>
      </c>
      <c r="N5" s="102" t="s">
        <v>610</v>
      </c>
    </row>
    <row r="6" spans="1:21" s="17" customFormat="1" ht="45" x14ac:dyDescent="0.25">
      <c r="A6" s="22" t="s">
        <v>606</v>
      </c>
      <c r="B6" s="18" t="s">
        <v>608</v>
      </c>
      <c r="C6" s="18" t="s">
        <v>543</v>
      </c>
      <c r="D6" s="18" t="s">
        <v>247</v>
      </c>
      <c r="E6" s="18">
        <v>365</v>
      </c>
      <c r="F6" s="18"/>
      <c r="G6" s="18"/>
      <c r="H6" s="69">
        <v>43973.583333333336</v>
      </c>
      <c r="I6" s="18"/>
      <c r="J6" s="18">
        <v>12</v>
      </c>
      <c r="K6" s="18">
        <v>12</v>
      </c>
      <c r="L6" s="102" t="s">
        <v>612</v>
      </c>
      <c r="M6" s="17" t="s">
        <v>611</v>
      </c>
      <c r="N6" s="102" t="s">
        <v>613</v>
      </c>
    </row>
    <row r="7" spans="1:21" s="17" customFormat="1" ht="45" x14ac:dyDescent="0.25">
      <c r="A7" s="22" t="s">
        <v>594</v>
      </c>
      <c r="B7" s="18" t="s">
        <v>595</v>
      </c>
      <c r="C7" s="18" t="s">
        <v>543</v>
      </c>
      <c r="D7" s="18" t="s">
        <v>502</v>
      </c>
      <c r="E7" s="18">
        <v>60</v>
      </c>
      <c r="F7" s="18" t="s">
        <v>596</v>
      </c>
      <c r="G7" s="18">
        <v>120</v>
      </c>
      <c r="H7" s="69">
        <v>43973.625</v>
      </c>
      <c r="I7" s="18">
        <v>5</v>
      </c>
      <c r="J7" s="18">
        <v>220</v>
      </c>
      <c r="K7" s="18">
        <v>12</v>
      </c>
      <c r="L7" s="49">
        <v>43967</v>
      </c>
      <c r="M7" s="17" t="s">
        <v>609</v>
      </c>
      <c r="N7" s="49" t="s">
        <v>610</v>
      </c>
    </row>
    <row r="8" spans="1:21" s="17" customFormat="1" ht="60" x14ac:dyDescent="0.25">
      <c r="A8" s="22" t="s">
        <v>558</v>
      </c>
      <c r="B8" s="18" t="s">
        <v>559</v>
      </c>
      <c r="C8" s="18" t="s">
        <v>543</v>
      </c>
      <c r="D8" s="18" t="s">
        <v>247</v>
      </c>
      <c r="E8" s="18">
        <v>100</v>
      </c>
      <c r="F8" s="18" t="s">
        <v>445</v>
      </c>
      <c r="G8" s="18">
        <v>120</v>
      </c>
      <c r="H8" s="69">
        <v>43966.583333333336</v>
      </c>
      <c r="I8" s="18">
        <v>12</v>
      </c>
      <c r="J8" s="18">
        <v>225</v>
      </c>
      <c r="K8" s="18">
        <v>12</v>
      </c>
      <c r="L8" s="102" t="s">
        <v>562</v>
      </c>
      <c r="M8" s="17" t="s">
        <v>560</v>
      </c>
      <c r="N8" s="102" t="s">
        <v>561</v>
      </c>
    </row>
    <row r="9" spans="1:21" s="17" customFormat="1" ht="45" x14ac:dyDescent="0.25">
      <c r="A9" s="22" t="s">
        <v>549</v>
      </c>
      <c r="B9" s="18" t="s">
        <v>551</v>
      </c>
      <c r="C9" s="16" t="s">
        <v>14</v>
      </c>
      <c r="D9" s="18" t="s">
        <v>550</v>
      </c>
      <c r="E9" s="18">
        <v>60</v>
      </c>
      <c r="F9" s="18" t="s">
        <v>552</v>
      </c>
      <c r="G9" s="18">
        <v>90</v>
      </c>
      <c r="H9" s="69">
        <v>43965.583333333336</v>
      </c>
      <c r="I9" s="18">
        <v>2</v>
      </c>
      <c r="J9" s="18">
        <v>60</v>
      </c>
      <c r="K9" s="18">
        <v>12</v>
      </c>
      <c r="L9" s="102" t="s">
        <v>555</v>
      </c>
      <c r="M9" s="17" t="s">
        <v>553</v>
      </c>
      <c r="N9" s="102" t="s">
        <v>554</v>
      </c>
    </row>
    <row r="10" spans="1:21" s="17" customFormat="1" ht="45" x14ac:dyDescent="0.25">
      <c r="A10" s="22" t="s">
        <v>541</v>
      </c>
      <c r="B10" s="18" t="s">
        <v>542</v>
      </c>
      <c r="C10" s="18" t="s">
        <v>543</v>
      </c>
      <c r="D10" s="18" t="s">
        <v>247</v>
      </c>
      <c r="E10" s="18"/>
      <c r="F10" s="18" t="s">
        <v>527</v>
      </c>
      <c r="G10" s="18"/>
      <c r="H10" s="69">
        <v>43963.604166666664</v>
      </c>
      <c r="I10" s="18"/>
      <c r="J10" s="18">
        <v>12</v>
      </c>
      <c r="K10" s="18"/>
      <c r="L10" s="102" t="s">
        <v>546</v>
      </c>
      <c r="M10" s="17" t="s">
        <v>544</v>
      </c>
      <c r="N10" s="102" t="s">
        <v>545</v>
      </c>
    </row>
    <row r="11" spans="1:21" ht="45" x14ac:dyDescent="0.25">
      <c r="A11" s="22">
        <v>20191257175</v>
      </c>
      <c r="B11" s="16" t="s">
        <v>6</v>
      </c>
      <c r="C11" s="16" t="s">
        <v>14</v>
      </c>
      <c r="D11" s="16" t="s">
        <v>7</v>
      </c>
      <c r="E11" s="16" t="s">
        <v>13</v>
      </c>
      <c r="F11" s="16" t="s">
        <v>11</v>
      </c>
      <c r="G11" s="16" t="s">
        <v>10</v>
      </c>
      <c r="H11" s="18" t="s">
        <v>9</v>
      </c>
      <c r="I11" s="16" t="s">
        <v>15</v>
      </c>
      <c r="J11" s="16" t="str">
        <f>E11</f>
        <v>120 ngày</v>
      </c>
      <c r="K11" s="15" t="s">
        <v>16</v>
      </c>
      <c r="L11" s="49">
        <f>DATEVALUE(LEFT(H11,10))-2</f>
        <v>43835</v>
      </c>
      <c r="M11" s="17" t="str">
        <f>" ngày "&amp;TEXT(L11,"dd")&amp;" tháng "&amp;TEXT(L11,"MM")&amp;" năm "&amp;TEXT(L11,"yyyy")</f>
        <v xml:space="preserve"> ngày 05 tháng 01 năm 2020</v>
      </c>
      <c r="N11" s="71" t="s">
        <v>446</v>
      </c>
    </row>
    <row r="12" spans="1:21" s="17" customFormat="1" ht="60" x14ac:dyDescent="0.25">
      <c r="A12" s="22" t="s">
        <v>96</v>
      </c>
      <c r="B12" s="18" t="s">
        <v>17</v>
      </c>
      <c r="C12" s="18" t="s">
        <v>14</v>
      </c>
      <c r="D12" s="16" t="s">
        <v>7</v>
      </c>
      <c r="E12" s="18" t="s">
        <v>8</v>
      </c>
      <c r="F12" s="18" t="s">
        <v>18</v>
      </c>
      <c r="G12" s="18" t="s">
        <v>10</v>
      </c>
      <c r="H12" s="18" t="s">
        <v>9</v>
      </c>
      <c r="I12" s="18" t="s">
        <v>196</v>
      </c>
      <c r="J12" s="16" t="str">
        <f t="shared" ref="J12:J13" si="7">E12</f>
        <v>120 Ngày</v>
      </c>
      <c r="K12" s="18"/>
      <c r="L12" s="49">
        <f t="shared" ref="L12:L13" si="8">DATEVALUE(LEFT(H12,10))-2</f>
        <v>43835</v>
      </c>
      <c r="M12" s="17" t="str">
        <f t="shared" ref="M12:M13" si="9">" ngày "&amp;TEXT(L12,"dd")&amp;" tháng "&amp;TEXT(L12,"MM")&amp;" năm "&amp;TEXT(L12,"yyyy")</f>
        <v xml:space="preserve"> ngày 05 tháng 01 năm 2020</v>
      </c>
      <c r="N12" s="71">
        <f t="shared" ref="N12:N13" si="10">L12+366</f>
        <v>44201</v>
      </c>
    </row>
    <row r="13" spans="1:21" s="17" customFormat="1" ht="60" x14ac:dyDescent="0.25">
      <c r="A13" s="22" t="s">
        <v>101</v>
      </c>
      <c r="B13" s="18" t="s">
        <v>97</v>
      </c>
      <c r="C13" s="18" t="s">
        <v>14</v>
      </c>
      <c r="D13" s="16" t="s">
        <v>7</v>
      </c>
      <c r="E13" s="18" t="s">
        <v>98</v>
      </c>
      <c r="F13" s="18" t="s">
        <v>100</v>
      </c>
      <c r="G13" s="18" t="s">
        <v>10</v>
      </c>
      <c r="H13" s="18" t="s">
        <v>99</v>
      </c>
      <c r="I13" s="18"/>
      <c r="J13" s="16" t="str">
        <f t="shared" si="7"/>
        <v>90 Ngày</v>
      </c>
      <c r="K13" s="18"/>
      <c r="L13" s="49">
        <f t="shared" si="8"/>
        <v>43835</v>
      </c>
      <c r="M13" s="17" t="str">
        <f t="shared" si="9"/>
        <v xml:space="preserve"> ngày 05 tháng 01 năm 2020</v>
      </c>
      <c r="N13" s="71">
        <f t="shared" si="10"/>
        <v>44201</v>
      </c>
    </row>
    <row r="14" spans="1:21" s="129" customFormat="1" ht="60" x14ac:dyDescent="0.25">
      <c r="A14" s="126" t="s">
        <v>214</v>
      </c>
      <c r="B14" s="127" t="s">
        <v>206</v>
      </c>
      <c r="C14" s="127" t="s">
        <v>14</v>
      </c>
      <c r="D14" s="127" t="s">
        <v>7</v>
      </c>
      <c r="E14" s="127" t="s">
        <v>8</v>
      </c>
      <c r="F14" s="127" t="s">
        <v>213</v>
      </c>
      <c r="G14" s="127" t="s">
        <v>10</v>
      </c>
      <c r="H14" s="127" t="s">
        <v>210</v>
      </c>
      <c r="I14" s="127"/>
      <c r="J14" s="127"/>
      <c r="K14" s="127"/>
      <c r="L14" s="128">
        <v>43843</v>
      </c>
      <c r="M14" s="129" t="s">
        <v>215</v>
      </c>
      <c r="N14" s="130"/>
      <c r="O14" s="129" t="s">
        <v>144</v>
      </c>
      <c r="P14" s="129" t="e">
        <f>TEXT(VLOOKUP(O14,NhanSu!F:N,8,0),"dd/MM/yyyy")</f>
        <v>#VALUE!</v>
      </c>
      <c r="Q14" s="129" t="s">
        <v>146</v>
      </c>
      <c r="R14" s="129" t="str">
        <f>TEXT(VLOOKUP(Q14,NhanSu!F:N,8,0),"dd/MM/yyyy")</f>
        <v>00/01/1900</v>
      </c>
      <c r="U14" s="127" t="s">
        <v>649</v>
      </c>
    </row>
    <row r="15" spans="1:21" s="17" customFormat="1" ht="105" x14ac:dyDescent="0.25">
      <c r="A15" s="22" t="s">
        <v>232</v>
      </c>
      <c r="B15" s="18" t="s">
        <v>237</v>
      </c>
      <c r="C15" s="18" t="s">
        <v>234</v>
      </c>
      <c r="D15" s="18" t="s">
        <v>228</v>
      </c>
      <c r="E15" s="18" t="s">
        <v>8</v>
      </c>
      <c r="F15" s="18" t="s">
        <v>231</v>
      </c>
      <c r="G15" s="18" t="s">
        <v>230</v>
      </c>
      <c r="H15" s="18" t="s">
        <v>229</v>
      </c>
      <c r="I15" s="18">
        <v>1</v>
      </c>
      <c r="J15" s="18" t="s">
        <v>235</v>
      </c>
      <c r="K15" s="18" t="s">
        <v>236</v>
      </c>
      <c r="L15" s="49">
        <v>43869</v>
      </c>
      <c r="M15" s="17" t="s">
        <v>233</v>
      </c>
      <c r="N15" s="71"/>
    </row>
    <row r="16" spans="1:21" s="17" customFormat="1" ht="45" x14ac:dyDescent="0.25">
      <c r="A16" s="22" t="s">
        <v>242</v>
      </c>
      <c r="B16" s="18" t="s">
        <v>238</v>
      </c>
      <c r="C16" s="18" t="s">
        <v>14</v>
      </c>
      <c r="D16" s="16" t="s">
        <v>7</v>
      </c>
      <c r="E16" s="18" t="s">
        <v>239</v>
      </c>
      <c r="F16" s="18" t="s">
        <v>241</v>
      </c>
      <c r="G16" s="18" t="s">
        <v>10</v>
      </c>
      <c r="H16" s="18" t="s">
        <v>240</v>
      </c>
      <c r="I16" s="18"/>
      <c r="J16" s="18"/>
      <c r="K16" s="18"/>
      <c r="L16" s="49">
        <v>43877</v>
      </c>
      <c r="M16" s="17" t="s">
        <v>243</v>
      </c>
      <c r="N16" s="71">
        <v>44242</v>
      </c>
      <c r="O16" s="17" t="s">
        <v>144</v>
      </c>
      <c r="P16" s="17" t="e">
        <f>TEXT(VLOOKUP(O16,NhanSu!F:N,8,0),"dd/MM/yyyy")</f>
        <v>#VALUE!</v>
      </c>
      <c r="Q16" s="17" t="s">
        <v>146</v>
      </c>
      <c r="R16" s="17" t="str">
        <f>TEXT(VLOOKUP(Q16,NhanSu!F:N,8,0),"dd/MM/yyyy")</f>
        <v>00/01/1900</v>
      </c>
      <c r="U16" s="127" t="s">
        <v>651</v>
      </c>
    </row>
    <row r="17" spans="1:20" s="17" customFormat="1" ht="45" x14ac:dyDescent="0.25">
      <c r="A17" s="22" t="s">
        <v>253</v>
      </c>
      <c r="B17" s="18" t="s">
        <v>248</v>
      </c>
      <c r="C17" s="18" t="s">
        <v>234</v>
      </c>
      <c r="D17" s="18" t="s">
        <v>247</v>
      </c>
      <c r="E17" s="18" t="s">
        <v>244</v>
      </c>
      <c r="F17" s="18" t="s">
        <v>241</v>
      </c>
      <c r="G17" s="18" t="s">
        <v>246</v>
      </c>
      <c r="H17" s="18" t="s">
        <v>245</v>
      </c>
      <c r="I17" s="18"/>
      <c r="J17" s="18"/>
      <c r="K17" s="18"/>
      <c r="L17" s="49">
        <v>43908.345138888886</v>
      </c>
      <c r="M17" s="17" t="s">
        <v>254</v>
      </c>
      <c r="N17" s="71">
        <v>44273.345138888886</v>
      </c>
    </row>
    <row r="18" spans="1:20" s="17" customFormat="1" ht="60" x14ac:dyDescent="0.25">
      <c r="A18" s="22" t="s">
        <v>263</v>
      </c>
      <c r="B18" s="18" t="s">
        <v>258</v>
      </c>
      <c r="C18" s="18" t="s">
        <v>262</v>
      </c>
      <c r="D18" s="18" t="s">
        <v>261</v>
      </c>
      <c r="E18" s="74" t="s">
        <v>641</v>
      </c>
      <c r="F18" s="18" t="s">
        <v>260</v>
      </c>
      <c r="G18" s="18" t="s">
        <v>13</v>
      </c>
      <c r="H18" s="18" t="s">
        <v>259</v>
      </c>
      <c r="I18" s="18"/>
      <c r="J18" s="18" t="s">
        <v>640</v>
      </c>
      <c r="K18" s="18" t="s">
        <v>639</v>
      </c>
      <c r="L18" s="49">
        <v>43914.342361111114</v>
      </c>
      <c r="M18" s="17" t="s">
        <v>264</v>
      </c>
      <c r="N18" s="71" t="s">
        <v>450</v>
      </c>
      <c r="O18" s="17" t="s">
        <v>144</v>
      </c>
      <c r="P18" s="17" t="e">
        <f>TEXT(VLOOKUP(O18,NhanSu!F:N,8,0),"dd/MM/yyyy")</f>
        <v>#VALUE!</v>
      </c>
      <c r="Q18" s="17" t="s">
        <v>146</v>
      </c>
      <c r="R18" s="17" t="str">
        <f>TEXT(VLOOKUP(Q18,NhanSu!F:N,8,0),"dd/MM/yyyy")</f>
        <v>00/01/1900</v>
      </c>
      <c r="S18" s="17">
        <v>1481983404</v>
      </c>
      <c r="T18" s="17" t="e">
        <f>[4]!VND(S18)</f>
        <v>#VALUE!</v>
      </c>
    </row>
    <row r="19" spans="1:20" s="17" customFormat="1" ht="45" x14ac:dyDescent="0.25">
      <c r="A19" s="22" t="s">
        <v>297</v>
      </c>
      <c r="B19" s="18" t="s">
        <v>276</v>
      </c>
      <c r="C19" s="18" t="s">
        <v>262</v>
      </c>
      <c r="D19" s="18" t="s">
        <v>261</v>
      </c>
      <c r="E19" s="18">
        <v>150</v>
      </c>
      <c r="F19" s="18">
        <v>0</v>
      </c>
      <c r="G19" s="18"/>
      <c r="H19" s="69">
        <v>43917.375</v>
      </c>
      <c r="I19" s="18"/>
      <c r="J19" s="18"/>
      <c r="K19" s="18"/>
      <c r="L19" s="49">
        <v>43912</v>
      </c>
      <c r="M19" s="17" t="s">
        <v>298</v>
      </c>
      <c r="N19" s="72">
        <f>L19+365</f>
        <v>44277</v>
      </c>
    </row>
    <row r="20" spans="1:20" s="17" customFormat="1" ht="60" x14ac:dyDescent="0.25">
      <c r="A20" s="22" t="s">
        <v>415</v>
      </c>
      <c r="B20" s="18" t="s">
        <v>417</v>
      </c>
      <c r="C20" s="18" t="s">
        <v>262</v>
      </c>
      <c r="D20" s="18" t="s">
        <v>416</v>
      </c>
      <c r="E20" s="18">
        <v>150</v>
      </c>
      <c r="F20" s="18">
        <v>0</v>
      </c>
      <c r="G20" s="18"/>
      <c r="H20" s="69">
        <v>43920.4375</v>
      </c>
      <c r="I20" s="18"/>
      <c r="J20" s="18"/>
      <c r="K20" s="18"/>
      <c r="L20" s="49">
        <v>43909.34375</v>
      </c>
      <c r="M20" s="17" t="s">
        <v>442</v>
      </c>
      <c r="N20" s="73">
        <v>44274.34375</v>
      </c>
    </row>
    <row r="21" spans="1:20" s="17" customFormat="1" ht="45" x14ac:dyDescent="0.25">
      <c r="A21" s="22" t="s">
        <v>443</v>
      </c>
      <c r="B21" s="18" t="s">
        <v>444</v>
      </c>
      <c r="C21" s="18" t="s">
        <v>262</v>
      </c>
      <c r="D21" s="18" t="s">
        <v>261</v>
      </c>
      <c r="E21" s="18">
        <v>150</v>
      </c>
      <c r="F21" s="18">
        <v>0</v>
      </c>
      <c r="G21" s="18"/>
      <c r="H21" s="69">
        <v>43920.583333333336</v>
      </c>
      <c r="I21" s="18"/>
      <c r="J21" s="18"/>
      <c r="K21" s="18"/>
      <c r="L21" s="49">
        <v>43914.334027777775</v>
      </c>
      <c r="M21" s="17" t="s">
        <v>264</v>
      </c>
      <c r="N21" s="73">
        <v>44279.334027777775</v>
      </c>
    </row>
    <row r="22" spans="1:20" s="17" customFormat="1" ht="45" x14ac:dyDescent="0.25">
      <c r="A22" s="22" t="s">
        <v>448</v>
      </c>
      <c r="B22" s="18" t="s">
        <v>449</v>
      </c>
      <c r="C22" s="18" t="s">
        <v>262</v>
      </c>
      <c r="D22" s="18" t="s">
        <v>416</v>
      </c>
      <c r="E22" s="18">
        <v>12</v>
      </c>
      <c r="F22" s="18" t="s">
        <v>445</v>
      </c>
      <c r="G22" s="18"/>
      <c r="H22" s="69">
        <v>43921.583333333336</v>
      </c>
      <c r="I22" s="18"/>
      <c r="J22" s="18"/>
      <c r="K22" s="18"/>
      <c r="L22" s="49">
        <v>43914.601388888892</v>
      </c>
      <c r="M22" s="17" t="s">
        <v>264</v>
      </c>
      <c r="N22" s="75" t="s">
        <v>450</v>
      </c>
    </row>
    <row r="23" spans="1:20" s="17" customFormat="1" ht="45" x14ac:dyDescent="0.25">
      <c r="A23" s="22" t="s">
        <v>451</v>
      </c>
      <c r="B23" s="18" t="s">
        <v>453</v>
      </c>
      <c r="C23" s="18" t="s">
        <v>452</v>
      </c>
      <c r="D23" s="18" t="s">
        <v>247</v>
      </c>
      <c r="E23" s="18">
        <v>260</v>
      </c>
      <c r="F23" s="18">
        <v>0</v>
      </c>
      <c r="G23" s="18"/>
      <c r="H23" s="69">
        <v>43935.583333333336</v>
      </c>
      <c r="I23" s="18"/>
      <c r="J23" s="18"/>
      <c r="K23" s="18"/>
      <c r="L23" s="49">
        <v>43926</v>
      </c>
      <c r="M23" s="17" t="s">
        <v>460</v>
      </c>
      <c r="N23" s="49">
        <v>44291</v>
      </c>
    </row>
    <row r="24" spans="1:20" s="17" customFormat="1" ht="45" x14ac:dyDescent="0.25">
      <c r="A24" s="22" t="s">
        <v>461</v>
      </c>
      <c r="B24" s="18" t="s">
        <v>462</v>
      </c>
      <c r="C24" s="18" t="s">
        <v>261</v>
      </c>
      <c r="D24" s="18" t="s">
        <v>261</v>
      </c>
      <c r="E24" s="18">
        <v>12</v>
      </c>
      <c r="F24" s="18">
        <v>0</v>
      </c>
      <c r="G24" s="18"/>
      <c r="H24" s="69">
        <v>43934.375</v>
      </c>
      <c r="I24" s="18"/>
      <c r="J24" s="18"/>
      <c r="K24" s="18"/>
      <c r="L24" s="42">
        <f t="shared" si="6"/>
        <v>44075</v>
      </c>
      <c r="M24" s="17" t="s">
        <v>463</v>
      </c>
      <c r="N24" s="42" t="str">
        <f>TEXT(L24+365,"dd/MM/yyyy")</f>
        <v>01/09/2021</v>
      </c>
    </row>
    <row r="25" spans="1:20" s="17" customFormat="1" ht="45" x14ac:dyDescent="0.25">
      <c r="A25" s="22" t="s">
        <v>501</v>
      </c>
      <c r="B25" s="18" t="s">
        <v>503</v>
      </c>
      <c r="C25" s="18" t="s">
        <v>505</v>
      </c>
      <c r="D25" s="18" t="s">
        <v>502</v>
      </c>
      <c r="E25" s="18">
        <v>100</v>
      </c>
      <c r="F25" s="18" t="s">
        <v>504</v>
      </c>
      <c r="G25" s="18" t="s">
        <v>13</v>
      </c>
      <c r="H25" s="69">
        <v>43956.604166666664</v>
      </c>
      <c r="I25" s="18">
        <v>12</v>
      </c>
      <c r="J25" s="18">
        <v>236</v>
      </c>
      <c r="K25" s="18">
        <v>12</v>
      </c>
      <c r="L25" s="49">
        <v>43948</v>
      </c>
      <c r="M25" s="17" t="s">
        <v>506</v>
      </c>
      <c r="N25" s="49" t="s">
        <v>507</v>
      </c>
    </row>
    <row r="26" spans="1:20" s="17" customFormat="1" ht="45" x14ac:dyDescent="0.25">
      <c r="A26" s="22" t="s">
        <v>525</v>
      </c>
      <c r="B26" s="18" t="s">
        <v>526</v>
      </c>
      <c r="C26" s="18" t="s">
        <v>247</v>
      </c>
      <c r="D26" s="18" t="s">
        <v>247</v>
      </c>
      <c r="E26" s="18">
        <v>100</v>
      </c>
      <c r="F26" s="18" t="s">
        <v>527</v>
      </c>
      <c r="G26" s="18" t="s">
        <v>13</v>
      </c>
      <c r="H26" s="69">
        <v>43957.631944444445</v>
      </c>
      <c r="I26" s="18">
        <v>15</v>
      </c>
      <c r="J26" s="18">
        <v>236</v>
      </c>
      <c r="K26" s="18">
        <v>12</v>
      </c>
      <c r="L26" s="49">
        <v>43943</v>
      </c>
      <c r="M26" s="17" t="s">
        <v>528</v>
      </c>
      <c r="N26" s="49" t="s">
        <v>529</v>
      </c>
    </row>
    <row r="27" spans="1:20" s="17" customFormat="1" ht="30" x14ac:dyDescent="0.25">
      <c r="A27" s="22" t="s">
        <v>525</v>
      </c>
      <c r="B27" s="18" t="s">
        <v>652</v>
      </c>
      <c r="C27" s="18" t="s">
        <v>247</v>
      </c>
      <c r="D27" s="18" t="s">
        <v>653</v>
      </c>
      <c r="E27" s="18">
        <v>120</v>
      </c>
      <c r="F27" s="18"/>
      <c r="G27" s="18" t="s">
        <v>13</v>
      </c>
      <c r="H27" s="69"/>
      <c r="I27" s="18"/>
      <c r="J27" s="18"/>
      <c r="K27" s="18"/>
      <c r="L27" s="49">
        <v>43943</v>
      </c>
      <c r="M27" s="43" t="str">
        <f>" ngày "&amp;TEXT(L27,"dd")&amp;" tháng "&amp;TEXT(L27,"MM")&amp;" năm "&amp;TEXT(L27,"yyyy")</f>
        <v xml:space="preserve"> ngày 22 tháng 04 năm 2020</v>
      </c>
      <c r="N27" s="49" t="s">
        <v>529</v>
      </c>
    </row>
    <row r="28" spans="1:20" s="17" customFormat="1" ht="30" x14ac:dyDescent="0.25">
      <c r="A28" s="22" t="s">
        <v>525</v>
      </c>
      <c r="B28" s="18" t="s">
        <v>654</v>
      </c>
      <c r="C28" s="18" t="s">
        <v>247</v>
      </c>
      <c r="D28" s="18" t="s">
        <v>653</v>
      </c>
      <c r="E28" s="18">
        <v>120</v>
      </c>
      <c r="F28" s="18"/>
      <c r="G28" s="18" t="s">
        <v>13</v>
      </c>
      <c r="H28" s="69"/>
      <c r="I28" s="18"/>
      <c r="J28" s="18"/>
      <c r="K28" s="18"/>
      <c r="L28" s="49">
        <v>43943</v>
      </c>
      <c r="M28" s="43" t="str">
        <f>" ngày "&amp;TEXT(L28,"dd")&amp;" tháng "&amp;TEXT(L28,"MM")&amp;" năm "&amp;TEXT(L28,"yyyy")</f>
        <v xml:space="preserve"> ngày 22 tháng 04 năm 2020</v>
      </c>
      <c r="N28" s="49" t="s">
        <v>529</v>
      </c>
    </row>
  </sheetData>
  <conditionalFormatting sqref="A29:A1048576 A11:A17 A1">
    <cfRule type="duplicateValues" dxfId="39" priority="17"/>
  </conditionalFormatting>
  <conditionalFormatting sqref="A18">
    <cfRule type="duplicateValues" dxfId="38" priority="16"/>
  </conditionalFormatting>
  <conditionalFormatting sqref="A19">
    <cfRule type="duplicateValues" dxfId="37" priority="15"/>
  </conditionalFormatting>
  <conditionalFormatting sqref="A1:XFD1">
    <cfRule type="duplicateValues" dxfId="36" priority="11"/>
    <cfRule type="duplicateValues" dxfId="35" priority="12"/>
  </conditionalFormatting>
  <conditionalFormatting sqref="A20:A26 A10">
    <cfRule type="duplicateValues" dxfId="34" priority="20"/>
  </conditionalFormatting>
  <conditionalFormatting sqref="A9">
    <cfRule type="duplicateValues" dxfId="33" priority="10"/>
  </conditionalFormatting>
  <conditionalFormatting sqref="A6">
    <cfRule type="duplicateValues" dxfId="32" priority="9"/>
  </conditionalFormatting>
  <conditionalFormatting sqref="A8">
    <cfRule type="duplicateValues" dxfId="31" priority="8"/>
  </conditionalFormatting>
  <conditionalFormatting sqref="A7">
    <cfRule type="duplicateValues" dxfId="30" priority="7"/>
  </conditionalFormatting>
  <conditionalFormatting sqref="A5">
    <cfRule type="duplicateValues" dxfId="29" priority="6"/>
  </conditionalFormatting>
  <conditionalFormatting sqref="A4">
    <cfRule type="duplicateValues" dxfId="28" priority="5"/>
  </conditionalFormatting>
  <conditionalFormatting sqref="A2">
    <cfRule type="duplicateValues" dxfId="27" priority="4"/>
  </conditionalFormatting>
  <conditionalFormatting sqref="A27">
    <cfRule type="duplicateValues" dxfId="26" priority="3"/>
  </conditionalFormatting>
  <conditionalFormatting sqref="A28">
    <cfRule type="duplicateValues" dxfId="25" priority="2"/>
  </conditionalFormatting>
  <conditionalFormatting sqref="A3">
    <cfRule type="duplicateValues" dxfId="2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B7" workbookViewId="0">
      <selection activeCell="I17" sqref="I17"/>
    </sheetView>
  </sheetViews>
  <sheetFormatPr defaultRowHeight="15" x14ac:dyDescent="0.25"/>
  <cols>
    <col min="4" max="4" width="42.140625" customWidth="1"/>
    <col min="13" max="13" width="71" customWidth="1"/>
  </cols>
  <sheetData>
    <row r="1" spans="4:13" ht="14.45" x14ac:dyDescent="0.3">
      <c r="D1">
        <f>COLUMN()-COLUMN($C$1)</f>
        <v>1</v>
      </c>
      <c r="E1">
        <f t="shared" ref="E1:K1" si="0">COLUMN()-COLUMN($C$1)</f>
        <v>2</v>
      </c>
      <c r="F1">
        <f t="shared" si="0"/>
        <v>3</v>
      </c>
      <c r="G1">
        <f t="shared" si="0"/>
        <v>4</v>
      </c>
      <c r="H1">
        <f t="shared" si="0"/>
        <v>5</v>
      </c>
      <c r="I1">
        <f t="shared" si="0"/>
        <v>6</v>
      </c>
      <c r="J1">
        <f t="shared" si="0"/>
        <v>7</v>
      </c>
      <c r="K1">
        <f t="shared" si="0"/>
        <v>8</v>
      </c>
      <c r="M1" s="61">
        <v>8</v>
      </c>
    </row>
    <row r="2" spans="4:13" x14ac:dyDescent="0.25">
      <c r="D2" t="s">
        <v>360</v>
      </c>
      <c r="E2" t="s">
        <v>384</v>
      </c>
      <c r="F2" t="s">
        <v>412</v>
      </c>
      <c r="G2" t="s">
        <v>385</v>
      </c>
      <c r="H2" t="s">
        <v>386</v>
      </c>
      <c r="I2" t="s">
        <v>387</v>
      </c>
      <c r="J2" t="s">
        <v>388</v>
      </c>
      <c r="K2" t="s">
        <v>389</v>
      </c>
      <c r="M2" t="str">
        <f>D2&amp;": " &amp;INDEX(D:K,ROW(),$M$1)</f>
        <v>Tiết diện dây [mm2]: 50/8</v>
      </c>
    </row>
    <row r="3" spans="4:13" x14ac:dyDescent="0.25">
      <c r="D3" t="s">
        <v>361</v>
      </c>
      <c r="E3" t="s">
        <v>362</v>
      </c>
      <c r="F3" t="s">
        <v>363</v>
      </c>
      <c r="G3" t="s">
        <v>363</v>
      </c>
      <c r="H3" t="s">
        <v>364</v>
      </c>
      <c r="I3" t="s">
        <v>365</v>
      </c>
      <c r="J3" t="s">
        <v>366</v>
      </c>
      <c r="K3" t="s">
        <v>367</v>
      </c>
      <c r="M3" t="str">
        <f>D3&amp;": " &amp;INDEX(D:K,ROW(),$M$1)</f>
        <v>Đường kính ngoài của ruột dẫn đối với dây trần hay bọc [mm] : 9,5-10</v>
      </c>
    </row>
    <row r="4" spans="4:13" x14ac:dyDescent="0.25">
      <c r="D4" t="s">
        <v>368</v>
      </c>
      <c r="E4" t="s">
        <v>369</v>
      </c>
      <c r="F4" t="s">
        <v>369</v>
      </c>
      <c r="G4" t="s">
        <v>369</v>
      </c>
      <c r="H4" t="s">
        <v>369</v>
      </c>
      <c r="I4" t="s">
        <v>369</v>
      </c>
      <c r="J4" t="s">
        <v>369</v>
      </c>
      <c r="K4" t="s">
        <v>369</v>
      </c>
      <c r="M4" t="str">
        <f>D4&amp;": " &amp;INDEX(D:K,ROW(),$M$1)</f>
        <v>Độ dày lớp bọc cách điện XLPE 22kV : 5,5 mm</v>
      </c>
    </row>
    <row r="5" spans="4:13" x14ac:dyDescent="0.25">
      <c r="D5" t="s">
        <v>370</v>
      </c>
      <c r="E5" t="s">
        <v>371</v>
      </c>
      <c r="F5" t="s">
        <v>372</v>
      </c>
      <c r="G5" t="s">
        <v>372</v>
      </c>
      <c r="H5" t="s">
        <v>373</v>
      </c>
      <c r="I5" t="s">
        <v>374</v>
      </c>
      <c r="J5" t="s">
        <v>383</v>
      </c>
      <c r="K5" t="s">
        <v>375</v>
      </c>
      <c r="M5" t="str">
        <f>D5&amp;": " &amp;INDEX(D:K,ROW(),$M$1)</f>
        <v>Đường kính ngoài của dây bọc 22kV [mm]: 23,1-23,4</v>
      </c>
    </row>
    <row r="6" spans="4:13" x14ac:dyDescent="0.25">
      <c r="D6" t="s">
        <v>376</v>
      </c>
      <c r="E6" t="s">
        <v>377</v>
      </c>
      <c r="F6" t="s">
        <v>378</v>
      </c>
      <c r="G6" t="s">
        <v>378</v>
      </c>
      <c r="H6" t="s">
        <v>379</v>
      </c>
      <c r="I6" t="s">
        <v>380</v>
      </c>
      <c r="J6" t="s">
        <v>381</v>
      </c>
      <c r="K6" t="s">
        <v>382</v>
      </c>
      <c r="M6" t="str">
        <f>D6&amp;": " &amp;INDEX(D:K,ROW(),$M$1)</f>
        <v>Lực kéo đứt [kN]: 17,1</v>
      </c>
    </row>
    <row r="10" spans="4:13" x14ac:dyDescent="0.25">
      <c r="D10" t="s">
        <v>360</v>
      </c>
      <c r="E10">
        <v>50</v>
      </c>
      <c r="G10">
        <v>70</v>
      </c>
      <c r="M10" t="str">
        <f t="shared" ref="M10:M20" si="1">D10&amp;": " &amp;INDEX(D:K,ROW(),$M$1)</f>
        <v xml:space="preserve">Tiết diện dây [mm2]: </v>
      </c>
    </row>
    <row r="11" spans="4:13" x14ac:dyDescent="0.25">
      <c r="D11" t="s">
        <v>390</v>
      </c>
      <c r="E11" t="s">
        <v>391</v>
      </c>
      <c r="G11" t="s">
        <v>392</v>
      </c>
      <c r="M11" t="str">
        <f t="shared" si="1"/>
        <v xml:space="preserve">Số tao/đường kính mỗi tao [mm]: </v>
      </c>
    </row>
    <row r="12" spans="4:13" x14ac:dyDescent="0.25">
      <c r="D12" t="s">
        <v>393</v>
      </c>
      <c r="E12" t="s">
        <v>394</v>
      </c>
      <c r="G12" t="s">
        <v>395</v>
      </c>
      <c r="M12" t="str">
        <f t="shared" si="1"/>
        <v xml:space="preserve">Đường kính ngoài tối đa của cáp [mm]: </v>
      </c>
    </row>
    <row r="13" spans="4:13" x14ac:dyDescent="0.25">
      <c r="D13" t="s">
        <v>376</v>
      </c>
      <c r="E13" t="s">
        <v>396</v>
      </c>
      <c r="G13" t="s">
        <v>397</v>
      </c>
      <c r="M13" t="str">
        <f t="shared" si="1"/>
        <v xml:space="preserve">Lực kéo đứt [kN]: </v>
      </c>
    </row>
    <row r="14" spans="4:13" ht="14.45" x14ac:dyDescent="0.3">
      <c r="M14" t="str">
        <f t="shared" si="1"/>
        <v xml:space="preserve">: </v>
      </c>
    </row>
    <row r="15" spans="4:13" ht="14.45" x14ac:dyDescent="0.3">
      <c r="M15" t="str">
        <f t="shared" si="1"/>
        <v xml:space="preserve">: </v>
      </c>
    </row>
    <row r="16" spans="4:13" ht="14.45" x14ac:dyDescent="0.3">
      <c r="M16" t="str">
        <f t="shared" si="1"/>
        <v xml:space="preserve">: </v>
      </c>
    </row>
    <row r="17" spans="4:13" ht="14.45" x14ac:dyDescent="0.3">
      <c r="M17" t="str">
        <f t="shared" si="1"/>
        <v xml:space="preserve">: </v>
      </c>
    </row>
    <row r="18" spans="4:13" x14ac:dyDescent="0.25">
      <c r="D18" t="s">
        <v>360</v>
      </c>
      <c r="E18" t="s">
        <v>384</v>
      </c>
      <c r="G18" t="s">
        <v>385</v>
      </c>
      <c r="H18" t="s">
        <v>386</v>
      </c>
      <c r="I18" t="s">
        <v>387</v>
      </c>
      <c r="J18" t="s">
        <v>388</v>
      </c>
      <c r="K18" t="s">
        <v>389</v>
      </c>
      <c r="M18" t="str">
        <f t="shared" si="1"/>
        <v>Tiết diện dây [mm2]: 50/8</v>
      </c>
    </row>
    <row r="19" spans="4:13" x14ac:dyDescent="0.25">
      <c r="D19" t="s">
        <v>361</v>
      </c>
      <c r="E19" t="s">
        <v>362</v>
      </c>
      <c r="G19" t="s">
        <v>363</v>
      </c>
      <c r="H19" t="s">
        <v>364</v>
      </c>
      <c r="I19" t="s">
        <v>365</v>
      </c>
      <c r="J19" t="s">
        <v>366</v>
      </c>
      <c r="K19" t="s">
        <v>367</v>
      </c>
      <c r="M19" t="str">
        <f t="shared" si="1"/>
        <v>Đường kính ngoài của ruột dẫn đối với dây trần hay bọc [mm] : 9,5-10</v>
      </c>
    </row>
    <row r="20" spans="4:13" x14ac:dyDescent="0.25">
      <c r="D20" t="s">
        <v>434</v>
      </c>
      <c r="M20" t="str">
        <f t="shared" si="1"/>
        <v xml:space="preserve">Độ dày lớp bọc 22kV : </v>
      </c>
    </row>
    <row r="21" spans="4:13" x14ac:dyDescent="0.25">
      <c r="D21" t="s">
        <v>435</v>
      </c>
      <c r="E21" t="s">
        <v>369</v>
      </c>
      <c r="F21" t="s">
        <v>369</v>
      </c>
      <c r="G21" t="s">
        <v>369</v>
      </c>
      <c r="H21" t="s">
        <v>369</v>
      </c>
      <c r="I21" t="s">
        <v>369</v>
      </c>
      <c r="J21" t="s">
        <v>369</v>
      </c>
      <c r="K21" t="s">
        <v>369</v>
      </c>
      <c r="M21" t="str">
        <f>"+ "&amp;D21&amp;": " &amp;INDEX(D:K,ROW(),$M$1)</f>
        <v>+ Cách điện XLPE: 5,5 mm</v>
      </c>
    </row>
    <row r="22" spans="4:13" x14ac:dyDescent="0.25">
      <c r="D22" t="s">
        <v>436</v>
      </c>
      <c r="E22" t="s">
        <v>437</v>
      </c>
      <c r="F22" t="s">
        <v>437</v>
      </c>
      <c r="G22" t="s">
        <v>437</v>
      </c>
      <c r="H22" t="s">
        <v>437</v>
      </c>
      <c r="I22" t="s">
        <v>437</v>
      </c>
      <c r="J22" t="s">
        <v>437</v>
      </c>
      <c r="K22" t="s">
        <v>437</v>
      </c>
      <c r="M22" t="str">
        <f>"+ "&amp;D22&amp;": " &amp;INDEX(D:K,ROW(),$M$1)</f>
        <v>+ Vỏ ngoài HDPE: 1,2 mm</v>
      </c>
    </row>
    <row r="23" spans="4:13" x14ac:dyDescent="0.25">
      <c r="D23" t="s">
        <v>370</v>
      </c>
      <c r="E23" t="s">
        <v>371</v>
      </c>
      <c r="G23" t="s">
        <v>372</v>
      </c>
      <c r="H23" t="s">
        <v>373</v>
      </c>
      <c r="I23" t="s">
        <v>374</v>
      </c>
      <c r="J23" t="s">
        <v>438</v>
      </c>
      <c r="K23" t="s">
        <v>375</v>
      </c>
      <c r="M23" t="str">
        <f>D23&amp;": " &amp;INDEX(D:K,ROW(),$M$1)</f>
        <v>Đường kính ngoài của dây bọc 22kV [mm]: 23,1-23,4</v>
      </c>
    </row>
    <row r="24" spans="4:13" x14ac:dyDescent="0.25">
      <c r="D24" t="s">
        <v>376</v>
      </c>
      <c r="E24" t="s">
        <v>377</v>
      </c>
      <c r="G24" t="s">
        <v>378</v>
      </c>
      <c r="H24" t="s">
        <v>379</v>
      </c>
      <c r="I24" t="s">
        <v>380</v>
      </c>
      <c r="J24" t="s">
        <v>381</v>
      </c>
      <c r="K24" t="s">
        <v>382</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opLeftCell="A4" workbookViewId="0">
      <selection activeCell="I8" sqref="I8"/>
    </sheetView>
  </sheetViews>
  <sheetFormatPr defaultColWidth="8.85546875" defaultRowHeight="25.15" customHeight="1" x14ac:dyDescent="0.25"/>
  <cols>
    <col min="1" max="3" width="8.85546875" style="109"/>
    <col min="4" max="4" width="33.85546875" style="110" customWidth="1"/>
    <col min="5" max="5" width="8.85546875" style="109"/>
    <col min="6" max="6" width="27" style="109" customWidth="1"/>
    <col min="7" max="7" width="7.140625" style="109" hidden="1" customWidth="1"/>
    <col min="8" max="8" width="31.140625" style="109" customWidth="1"/>
    <col min="9" max="9" width="13.85546875" style="109" customWidth="1"/>
    <col min="10" max="10" width="12" style="109" customWidth="1"/>
    <col min="11" max="16384" width="8.85546875" style="109"/>
  </cols>
  <sheetData>
    <row r="1" spans="1:10" s="107" customFormat="1" ht="25.15" customHeight="1" x14ac:dyDescent="0.25">
      <c r="A1" s="107" t="s">
        <v>125</v>
      </c>
      <c r="B1" s="107" t="s">
        <v>125</v>
      </c>
      <c r="C1" s="107" t="s">
        <v>125</v>
      </c>
      <c r="D1" s="108" t="s">
        <v>401</v>
      </c>
      <c r="E1" s="107" t="s">
        <v>151</v>
      </c>
      <c r="F1" s="107" t="s">
        <v>398</v>
      </c>
      <c r="G1" s="107" t="s">
        <v>399</v>
      </c>
      <c r="H1" s="107" t="s">
        <v>400</v>
      </c>
      <c r="I1" s="107" t="s">
        <v>125</v>
      </c>
    </row>
    <row r="2" spans="1:10" ht="25.15" customHeight="1" x14ac:dyDescent="0.25">
      <c r="D2" s="110" t="s">
        <v>428</v>
      </c>
      <c r="F2" s="109" t="s">
        <v>432</v>
      </c>
      <c r="H2" s="111" t="s">
        <v>433</v>
      </c>
      <c r="I2" s="109" t="s">
        <v>125</v>
      </c>
    </row>
    <row r="3" spans="1:10" ht="25.15" customHeight="1" x14ac:dyDescent="0.25">
      <c r="D3" s="110" t="s">
        <v>566</v>
      </c>
      <c r="F3" s="140" t="s">
        <v>73</v>
      </c>
      <c r="G3" s="140"/>
      <c r="H3" s="111" t="s">
        <v>625</v>
      </c>
    </row>
    <row r="4" spans="1:10" ht="25.15" customHeight="1" x14ac:dyDescent="0.25">
      <c r="D4" s="110" t="s">
        <v>566</v>
      </c>
      <c r="F4" s="140" t="s">
        <v>403</v>
      </c>
      <c r="G4" s="140"/>
      <c r="H4" s="111" t="s">
        <v>404</v>
      </c>
      <c r="J4" s="112"/>
    </row>
    <row r="5" spans="1:10" ht="25.15" customHeight="1" thickBot="1" x14ac:dyDescent="0.3">
      <c r="D5" s="110" t="s">
        <v>566</v>
      </c>
      <c r="E5" s="138"/>
      <c r="F5" s="139" t="s">
        <v>563</v>
      </c>
      <c r="G5" s="140"/>
      <c r="H5" s="139" t="s">
        <v>567</v>
      </c>
    </row>
    <row r="6" spans="1:10" ht="25.15" customHeight="1" thickBot="1" x14ac:dyDescent="0.3">
      <c r="D6" s="110" t="s">
        <v>624</v>
      </c>
      <c r="E6" s="138"/>
      <c r="F6" s="139" t="s">
        <v>408</v>
      </c>
      <c r="H6" s="139" t="s">
        <v>625</v>
      </c>
    </row>
    <row r="7" spans="1:10" ht="25.15" customHeight="1" thickBot="1" x14ac:dyDescent="0.3">
      <c r="D7" s="110" t="s">
        <v>624</v>
      </c>
      <c r="E7" s="138"/>
      <c r="F7" s="139" t="s">
        <v>409</v>
      </c>
      <c r="H7" s="139" t="s">
        <v>404</v>
      </c>
    </row>
    <row r="8" spans="1:10" ht="25.15" customHeight="1" x14ac:dyDescent="0.25">
      <c r="D8" s="110" t="s">
        <v>21</v>
      </c>
      <c r="F8" s="109" t="s">
        <v>408</v>
      </c>
      <c r="H8" s="140" t="s">
        <v>402</v>
      </c>
      <c r="I8" s="109" t="s">
        <v>125</v>
      </c>
    </row>
    <row r="9" spans="1:10" ht="25.15" customHeight="1" x14ac:dyDescent="0.25">
      <c r="D9" s="110" t="s">
        <v>21</v>
      </c>
      <c r="F9" s="109" t="s">
        <v>409</v>
      </c>
      <c r="H9" s="140" t="s">
        <v>426</v>
      </c>
    </row>
    <row r="10" spans="1:10" ht="25.15" customHeight="1" x14ac:dyDescent="0.25">
      <c r="D10" s="110" t="s">
        <v>21</v>
      </c>
      <c r="F10" s="109" t="s">
        <v>410</v>
      </c>
      <c r="H10" s="142" t="s">
        <v>411</v>
      </c>
    </row>
    <row r="11" spans="1:10" ht="25.15" customHeight="1" thickBot="1" x14ac:dyDescent="0.3">
      <c r="D11" s="110" t="s">
        <v>557</v>
      </c>
      <c r="F11" s="139" t="s">
        <v>409</v>
      </c>
      <c r="H11" s="109" t="s">
        <v>602</v>
      </c>
    </row>
    <row r="12" spans="1:10" ht="25.15" customHeight="1" thickBot="1" x14ac:dyDescent="0.3">
      <c r="D12" s="110" t="s">
        <v>256</v>
      </c>
      <c r="F12" s="139" t="s">
        <v>408</v>
      </c>
      <c r="H12" s="109" t="s">
        <v>441</v>
      </c>
    </row>
    <row r="13" spans="1:10" ht="25.15" customHeight="1" thickBot="1" x14ac:dyDescent="0.3">
      <c r="D13" s="110" t="s">
        <v>256</v>
      </c>
      <c r="F13" s="139" t="s">
        <v>409</v>
      </c>
      <c r="H13" s="109" t="s">
        <v>404</v>
      </c>
    </row>
    <row r="14" spans="1:10" ht="25.15" customHeight="1" x14ac:dyDescent="0.25">
      <c r="D14" s="110" t="s">
        <v>256</v>
      </c>
      <c r="F14" s="109" t="s">
        <v>405</v>
      </c>
      <c r="H14" s="111" t="s">
        <v>597</v>
      </c>
    </row>
    <row r="15" spans="1:10" ht="25.15" customHeight="1" x14ac:dyDescent="0.25">
      <c r="D15" s="110" t="s">
        <v>604</v>
      </c>
      <c r="F15" s="109" t="s">
        <v>409</v>
      </c>
      <c r="H15" s="111" t="s">
        <v>603</v>
      </c>
    </row>
    <row r="16" spans="1:10" ht="25.15" customHeight="1" x14ac:dyDescent="0.25">
      <c r="D16" s="110" t="s">
        <v>421</v>
      </c>
      <c r="F16" s="109" t="s">
        <v>73</v>
      </c>
      <c r="H16" s="111" t="s">
        <v>257</v>
      </c>
    </row>
    <row r="17" spans="4:8" ht="25.15" customHeight="1" x14ac:dyDescent="0.25">
      <c r="D17" s="110" t="s">
        <v>421</v>
      </c>
      <c r="F17" s="109" t="s">
        <v>403</v>
      </c>
      <c r="H17" s="111" t="s">
        <v>407</v>
      </c>
    </row>
    <row r="18" spans="4:8" ht="25.15" customHeight="1" x14ac:dyDescent="0.25">
      <c r="D18" s="110" t="s">
        <v>421</v>
      </c>
      <c r="F18" s="109" t="s">
        <v>405</v>
      </c>
      <c r="H18" s="111" t="s">
        <v>406</v>
      </c>
    </row>
    <row r="19" spans="4:8" ht="25.15" customHeight="1" x14ac:dyDescent="0.25">
      <c r="D19" s="110" t="s">
        <v>431</v>
      </c>
      <c r="F19" s="109" t="s">
        <v>408</v>
      </c>
      <c r="H19" s="111" t="s">
        <v>429</v>
      </c>
    </row>
    <row r="20" spans="4:8" ht="25.15" customHeight="1" x14ac:dyDescent="0.25">
      <c r="D20" s="110" t="s">
        <v>431</v>
      </c>
      <c r="F20" s="109" t="s">
        <v>409</v>
      </c>
      <c r="H20" s="111" t="s">
        <v>404</v>
      </c>
    </row>
    <row r="21" spans="4:8" ht="25.15" customHeight="1" x14ac:dyDescent="0.25">
      <c r="D21" s="110" t="s">
        <v>431</v>
      </c>
      <c r="F21" s="109" t="s">
        <v>410</v>
      </c>
      <c r="H21" s="111" t="s">
        <v>430</v>
      </c>
    </row>
    <row r="22" spans="4:8" ht="25.15" customHeight="1" x14ac:dyDescent="0.25">
      <c r="D22" s="110" t="s">
        <v>724</v>
      </c>
      <c r="F22" s="109" t="s">
        <v>408</v>
      </c>
      <c r="H22" s="111" t="s">
        <v>725</v>
      </c>
    </row>
    <row r="23" spans="4:8" ht="25.15" customHeight="1" x14ac:dyDescent="0.25">
      <c r="D23" s="110" t="s">
        <v>724</v>
      </c>
      <c r="F23" s="109" t="s">
        <v>409</v>
      </c>
      <c r="H23" s="109" t="s">
        <v>404</v>
      </c>
    </row>
    <row r="24" spans="4:8" ht="25.15" customHeight="1" x14ac:dyDescent="0.25">
      <c r="D24" s="110" t="s">
        <v>599</v>
      </c>
      <c r="F24" s="109" t="s">
        <v>408</v>
      </c>
      <c r="H24" s="140" t="s">
        <v>402</v>
      </c>
    </row>
    <row r="25" spans="4:8" ht="25.15" customHeight="1" x14ac:dyDescent="0.25">
      <c r="D25" s="110" t="s">
        <v>599</v>
      </c>
      <c r="F25" s="109" t="s">
        <v>409</v>
      </c>
      <c r="H25" s="140" t="s">
        <v>426</v>
      </c>
    </row>
    <row r="26" spans="4:8" ht="25.15" customHeight="1" x14ac:dyDescent="0.25">
      <c r="D26" s="110" t="s">
        <v>599</v>
      </c>
      <c r="F26" s="109" t="s">
        <v>405</v>
      </c>
      <c r="H26" s="140" t="s">
        <v>727</v>
      </c>
    </row>
    <row r="27" spans="4:8" ht="25.15" customHeight="1" x14ac:dyDescent="0.25">
      <c r="D27" s="110" t="s">
        <v>599</v>
      </c>
      <c r="F27" s="109" t="s">
        <v>410</v>
      </c>
      <c r="H27" s="114" t="s">
        <v>411</v>
      </c>
    </row>
    <row r="28" spans="4:8" ht="25.15" customHeight="1" x14ac:dyDescent="0.25">
      <c r="D28" s="110" t="s">
        <v>427</v>
      </c>
      <c r="F28" s="109" t="s">
        <v>408</v>
      </c>
      <c r="H28" s="111" t="s">
        <v>402</v>
      </c>
    </row>
    <row r="29" spans="4:8" ht="25.15" customHeight="1" x14ac:dyDescent="0.25">
      <c r="D29" s="110" t="s">
        <v>427</v>
      </c>
      <c r="F29" s="109" t="s">
        <v>409</v>
      </c>
      <c r="H29" s="111" t="s">
        <v>426</v>
      </c>
    </row>
    <row r="30" spans="4:8" ht="25.15" customHeight="1" x14ac:dyDescent="0.25">
      <c r="D30" s="110" t="s">
        <v>427</v>
      </c>
      <c r="F30" s="109" t="s">
        <v>410</v>
      </c>
      <c r="H30" s="114" t="s">
        <v>411</v>
      </c>
    </row>
    <row r="31" spans="4:8" ht="25.15" customHeight="1" x14ac:dyDescent="0.25">
      <c r="D31" s="110" t="s">
        <v>315</v>
      </c>
      <c r="F31" s="109" t="s">
        <v>73</v>
      </c>
      <c r="H31" s="111" t="s">
        <v>83</v>
      </c>
    </row>
    <row r="32" spans="4:8" ht="25.15" customHeight="1" x14ac:dyDescent="0.25">
      <c r="D32" s="110" t="s">
        <v>315</v>
      </c>
      <c r="F32" s="109" t="s">
        <v>403</v>
      </c>
      <c r="H32" s="111" t="s">
        <v>418</v>
      </c>
    </row>
    <row r="33" spans="4:8" ht="25.15" customHeight="1" x14ac:dyDescent="0.25">
      <c r="D33" s="110" t="s">
        <v>315</v>
      </c>
      <c r="F33" s="109" t="s">
        <v>405</v>
      </c>
      <c r="H33" s="109" t="s">
        <v>419</v>
      </c>
    </row>
    <row r="34" spans="4:8" ht="25.15" customHeight="1" x14ac:dyDescent="0.25">
      <c r="D34" s="110" t="s">
        <v>420</v>
      </c>
      <c r="E34" s="137"/>
      <c r="F34" s="137" t="s">
        <v>408</v>
      </c>
      <c r="H34" s="137" t="s">
        <v>402</v>
      </c>
    </row>
    <row r="35" spans="4:8" ht="25.15" customHeight="1" x14ac:dyDescent="0.25">
      <c r="D35" s="110" t="s">
        <v>420</v>
      </c>
      <c r="E35" s="137"/>
      <c r="F35" s="137" t="s">
        <v>409</v>
      </c>
      <c r="H35" s="137" t="s">
        <v>404</v>
      </c>
    </row>
    <row r="36" spans="4:8" ht="25.15" customHeight="1" x14ac:dyDescent="0.25">
      <c r="D36" s="110" t="s">
        <v>420</v>
      </c>
      <c r="E36" s="137"/>
      <c r="F36" s="137" t="s">
        <v>410</v>
      </c>
      <c r="H36" s="141" t="s">
        <v>411</v>
      </c>
    </row>
    <row r="37" spans="4:8" ht="25.15" customHeight="1" x14ac:dyDescent="0.25">
      <c r="D37" s="110" t="s">
        <v>601</v>
      </c>
      <c r="F37" s="109" t="s">
        <v>408</v>
      </c>
      <c r="H37" s="140" t="s">
        <v>402</v>
      </c>
    </row>
    <row r="38" spans="4:8" ht="25.15" customHeight="1" x14ac:dyDescent="0.25">
      <c r="D38" s="110" t="s">
        <v>601</v>
      </c>
      <c r="F38" s="109" t="s">
        <v>409</v>
      </c>
      <c r="H38" s="140" t="s">
        <v>426</v>
      </c>
    </row>
    <row r="39" spans="4:8" ht="25.15" customHeight="1" x14ac:dyDescent="0.25">
      <c r="D39" s="110" t="s">
        <v>601</v>
      </c>
      <c r="F39" s="111" t="s">
        <v>405</v>
      </c>
      <c r="G39" s="111"/>
      <c r="H39" s="114" t="s">
        <v>726</v>
      </c>
    </row>
    <row r="40" spans="4:8" ht="25.15" customHeight="1" x14ac:dyDescent="0.25">
      <c r="D40" s="110" t="s">
        <v>601</v>
      </c>
      <c r="F40" s="111" t="s">
        <v>410</v>
      </c>
      <c r="G40" s="111"/>
      <c r="H40" s="114" t="s">
        <v>411</v>
      </c>
    </row>
    <row r="41" spans="4:8" ht="25.15" customHeight="1" x14ac:dyDescent="0.25">
      <c r="D41" s="110" t="s">
        <v>425</v>
      </c>
      <c r="F41" s="111" t="s">
        <v>408</v>
      </c>
      <c r="G41" s="111"/>
      <c r="H41" s="111" t="s">
        <v>402</v>
      </c>
    </row>
    <row r="42" spans="4:8" ht="25.15" customHeight="1" x14ac:dyDescent="0.25">
      <c r="D42" s="110" t="s">
        <v>425</v>
      </c>
      <c r="F42" s="111" t="s">
        <v>409</v>
      </c>
      <c r="G42" s="111"/>
      <c r="H42" s="111" t="s">
        <v>426</v>
      </c>
    </row>
    <row r="43" spans="4:8" ht="25.15" customHeight="1" x14ac:dyDescent="0.25">
      <c r="D43" s="110" t="s">
        <v>425</v>
      </c>
      <c r="F43" s="111" t="s">
        <v>410</v>
      </c>
      <c r="G43" s="111"/>
      <c r="H43" s="114" t="s">
        <v>411</v>
      </c>
    </row>
    <row r="44" spans="4:8" ht="25.15" customHeight="1" x14ac:dyDescent="0.25">
      <c r="D44" s="110" t="s">
        <v>513</v>
      </c>
      <c r="F44" s="111" t="s">
        <v>73</v>
      </c>
      <c r="G44" s="111"/>
      <c r="H44" s="111" t="s">
        <v>68</v>
      </c>
    </row>
    <row r="45" spans="4:8" ht="25.15" customHeight="1" x14ac:dyDescent="0.25">
      <c r="D45" s="110" t="s">
        <v>513</v>
      </c>
      <c r="F45" s="109" t="s">
        <v>403</v>
      </c>
      <c r="H45" s="109" t="s">
        <v>514</v>
      </c>
    </row>
    <row r="46" spans="4:8" ht="25.15" customHeight="1" x14ac:dyDescent="0.25">
      <c r="D46" s="110" t="s">
        <v>513</v>
      </c>
      <c r="F46" s="109" t="s">
        <v>405</v>
      </c>
      <c r="H46" s="109" t="s">
        <v>513</v>
      </c>
    </row>
    <row r="47" spans="4:8" ht="25.15" customHeight="1" x14ac:dyDescent="0.25">
      <c r="D47" s="110" t="s">
        <v>439</v>
      </c>
      <c r="F47" s="109" t="s">
        <v>408</v>
      </c>
      <c r="H47" s="140" t="s">
        <v>402</v>
      </c>
    </row>
    <row r="48" spans="4:8" ht="25.15" customHeight="1" x14ac:dyDescent="0.25">
      <c r="D48" s="110" t="s">
        <v>439</v>
      </c>
      <c r="F48" s="109" t="s">
        <v>409</v>
      </c>
      <c r="H48" s="111" t="s">
        <v>426</v>
      </c>
    </row>
    <row r="49" spans="4:8" ht="25.15" customHeight="1" x14ac:dyDescent="0.25">
      <c r="D49" s="110" t="s">
        <v>439</v>
      </c>
      <c r="F49" s="109" t="s">
        <v>410</v>
      </c>
      <c r="H49" s="114" t="s">
        <v>411</v>
      </c>
    </row>
    <row r="50" spans="4:8" ht="25.15" customHeight="1" x14ac:dyDescent="0.25">
      <c r="D50" s="110" t="s">
        <v>600</v>
      </c>
      <c r="F50" s="109" t="s">
        <v>408</v>
      </c>
      <c r="H50" s="111" t="s">
        <v>441</v>
      </c>
    </row>
    <row r="51" spans="4:8" ht="25.15" customHeight="1" x14ac:dyDescent="0.25">
      <c r="D51" s="110" t="s">
        <v>600</v>
      </c>
      <c r="F51" s="109" t="s">
        <v>409</v>
      </c>
      <c r="H51" s="111" t="s">
        <v>404</v>
      </c>
    </row>
    <row r="52" spans="4:8" ht="25.15" customHeight="1" x14ac:dyDescent="0.25">
      <c r="D52" s="110" t="s">
        <v>600</v>
      </c>
      <c r="F52" s="109" t="s">
        <v>405</v>
      </c>
      <c r="H52" s="111" t="s">
        <v>598</v>
      </c>
    </row>
    <row r="53" spans="4:8" ht="25.15" customHeight="1" x14ac:dyDescent="0.25">
      <c r="D53" s="110" t="s">
        <v>564</v>
      </c>
      <c r="F53" s="140" t="s">
        <v>73</v>
      </c>
      <c r="G53" s="140"/>
      <c r="H53" s="111" t="s">
        <v>441</v>
      </c>
    </row>
    <row r="54" spans="4:8" ht="25.15" customHeight="1" x14ac:dyDescent="0.25">
      <c r="D54" s="110" t="s">
        <v>564</v>
      </c>
      <c r="F54" s="140" t="s">
        <v>403</v>
      </c>
      <c r="G54" s="140"/>
      <c r="H54" s="111" t="s">
        <v>404</v>
      </c>
    </row>
    <row r="55" spans="4:8" ht="25.15" customHeight="1" x14ac:dyDescent="0.25">
      <c r="D55" s="110" t="s">
        <v>564</v>
      </c>
      <c r="F55" s="140" t="s">
        <v>563</v>
      </c>
      <c r="G55" s="140"/>
      <c r="H55" s="111" t="s">
        <v>565</v>
      </c>
    </row>
    <row r="56" spans="4:8" ht="25.15" customHeight="1" x14ac:dyDescent="0.25">
      <c r="D56" s="113" t="s">
        <v>424</v>
      </c>
      <c r="F56" s="137" t="s">
        <v>408</v>
      </c>
      <c r="H56" s="109" t="s">
        <v>422</v>
      </c>
    </row>
    <row r="57" spans="4:8" ht="25.15" customHeight="1" x14ac:dyDescent="0.25">
      <c r="D57" s="113" t="s">
        <v>424</v>
      </c>
      <c r="F57" s="137" t="s">
        <v>409</v>
      </c>
      <c r="H57" s="109" t="s">
        <v>404</v>
      </c>
    </row>
    <row r="58" spans="4:8" ht="25.15" customHeight="1" x14ac:dyDescent="0.25">
      <c r="D58" s="113" t="s">
        <v>424</v>
      </c>
      <c r="F58" s="137" t="s">
        <v>410</v>
      </c>
      <c r="H58" s="109" t="s">
        <v>423</v>
      </c>
    </row>
    <row r="59" spans="4:8" ht="25.15" customHeight="1" x14ac:dyDescent="0.25">
      <c r="D59" s="115" t="s">
        <v>440</v>
      </c>
      <c r="F59" s="109" t="s">
        <v>408</v>
      </c>
      <c r="H59" s="140" t="s">
        <v>402</v>
      </c>
    </row>
    <row r="60" spans="4:8" ht="25.15" customHeight="1" x14ac:dyDescent="0.25">
      <c r="D60" s="115" t="s">
        <v>440</v>
      </c>
      <c r="F60" s="109" t="s">
        <v>409</v>
      </c>
      <c r="H60" s="140" t="s">
        <v>426</v>
      </c>
    </row>
    <row r="61" spans="4:8" ht="25.15" customHeight="1" x14ac:dyDescent="0.25">
      <c r="D61" s="115" t="s">
        <v>440</v>
      </c>
      <c r="F61" s="109" t="s">
        <v>410</v>
      </c>
      <c r="H61" s="142" t="s">
        <v>411</v>
      </c>
    </row>
    <row r="62" spans="4:8" ht="25.15" customHeight="1" x14ac:dyDescent="0.25">
      <c r="D62" s="110" t="s">
        <v>556</v>
      </c>
      <c r="F62" s="109" t="s">
        <v>409</v>
      </c>
      <c r="H62" s="109" t="s">
        <v>605</v>
      </c>
    </row>
  </sheetData>
  <autoFilter ref="A1:H62">
    <sortState ref="A2:H62">
      <sortCondition ref="D1:D62"/>
    </sortState>
  </autoFilter>
  <hyperlinks>
    <hyperlink ref="H36" r:id="rId1"/>
    <hyperlink ref="H43" r:id="rId2"/>
    <hyperlink ref="H30" r:id="rId3"/>
    <hyperlink ref="H10" r:id="rId4"/>
    <hyperlink ref="H49" r:id="rId5"/>
    <hyperlink ref="H61" r:id="rId6"/>
    <hyperlink ref="H24" r:id="rId7" display="http://lienminhphat.com/"/>
    <hyperlink ref="H27" r:id="rId8"/>
    <hyperlink ref="H37" r:id="rId9" display="http://lienminhphat.com/"/>
    <hyperlink ref="H40" r:id="rId1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38"/>
  <sheetViews>
    <sheetView workbookViewId="0">
      <selection activeCell="D1" sqref="D1:F1"/>
    </sheetView>
  </sheetViews>
  <sheetFormatPr defaultRowHeight="15" x14ac:dyDescent="0.25"/>
  <cols>
    <col min="4" max="4" width="39.28515625" customWidth="1"/>
    <col min="5" max="5" width="32.42578125" customWidth="1"/>
    <col min="6" max="6" width="27" customWidth="1"/>
    <col min="7" max="9" width="8.7109375" style="20" customWidth="1"/>
    <col min="11" max="11" width="21.28515625" bestFit="1" customWidth="1"/>
  </cols>
  <sheetData>
    <row r="1" spans="3:9" s="45" customFormat="1" ht="31.9" customHeight="1" x14ac:dyDescent="0.25">
      <c r="C1" s="46" t="s">
        <v>159</v>
      </c>
      <c r="D1" s="46" t="s">
        <v>160</v>
      </c>
      <c r="E1" s="47" t="s">
        <v>161</v>
      </c>
      <c r="F1" s="47" t="s">
        <v>20</v>
      </c>
      <c r="G1" s="45" t="s">
        <v>171</v>
      </c>
      <c r="H1" s="45" t="s">
        <v>172</v>
      </c>
      <c r="I1" s="45" t="s">
        <v>173</v>
      </c>
    </row>
    <row r="2" spans="3:9" ht="24" customHeight="1" x14ac:dyDescent="0.25">
      <c r="C2" s="38">
        <f>SUM($G$1:G2)</f>
        <v>1</v>
      </c>
      <c r="D2" s="48" t="s">
        <v>220</v>
      </c>
      <c r="E2" s="40" t="s">
        <v>169</v>
      </c>
      <c r="F2" s="40" t="s">
        <v>169</v>
      </c>
      <c r="G2" s="20">
        <v>1</v>
      </c>
      <c r="H2" s="20">
        <v>1</v>
      </c>
      <c r="I2" s="20">
        <v>1</v>
      </c>
    </row>
    <row r="3" spans="3:9" ht="24" customHeight="1" x14ac:dyDescent="0.25">
      <c r="C3" s="38">
        <f>SUM($G$1:G3)</f>
        <v>2</v>
      </c>
      <c r="D3" s="48" t="s">
        <v>221</v>
      </c>
      <c r="E3" s="40" t="s">
        <v>169</v>
      </c>
      <c r="F3" s="40" t="s">
        <v>169</v>
      </c>
      <c r="G3" s="20">
        <v>1</v>
      </c>
      <c r="H3" s="20">
        <v>1</v>
      </c>
      <c r="I3" s="20">
        <v>1</v>
      </c>
    </row>
    <row r="4" spans="3:9" ht="24" customHeight="1" x14ac:dyDescent="0.25">
      <c r="C4" s="38">
        <f>SUM($G$1:G4)</f>
        <v>3</v>
      </c>
      <c r="D4" s="48" t="s">
        <v>222</v>
      </c>
      <c r="E4" s="40" t="s">
        <v>84</v>
      </c>
      <c r="F4" s="40" t="s">
        <v>224</v>
      </c>
      <c r="G4" s="20">
        <v>1</v>
      </c>
      <c r="H4" s="20">
        <v>1</v>
      </c>
      <c r="I4" s="20">
        <v>1</v>
      </c>
    </row>
    <row r="5" spans="3:9" ht="24" customHeight="1" x14ac:dyDescent="0.25">
      <c r="C5" s="38">
        <f>SUM($G$1:G5)</f>
        <v>4</v>
      </c>
      <c r="D5" s="39" t="s">
        <v>256</v>
      </c>
      <c r="E5" s="40" t="s">
        <v>255</v>
      </c>
      <c r="F5" s="40" t="s">
        <v>255</v>
      </c>
      <c r="G5" s="20">
        <v>1</v>
      </c>
      <c r="H5" s="20">
        <v>1</v>
      </c>
    </row>
    <row r="6" spans="3:9" ht="24" customHeight="1" x14ac:dyDescent="0.25">
      <c r="C6" s="38">
        <f>SUM($G$1:G6)</f>
        <v>5</v>
      </c>
      <c r="D6" s="39" t="s">
        <v>21</v>
      </c>
      <c r="E6" s="40" t="s">
        <v>169</v>
      </c>
      <c r="F6" s="40" t="s">
        <v>169</v>
      </c>
      <c r="G6" s="20">
        <v>1</v>
      </c>
      <c r="H6" s="20">
        <v>1</v>
      </c>
      <c r="I6" s="20">
        <v>1</v>
      </c>
    </row>
    <row r="7" spans="3:9" ht="24" customHeight="1" x14ac:dyDescent="0.25">
      <c r="C7" s="38">
        <f>SUM($G$1:G7)</f>
        <v>6</v>
      </c>
      <c r="D7" s="39" t="s">
        <v>225</v>
      </c>
      <c r="E7" s="40" t="s">
        <v>169</v>
      </c>
      <c r="F7" s="40" t="s">
        <v>169</v>
      </c>
      <c r="G7" s="20">
        <v>1</v>
      </c>
      <c r="H7" s="20">
        <v>1</v>
      </c>
    </row>
    <row r="8" spans="3:9" ht="24" customHeight="1" x14ac:dyDescent="0.25">
      <c r="C8" s="38">
        <f>SUM($G$1:G8)</f>
        <v>7</v>
      </c>
      <c r="D8" s="39" t="s">
        <v>182</v>
      </c>
      <c r="E8" s="40" t="s">
        <v>169</v>
      </c>
      <c r="F8" s="40" t="s">
        <v>169</v>
      </c>
      <c r="G8" s="20">
        <v>1</v>
      </c>
      <c r="H8" s="20">
        <v>1</v>
      </c>
    </row>
    <row r="9" spans="3:9" ht="24" customHeight="1" x14ac:dyDescent="0.25">
      <c r="C9" s="38">
        <f>SUM($G$1:G9)</f>
        <v>8</v>
      </c>
      <c r="D9" s="39" t="s">
        <v>164</v>
      </c>
      <c r="E9" s="40" t="s">
        <v>169</v>
      </c>
      <c r="F9" s="40" t="s">
        <v>169</v>
      </c>
      <c r="G9" s="20">
        <v>1</v>
      </c>
      <c r="H9" s="20">
        <v>1</v>
      </c>
      <c r="I9" s="20">
        <v>1</v>
      </c>
    </row>
    <row r="10" spans="3:9" ht="24" customHeight="1" x14ac:dyDescent="0.25">
      <c r="C10" s="38">
        <f>SUM($G$1:G10)</f>
        <v>9</v>
      </c>
      <c r="D10" s="39" t="s">
        <v>184</v>
      </c>
      <c r="E10" s="40" t="s">
        <v>169</v>
      </c>
      <c r="F10" s="40" t="s">
        <v>169</v>
      </c>
      <c r="G10" s="20">
        <v>1</v>
      </c>
      <c r="H10" s="20">
        <v>1</v>
      </c>
      <c r="I10" s="20">
        <v>1</v>
      </c>
    </row>
    <row r="11" spans="3:9" ht="24" customHeight="1" x14ac:dyDescent="0.25">
      <c r="C11" s="38">
        <f>SUM($G$1:G11)</f>
        <v>10</v>
      </c>
      <c r="D11" s="39" t="s">
        <v>165</v>
      </c>
      <c r="E11" s="40" t="s">
        <v>169</v>
      </c>
      <c r="F11" s="40" t="s">
        <v>169</v>
      </c>
      <c r="G11" s="20">
        <v>1</v>
      </c>
      <c r="H11" s="20">
        <v>1</v>
      </c>
      <c r="I11" s="20">
        <v>1</v>
      </c>
    </row>
    <row r="12" spans="3:9" ht="24" customHeight="1" x14ac:dyDescent="0.25">
      <c r="C12" s="38">
        <f>SUM($G$1:G12)</f>
        <v>11</v>
      </c>
      <c r="D12" s="39" t="s">
        <v>175</v>
      </c>
      <c r="E12" s="40" t="s">
        <v>169</v>
      </c>
      <c r="F12" s="40" t="s">
        <v>169</v>
      </c>
      <c r="G12" s="20">
        <v>1</v>
      </c>
      <c r="H12" s="20">
        <v>1</v>
      </c>
    </row>
    <row r="13" spans="3:9" ht="24" customHeight="1" x14ac:dyDescent="0.25">
      <c r="C13" s="38">
        <f>SUM($G$1:G13)</f>
        <v>12</v>
      </c>
      <c r="D13" s="39" t="s">
        <v>180</v>
      </c>
      <c r="E13" s="40" t="s">
        <v>169</v>
      </c>
      <c r="F13" s="40" t="s">
        <v>169</v>
      </c>
      <c r="G13" s="20">
        <v>1</v>
      </c>
      <c r="H13" s="20">
        <v>1</v>
      </c>
    </row>
    <row r="14" spans="3:9" ht="24" customHeight="1" x14ac:dyDescent="0.25">
      <c r="C14" s="38">
        <f>SUM($G$1:G14)</f>
        <v>13</v>
      </c>
      <c r="D14" s="39" t="s">
        <v>168</v>
      </c>
      <c r="E14" s="50" t="s">
        <v>257</v>
      </c>
      <c r="F14" s="50" t="s">
        <v>91</v>
      </c>
      <c r="G14" s="20">
        <v>1</v>
      </c>
      <c r="H14" s="20">
        <v>1</v>
      </c>
    </row>
    <row r="15" spans="3:9" ht="24" customHeight="1" x14ac:dyDescent="0.25">
      <c r="C15" s="38">
        <f>SUM($G$1:G15)</f>
        <v>14</v>
      </c>
      <c r="D15" s="39" t="s">
        <v>187</v>
      </c>
      <c r="E15" s="40" t="s">
        <v>227</v>
      </c>
      <c r="F15" s="40" t="s">
        <v>227</v>
      </c>
      <c r="G15" s="20">
        <v>1</v>
      </c>
      <c r="I15" s="20">
        <v>1</v>
      </c>
    </row>
    <row r="16" spans="3:9" ht="24" customHeight="1" x14ac:dyDescent="0.25">
      <c r="C16" s="38">
        <f>SUM($G$1:G16)</f>
        <v>15</v>
      </c>
      <c r="D16" s="39" t="s">
        <v>176</v>
      </c>
      <c r="E16" s="40" t="s">
        <v>72</v>
      </c>
      <c r="F16" s="40" t="s">
        <v>169</v>
      </c>
      <c r="G16" s="20">
        <v>1</v>
      </c>
      <c r="H16" s="20">
        <v>1</v>
      </c>
    </row>
    <row r="17" spans="3:9" ht="39.6" customHeight="1" x14ac:dyDescent="0.25">
      <c r="C17" s="38">
        <f>SUM($G$1:G17)</f>
        <v>16</v>
      </c>
      <c r="D17" s="39" t="s">
        <v>162</v>
      </c>
      <c r="E17" s="50" t="s">
        <v>257</v>
      </c>
      <c r="F17" s="50" t="s">
        <v>91</v>
      </c>
      <c r="G17" s="20">
        <v>1</v>
      </c>
      <c r="H17" s="20">
        <v>1</v>
      </c>
    </row>
    <row r="18" spans="3:9" ht="29.45" customHeight="1" x14ac:dyDescent="0.25">
      <c r="C18" s="38">
        <f>SUM($G$1:G18)</f>
        <v>17</v>
      </c>
      <c r="D18" s="39" t="s">
        <v>181</v>
      </c>
      <c r="E18" s="40" t="s">
        <v>169</v>
      </c>
      <c r="F18" s="40" t="s">
        <v>169</v>
      </c>
      <c r="G18" s="20">
        <v>1</v>
      </c>
      <c r="H18" s="20">
        <v>1</v>
      </c>
    </row>
    <row r="19" spans="3:9" ht="24" customHeight="1" x14ac:dyDescent="0.25">
      <c r="C19" s="38">
        <f>SUM($G$1:G19)</f>
        <v>18</v>
      </c>
      <c r="D19" s="39" t="s">
        <v>170</v>
      </c>
      <c r="E19" s="40" t="s">
        <v>94</v>
      </c>
      <c r="F19" s="40" t="s">
        <v>94</v>
      </c>
      <c r="G19" s="20">
        <v>1</v>
      </c>
      <c r="I19" s="20">
        <v>1</v>
      </c>
    </row>
    <row r="20" spans="3:9" ht="24" customHeight="1" x14ac:dyDescent="0.25">
      <c r="C20" s="38">
        <f>SUM($G$1:G20)</f>
        <v>19</v>
      </c>
      <c r="D20" s="39" t="s">
        <v>191</v>
      </c>
      <c r="E20" s="40" t="s">
        <v>169</v>
      </c>
      <c r="F20" s="40" t="s">
        <v>169</v>
      </c>
      <c r="G20" s="20">
        <v>1</v>
      </c>
      <c r="I20" s="20">
        <v>1</v>
      </c>
    </row>
    <row r="21" spans="3:9" ht="24" customHeight="1" x14ac:dyDescent="0.25">
      <c r="C21" s="38">
        <f>SUM($G$1:G21)</f>
        <v>20</v>
      </c>
      <c r="D21" s="39" t="s">
        <v>185</v>
      </c>
      <c r="E21" s="40" t="s">
        <v>169</v>
      </c>
      <c r="F21" s="40" t="s">
        <v>169</v>
      </c>
      <c r="G21" s="20">
        <v>1</v>
      </c>
      <c r="I21" s="20">
        <v>1</v>
      </c>
    </row>
    <row r="22" spans="3:9" ht="24" customHeight="1" x14ac:dyDescent="0.25">
      <c r="C22" s="38">
        <f>SUM($G$1:G22)</f>
        <v>21</v>
      </c>
      <c r="D22" s="39" t="s">
        <v>166</v>
      </c>
      <c r="E22" s="40" t="s">
        <v>169</v>
      </c>
      <c r="F22" s="40" t="s">
        <v>169</v>
      </c>
      <c r="G22" s="20">
        <v>1</v>
      </c>
      <c r="H22" s="20">
        <v>1</v>
      </c>
      <c r="I22" s="20">
        <v>1</v>
      </c>
    </row>
    <row r="23" spans="3:9" ht="24" customHeight="1" x14ac:dyDescent="0.25">
      <c r="C23" s="38">
        <f>SUM($G$1:G23)</f>
        <v>22</v>
      </c>
      <c r="D23" s="39" t="s">
        <v>167</v>
      </c>
      <c r="E23" s="40" t="s">
        <v>169</v>
      </c>
      <c r="F23" s="40" t="s">
        <v>169</v>
      </c>
      <c r="G23" s="20">
        <v>1</v>
      </c>
      <c r="H23" s="20">
        <v>1</v>
      </c>
    </row>
    <row r="24" spans="3:9" ht="24" customHeight="1" x14ac:dyDescent="0.25">
      <c r="C24" s="38">
        <f>SUM($G$1:G24)</f>
        <v>23</v>
      </c>
      <c r="D24" s="39" t="s">
        <v>186</v>
      </c>
      <c r="E24" s="40" t="s">
        <v>169</v>
      </c>
      <c r="F24" s="40" t="s">
        <v>169</v>
      </c>
      <c r="G24" s="20">
        <v>1</v>
      </c>
      <c r="I24" s="20">
        <v>1</v>
      </c>
    </row>
    <row r="25" spans="3:9" ht="24" customHeight="1" x14ac:dyDescent="0.25">
      <c r="C25" s="38">
        <f>SUM($G$1:G25)</f>
        <v>24</v>
      </c>
      <c r="D25" s="39" t="s">
        <v>190</v>
      </c>
      <c r="E25" s="40" t="s">
        <v>169</v>
      </c>
      <c r="F25" s="40" t="s">
        <v>169</v>
      </c>
      <c r="G25" s="20">
        <v>1</v>
      </c>
      <c r="H25" s="20">
        <v>1</v>
      </c>
      <c r="I25" s="20">
        <v>1</v>
      </c>
    </row>
    <row r="26" spans="3:9" ht="24" customHeight="1" x14ac:dyDescent="0.25">
      <c r="C26" s="38">
        <f>SUM($G$1:G26)</f>
        <v>25</v>
      </c>
      <c r="D26" s="39" t="s">
        <v>226</v>
      </c>
      <c r="E26" s="40" t="s">
        <v>169</v>
      </c>
      <c r="F26" s="40" t="s">
        <v>169</v>
      </c>
      <c r="G26" s="20">
        <v>1</v>
      </c>
      <c r="H26" s="20">
        <v>1</v>
      </c>
      <c r="I26" s="20">
        <v>1</v>
      </c>
    </row>
    <row r="27" spans="3:9" ht="24" customHeight="1" x14ac:dyDescent="0.25">
      <c r="C27" s="38">
        <f>SUM($G$1:G27)</f>
        <v>26</v>
      </c>
      <c r="D27" s="39" t="s">
        <v>178</v>
      </c>
      <c r="E27" s="40" t="s">
        <v>68</v>
      </c>
      <c r="F27" s="40" t="s">
        <v>179</v>
      </c>
      <c r="G27" s="20">
        <v>1</v>
      </c>
      <c r="H27" s="20">
        <v>1</v>
      </c>
      <c r="I27" s="20">
        <v>1</v>
      </c>
    </row>
    <row r="28" spans="3:9" ht="24" customHeight="1" x14ac:dyDescent="0.25">
      <c r="C28" s="38">
        <f>SUM($G$1:G28)</f>
        <v>27</v>
      </c>
      <c r="D28" s="39" t="s">
        <v>46</v>
      </c>
      <c r="E28" s="40" t="s">
        <v>169</v>
      </c>
      <c r="F28" s="40" t="s">
        <v>169</v>
      </c>
      <c r="G28" s="20">
        <v>1</v>
      </c>
      <c r="H28" s="20">
        <v>1</v>
      </c>
      <c r="I28" s="20">
        <v>1</v>
      </c>
    </row>
    <row r="29" spans="3:9" ht="24" customHeight="1" x14ac:dyDescent="0.25">
      <c r="C29" s="38">
        <f>SUM($G$1:G29)</f>
        <v>28</v>
      </c>
      <c r="D29" s="39" t="s">
        <v>92</v>
      </c>
      <c r="E29" s="40" t="s">
        <v>169</v>
      </c>
      <c r="F29" s="40" t="s">
        <v>169</v>
      </c>
      <c r="G29" s="20">
        <v>1</v>
      </c>
      <c r="H29" s="20">
        <v>1</v>
      </c>
    </row>
    <row r="30" spans="3:9" ht="24" customHeight="1" x14ac:dyDescent="0.25">
      <c r="C30" s="38">
        <f>SUM($G$1:G30)</f>
        <v>29</v>
      </c>
      <c r="D30" s="39" t="s">
        <v>163</v>
      </c>
      <c r="E30" s="40" t="s">
        <v>169</v>
      </c>
      <c r="F30" s="40" t="s">
        <v>169</v>
      </c>
      <c r="G30" s="20">
        <v>1</v>
      </c>
      <c r="H30" s="20">
        <v>1</v>
      </c>
      <c r="I30" s="20">
        <v>1</v>
      </c>
    </row>
    <row r="31" spans="3:9" ht="24" customHeight="1" x14ac:dyDescent="0.25">
      <c r="C31" s="38">
        <f>SUM($G$1:G31)</f>
        <v>30</v>
      </c>
      <c r="D31" s="39" t="s">
        <v>189</v>
      </c>
      <c r="E31" s="40" t="s">
        <v>169</v>
      </c>
      <c r="F31" s="40" t="s">
        <v>169</v>
      </c>
      <c r="G31" s="20">
        <v>1</v>
      </c>
      <c r="H31" s="20">
        <v>1</v>
      </c>
      <c r="I31" s="20">
        <v>1</v>
      </c>
    </row>
    <row r="32" spans="3:9" ht="24" customHeight="1" x14ac:dyDescent="0.25">
      <c r="C32" s="38">
        <f>SUM($G$1:G32)</f>
        <v>31</v>
      </c>
      <c r="D32" s="48" t="s">
        <v>223</v>
      </c>
      <c r="E32" s="40" t="s">
        <v>84</v>
      </c>
      <c r="F32" s="40" t="s">
        <v>224</v>
      </c>
      <c r="G32" s="20">
        <v>1</v>
      </c>
      <c r="H32" s="20">
        <v>1</v>
      </c>
      <c r="I32" s="20">
        <v>1</v>
      </c>
    </row>
    <row r="33" spans="3:9" ht="24" customHeight="1" x14ac:dyDescent="0.25">
      <c r="C33" s="38">
        <f>SUM($G$1:G33)</f>
        <v>32</v>
      </c>
      <c r="D33" s="39" t="s">
        <v>219</v>
      </c>
      <c r="E33" s="40" t="s">
        <v>169</v>
      </c>
      <c r="F33" s="40" t="s">
        <v>169</v>
      </c>
      <c r="G33" s="20">
        <v>1</v>
      </c>
      <c r="H33" s="20">
        <v>1</v>
      </c>
    </row>
    <row r="34" spans="3:9" ht="24" customHeight="1" x14ac:dyDescent="0.25">
      <c r="C34" s="38">
        <f>SUM($G$1:G34)</f>
        <v>33</v>
      </c>
      <c r="D34" s="39" t="s">
        <v>86</v>
      </c>
      <c r="E34" s="40" t="s">
        <v>69</v>
      </c>
      <c r="F34" s="40" t="s">
        <v>169</v>
      </c>
      <c r="G34" s="20">
        <v>1</v>
      </c>
      <c r="H34" s="20">
        <v>1</v>
      </c>
    </row>
    <row r="35" spans="3:9" ht="24" customHeight="1" x14ac:dyDescent="0.25">
      <c r="C35" s="38">
        <f>SUM($G$1:G35)</f>
        <v>34</v>
      </c>
      <c r="D35" s="39" t="s">
        <v>174</v>
      </c>
      <c r="E35" s="40" t="s">
        <v>66</v>
      </c>
      <c r="F35" s="40" t="s">
        <v>169</v>
      </c>
      <c r="G35" s="20">
        <v>1</v>
      </c>
      <c r="H35" s="20">
        <v>1</v>
      </c>
    </row>
    <row r="36" spans="3:9" ht="24" customHeight="1" x14ac:dyDescent="0.25">
      <c r="C36" s="38">
        <f>SUM($G$1:G36)</f>
        <v>35</v>
      </c>
      <c r="D36" s="39" t="s">
        <v>188</v>
      </c>
      <c r="E36" s="40" t="s">
        <v>169</v>
      </c>
      <c r="F36" s="40" t="s">
        <v>169</v>
      </c>
      <c r="G36" s="20">
        <v>1</v>
      </c>
      <c r="H36" s="20">
        <v>1</v>
      </c>
      <c r="I36" s="20">
        <v>1</v>
      </c>
    </row>
    <row r="37" spans="3:9" ht="24" customHeight="1" x14ac:dyDescent="0.25">
      <c r="C37" s="38">
        <f>SUM($G$1:G37)</f>
        <v>36</v>
      </c>
      <c r="D37" s="39" t="s">
        <v>177</v>
      </c>
      <c r="E37" s="40" t="s">
        <v>57</v>
      </c>
      <c r="F37" s="40" t="s">
        <v>57</v>
      </c>
      <c r="G37" s="20">
        <v>1</v>
      </c>
      <c r="H37" s="20">
        <v>1</v>
      </c>
    </row>
    <row r="38" spans="3:9" ht="24" customHeight="1" x14ac:dyDescent="0.25">
      <c r="C38" s="38">
        <f>SUM($G$1:G38)</f>
        <v>37</v>
      </c>
      <c r="D38" s="39" t="s">
        <v>183</v>
      </c>
      <c r="E38" s="40" t="s">
        <v>169</v>
      </c>
      <c r="F38" s="40" t="s">
        <v>169</v>
      </c>
      <c r="G38" s="20">
        <v>1</v>
      </c>
      <c r="H38" s="20">
        <v>1</v>
      </c>
    </row>
  </sheetData>
  <autoFilter ref="C1:I38"/>
  <conditionalFormatting sqref="D11:D1048576 D1:D2 D7 D9">
    <cfRule type="duplicateValues" dxfId="23" priority="7"/>
  </conditionalFormatting>
  <conditionalFormatting sqref="D10">
    <cfRule type="duplicateValues" dxfId="22" priority="6"/>
  </conditionalFormatting>
  <conditionalFormatting sqref="D3">
    <cfRule type="duplicateValues" dxfId="21" priority="5"/>
  </conditionalFormatting>
  <conditionalFormatting sqref="D4">
    <cfRule type="duplicateValues" dxfId="20" priority="4"/>
  </conditionalFormatting>
  <conditionalFormatting sqref="D5">
    <cfRule type="duplicateValues" dxfId="19" priority="3"/>
  </conditionalFormatting>
  <conditionalFormatting sqref="D6">
    <cfRule type="duplicateValues" dxfId="18" priority="2"/>
  </conditionalFormatting>
  <conditionalFormatting sqref="D8">
    <cfRule type="duplicateValues" dxfId="1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7" zoomScaleNormal="100" workbookViewId="0">
      <selection activeCell="D9" sqref="D9"/>
    </sheetView>
  </sheetViews>
  <sheetFormatPr defaultColWidth="8.85546875" defaultRowHeight="15.75" x14ac:dyDescent="0.2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x14ac:dyDescent="0.25">
      <c r="D1" s="6" t="s">
        <v>56</v>
      </c>
    </row>
    <row r="2" spans="4:8" x14ac:dyDescent="0.25">
      <c r="D2" s="8" t="s">
        <v>57</v>
      </c>
      <c r="G2" s="11" t="s">
        <v>73</v>
      </c>
      <c r="H2" s="7" t="s">
        <v>20</v>
      </c>
    </row>
    <row r="3" spans="4:8" x14ac:dyDescent="0.25">
      <c r="D3" s="9" t="s">
        <v>58</v>
      </c>
      <c r="F3" s="13" t="s">
        <v>85</v>
      </c>
      <c r="G3" s="11" t="s">
        <v>57</v>
      </c>
    </row>
    <row r="4" spans="4:8" x14ac:dyDescent="0.25">
      <c r="D4" s="9" t="s">
        <v>59</v>
      </c>
      <c r="F4" s="13" t="s">
        <v>86</v>
      </c>
      <c r="G4" s="11" t="s">
        <v>74</v>
      </c>
    </row>
    <row r="5" spans="4:8" x14ac:dyDescent="0.25">
      <c r="D5" s="9" t="s">
        <v>60</v>
      </c>
    </row>
    <row r="6" spans="4:8" x14ac:dyDescent="0.25">
      <c r="D6" s="9" t="s">
        <v>61</v>
      </c>
      <c r="F6" s="13" t="s">
        <v>95</v>
      </c>
      <c r="G6" s="11" t="s">
        <v>76</v>
      </c>
    </row>
    <row r="7" spans="4:8" x14ac:dyDescent="0.25">
      <c r="D7" s="9" t="s">
        <v>62</v>
      </c>
      <c r="F7" s="13" t="s">
        <v>89</v>
      </c>
      <c r="G7" s="10" t="s">
        <v>90</v>
      </c>
      <c r="H7" s="5" t="s">
        <v>91</v>
      </c>
    </row>
    <row r="8" spans="4:8" x14ac:dyDescent="0.25">
      <c r="D8" s="9" t="s">
        <v>63</v>
      </c>
      <c r="F8" s="13" t="s">
        <v>87</v>
      </c>
      <c r="G8" s="11" t="s">
        <v>83</v>
      </c>
    </row>
    <row r="9" spans="4:8" x14ac:dyDescent="0.25">
      <c r="D9" s="9" t="s">
        <v>64</v>
      </c>
      <c r="F9" s="13" t="s">
        <v>88</v>
      </c>
      <c r="G9" s="11" t="s">
        <v>84</v>
      </c>
      <c r="H9" s="7" t="s">
        <v>84</v>
      </c>
    </row>
    <row r="10" spans="4:8" x14ac:dyDescent="0.25">
      <c r="D10" s="9" t="s">
        <v>65</v>
      </c>
      <c r="F10" s="14" t="s">
        <v>92</v>
      </c>
      <c r="G10" s="10" t="s">
        <v>93</v>
      </c>
      <c r="H10" s="5" t="s">
        <v>94</v>
      </c>
    </row>
    <row r="11" spans="4:8" x14ac:dyDescent="0.25">
      <c r="D11" s="9" t="s">
        <v>66</v>
      </c>
      <c r="F11" s="3" t="s">
        <v>21</v>
      </c>
      <c r="G11" s="12" t="s">
        <v>22</v>
      </c>
      <c r="H11" s="2" t="s">
        <v>23</v>
      </c>
    </row>
    <row r="12" spans="4:8" x14ac:dyDescent="0.25">
      <c r="D12" s="9" t="s">
        <v>67</v>
      </c>
      <c r="F12" s="3" t="s">
        <v>24</v>
      </c>
      <c r="G12" s="12" t="s">
        <v>25</v>
      </c>
      <c r="H12" s="2" t="s">
        <v>26</v>
      </c>
    </row>
    <row r="13" spans="4:8" x14ac:dyDescent="0.25">
      <c r="D13" s="9" t="s">
        <v>68</v>
      </c>
      <c r="F13" s="3" t="s">
        <v>27</v>
      </c>
      <c r="G13" s="12" t="s">
        <v>25</v>
      </c>
      <c r="H13" s="2" t="s">
        <v>26</v>
      </c>
    </row>
    <row r="14" spans="4:8" x14ac:dyDescent="0.25">
      <c r="D14" s="9" t="s">
        <v>69</v>
      </c>
      <c r="F14" s="3" t="s">
        <v>28</v>
      </c>
      <c r="G14" s="12" t="s">
        <v>25</v>
      </c>
      <c r="H14" s="2" t="s">
        <v>26</v>
      </c>
    </row>
    <row r="15" spans="4:8" x14ac:dyDescent="0.25">
      <c r="D15" s="9" t="s">
        <v>70</v>
      </c>
      <c r="F15" s="3" t="s">
        <v>29</v>
      </c>
      <c r="G15" s="12" t="s">
        <v>25</v>
      </c>
      <c r="H15" s="2" t="s">
        <v>26</v>
      </c>
    </row>
    <row r="16" spans="4:8" x14ac:dyDescent="0.25">
      <c r="D16" s="9" t="s">
        <v>71</v>
      </c>
      <c r="F16" s="3" t="s">
        <v>30</v>
      </c>
      <c r="G16" s="12" t="s">
        <v>25</v>
      </c>
      <c r="H16" s="2" t="s">
        <v>26</v>
      </c>
    </row>
    <row r="17" spans="4:8" x14ac:dyDescent="0.25">
      <c r="D17" s="9" t="s">
        <v>72</v>
      </c>
      <c r="F17" s="3" t="s">
        <v>31</v>
      </c>
      <c r="G17" s="12" t="s">
        <v>25</v>
      </c>
      <c r="H17" s="2" t="s">
        <v>26</v>
      </c>
    </row>
    <row r="18" spans="4:8" x14ac:dyDescent="0.25">
      <c r="D18" s="11" t="s">
        <v>57</v>
      </c>
      <c r="F18" s="3" t="s">
        <v>32</v>
      </c>
      <c r="G18" s="12" t="s">
        <v>25</v>
      </c>
      <c r="H18" s="2" t="s">
        <v>26</v>
      </c>
    </row>
    <row r="19" spans="4:8" x14ac:dyDescent="0.25">
      <c r="D19" s="11" t="s">
        <v>74</v>
      </c>
      <c r="F19" s="3" t="s">
        <v>33</v>
      </c>
      <c r="G19" s="12" t="s">
        <v>22</v>
      </c>
      <c r="H19" s="2" t="s">
        <v>23</v>
      </c>
    </row>
    <row r="20" spans="4:8" x14ac:dyDescent="0.25">
      <c r="D20" s="11"/>
      <c r="F20" s="3" t="s">
        <v>34</v>
      </c>
      <c r="G20" s="12" t="s">
        <v>22</v>
      </c>
      <c r="H20" s="2" t="s">
        <v>23</v>
      </c>
    </row>
    <row r="21" spans="4:8" x14ac:dyDescent="0.25">
      <c r="D21" s="11" t="s">
        <v>76</v>
      </c>
      <c r="F21" s="3" t="s">
        <v>35</v>
      </c>
      <c r="G21" s="12" t="s">
        <v>22</v>
      </c>
      <c r="H21" s="2" t="s">
        <v>23</v>
      </c>
    </row>
    <row r="22" spans="4:8" x14ac:dyDescent="0.25">
      <c r="D22" s="11" t="s">
        <v>77</v>
      </c>
      <c r="F22" s="3" t="s">
        <v>36</v>
      </c>
      <c r="G22" s="12" t="s">
        <v>37</v>
      </c>
      <c r="H22" s="2" t="s">
        <v>38</v>
      </c>
    </row>
    <row r="23" spans="4:8" x14ac:dyDescent="0.25">
      <c r="D23" s="11" t="s">
        <v>78</v>
      </c>
      <c r="F23" s="3" t="s">
        <v>39</v>
      </c>
      <c r="G23" s="12" t="s">
        <v>37</v>
      </c>
      <c r="H23" s="2" t="s">
        <v>38</v>
      </c>
    </row>
    <row r="24" spans="4:8" x14ac:dyDescent="0.25">
      <c r="D24" s="11" t="s">
        <v>79</v>
      </c>
      <c r="F24" s="3" t="s">
        <v>40</v>
      </c>
      <c r="G24" s="12" t="s">
        <v>41</v>
      </c>
      <c r="H24" s="2" t="s">
        <v>42</v>
      </c>
    </row>
    <row r="25" spans="4:8" x14ac:dyDescent="0.25">
      <c r="D25" s="11" t="s">
        <v>80</v>
      </c>
      <c r="F25" s="3" t="s">
        <v>43</v>
      </c>
      <c r="G25" s="12" t="s">
        <v>22</v>
      </c>
      <c r="H25" s="2" t="s">
        <v>23</v>
      </c>
    </row>
    <row r="26" spans="4:8" x14ac:dyDescent="0.25">
      <c r="D26" s="11" t="s">
        <v>75</v>
      </c>
      <c r="F26" s="3" t="s">
        <v>44</v>
      </c>
      <c r="G26" s="12" t="s">
        <v>22</v>
      </c>
      <c r="H26" s="2" t="s">
        <v>23</v>
      </c>
    </row>
    <row r="27" spans="4:8" x14ac:dyDescent="0.25">
      <c r="D27" s="11" t="s">
        <v>81</v>
      </c>
      <c r="F27" s="3" t="s">
        <v>45</v>
      </c>
      <c r="G27" s="12" t="s">
        <v>22</v>
      </c>
      <c r="H27" s="2" t="s">
        <v>23</v>
      </c>
    </row>
    <row r="28" spans="4:8" x14ac:dyDescent="0.25">
      <c r="D28" s="11" t="s">
        <v>82</v>
      </c>
      <c r="F28" s="3" t="s">
        <v>46</v>
      </c>
      <c r="G28" s="12" t="s">
        <v>22</v>
      </c>
      <c r="H28" s="2" t="s">
        <v>23</v>
      </c>
    </row>
    <row r="29" spans="4:8" x14ac:dyDescent="0.25">
      <c r="F29" s="4" t="s">
        <v>47</v>
      </c>
      <c r="G29" s="12" t="s">
        <v>22</v>
      </c>
      <c r="H29" s="2" t="s">
        <v>23</v>
      </c>
    </row>
    <row r="30" spans="4:8" x14ac:dyDescent="0.25">
      <c r="F30" s="4" t="s">
        <v>48</v>
      </c>
      <c r="G30" s="12" t="s">
        <v>22</v>
      </c>
      <c r="H30" s="2" t="s">
        <v>23</v>
      </c>
    </row>
    <row r="31" spans="4:8" x14ac:dyDescent="0.25">
      <c r="F31" s="3" t="s">
        <v>49</v>
      </c>
      <c r="G31" s="12" t="s">
        <v>50</v>
      </c>
      <c r="H31" s="2" t="s">
        <v>23</v>
      </c>
    </row>
    <row r="32" spans="4:8" x14ac:dyDescent="0.25">
      <c r="F32" s="3" t="s">
        <v>51</v>
      </c>
      <c r="G32" s="12" t="s">
        <v>52</v>
      </c>
      <c r="H32" s="2" t="s">
        <v>53</v>
      </c>
    </row>
    <row r="33" spans="6:8" x14ac:dyDescent="0.25">
      <c r="F33" s="3" t="s">
        <v>54</v>
      </c>
      <c r="G33" s="12" t="s">
        <v>22</v>
      </c>
      <c r="H33" s="2" t="s">
        <v>23</v>
      </c>
    </row>
    <row r="34" spans="6:8" x14ac:dyDescent="0.25">
      <c r="F34" s="3" t="s">
        <v>55</v>
      </c>
      <c r="G34" s="12" t="s">
        <v>22</v>
      </c>
      <c r="H34" s="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x14ac:dyDescent="0.25"/>
  <cols>
    <col min="2" max="2" width="8.85546875" style="84"/>
    <col min="3" max="3" width="15" bestFit="1" customWidth="1"/>
    <col min="4" max="4" width="33" customWidth="1"/>
    <col min="5" max="5" width="17.7109375" style="33" customWidth="1"/>
    <col min="6" max="6" width="21.28515625" bestFit="1" customWidth="1"/>
    <col min="7" max="7" width="15.140625" customWidth="1"/>
    <col min="8" max="8" width="11.5703125" customWidth="1"/>
    <col min="9" max="9" width="14.7109375" customWidth="1"/>
    <col min="10" max="10" width="27.7109375" customWidth="1"/>
  </cols>
  <sheetData>
    <row r="1" spans="1:13" s="80" customFormat="1" ht="45" x14ac:dyDescent="0.25">
      <c r="A1" s="80" t="s">
        <v>125</v>
      </c>
      <c r="B1" s="83" t="s">
        <v>477</v>
      </c>
      <c r="C1" s="80" t="s">
        <v>476</v>
      </c>
      <c r="D1" s="80" t="s">
        <v>464</v>
      </c>
      <c r="E1" s="81" t="s">
        <v>469</v>
      </c>
      <c r="F1" s="82" t="s">
        <v>470</v>
      </c>
      <c r="G1" s="82" t="s">
        <v>471</v>
      </c>
      <c r="H1" s="82" t="s">
        <v>472</v>
      </c>
      <c r="I1" s="82" t="s">
        <v>473</v>
      </c>
      <c r="J1" s="82" t="s">
        <v>474</v>
      </c>
      <c r="K1" s="82" t="s">
        <v>125</v>
      </c>
      <c r="L1" s="82" t="s">
        <v>125</v>
      </c>
      <c r="M1" s="82" t="s">
        <v>125</v>
      </c>
    </row>
    <row r="2" spans="1:13" ht="14.45" hidden="1" x14ac:dyDescent="0.3">
      <c r="D2" t="s">
        <v>106</v>
      </c>
      <c r="E2" s="33" t="s">
        <v>347</v>
      </c>
      <c r="F2" t="s">
        <v>107</v>
      </c>
      <c r="G2" s="72">
        <v>28956</v>
      </c>
      <c r="J2">
        <f t="shared" ref="J2:J30" ca="1" si="0">YEAR(TODAY())-C2</f>
        <v>2020</v>
      </c>
    </row>
    <row r="3" spans="1:13" ht="14.45" hidden="1" x14ac:dyDescent="0.3">
      <c r="D3" t="s">
        <v>346</v>
      </c>
      <c r="E3" s="33" t="s">
        <v>142</v>
      </c>
      <c r="F3" t="s">
        <v>107</v>
      </c>
      <c r="G3" s="72" t="s">
        <v>143</v>
      </c>
      <c r="J3">
        <f t="shared" ca="1" si="0"/>
        <v>2020</v>
      </c>
    </row>
    <row r="4" spans="1:13" x14ac:dyDescent="0.25">
      <c r="A4" t="s">
        <v>125</v>
      </c>
      <c r="B4" s="85" t="s">
        <v>478</v>
      </c>
      <c r="C4">
        <v>2016</v>
      </c>
      <c r="D4" t="s">
        <v>303</v>
      </c>
      <c r="E4" s="33">
        <v>272396568</v>
      </c>
      <c r="F4" t="s">
        <v>107</v>
      </c>
      <c r="G4" s="72">
        <v>34970</v>
      </c>
      <c r="J4">
        <f t="shared" ca="1" si="0"/>
        <v>4</v>
      </c>
    </row>
    <row r="5" spans="1:13" ht="14.45" hidden="1" x14ac:dyDescent="0.3">
      <c r="D5" t="s">
        <v>302</v>
      </c>
      <c r="E5" s="33">
        <v>271294536</v>
      </c>
      <c r="F5" t="s">
        <v>107</v>
      </c>
      <c r="G5" s="72">
        <v>29587</v>
      </c>
      <c r="J5">
        <f t="shared" ca="1" si="0"/>
        <v>2020</v>
      </c>
    </row>
    <row r="6" spans="1:13" x14ac:dyDescent="0.25">
      <c r="A6" t="s">
        <v>125</v>
      </c>
      <c r="B6" s="85" t="s">
        <v>478</v>
      </c>
      <c r="C6">
        <v>2019</v>
      </c>
      <c r="D6" t="s">
        <v>122</v>
      </c>
      <c r="E6" s="33">
        <v>271586657</v>
      </c>
      <c r="F6" t="s">
        <v>107</v>
      </c>
      <c r="G6" s="72">
        <v>29221</v>
      </c>
      <c r="J6">
        <f t="shared" ca="1" si="0"/>
        <v>1</v>
      </c>
    </row>
    <row r="7" spans="1:13" x14ac:dyDescent="0.25">
      <c r="A7" t="s">
        <v>125</v>
      </c>
      <c r="B7" s="84" t="s">
        <v>483</v>
      </c>
      <c r="C7">
        <v>2019</v>
      </c>
      <c r="D7" t="s">
        <v>301</v>
      </c>
      <c r="E7" s="33">
        <v>271449542</v>
      </c>
      <c r="F7" t="s">
        <v>107</v>
      </c>
      <c r="G7" s="72">
        <v>30027</v>
      </c>
      <c r="J7">
        <f t="shared" ca="1" si="0"/>
        <v>1</v>
      </c>
    </row>
    <row r="8" spans="1:13" ht="14.45" hidden="1" x14ac:dyDescent="0.3">
      <c r="D8" t="s">
        <v>300</v>
      </c>
      <c r="E8" s="33">
        <v>271380486</v>
      </c>
      <c r="F8" t="s">
        <v>107</v>
      </c>
      <c r="G8" s="72">
        <v>30730</v>
      </c>
      <c r="J8">
        <f t="shared" ca="1" si="0"/>
        <v>2020</v>
      </c>
    </row>
    <row r="9" spans="1:13" ht="14.45" hidden="1" x14ac:dyDescent="0.3">
      <c r="D9" t="s">
        <v>465</v>
      </c>
      <c r="F9" t="s">
        <v>107</v>
      </c>
      <c r="G9" s="72"/>
      <c r="J9">
        <f t="shared" ca="1" si="0"/>
        <v>2020</v>
      </c>
    </row>
    <row r="10" spans="1:13" ht="14.45" hidden="1" x14ac:dyDescent="0.3">
      <c r="D10" t="s">
        <v>307</v>
      </c>
      <c r="F10" t="s">
        <v>479</v>
      </c>
      <c r="G10" s="72"/>
      <c r="J10">
        <f t="shared" ca="1" si="0"/>
        <v>2020</v>
      </c>
    </row>
    <row r="11" spans="1:13" ht="14.45" hidden="1" x14ac:dyDescent="0.3">
      <c r="D11" t="s">
        <v>114</v>
      </c>
      <c r="E11" s="33" t="s">
        <v>133</v>
      </c>
      <c r="F11" t="s">
        <v>107</v>
      </c>
      <c r="G11" s="72" t="s">
        <v>141</v>
      </c>
      <c r="J11">
        <f t="shared" ca="1" si="0"/>
        <v>2020</v>
      </c>
    </row>
    <row r="12" spans="1:13" ht="14.45" hidden="1" x14ac:dyDescent="0.3">
      <c r="D12" t="s">
        <v>113</v>
      </c>
      <c r="E12" s="33" t="s">
        <v>132</v>
      </c>
      <c r="F12" t="s">
        <v>107</v>
      </c>
      <c r="G12" s="72" t="s">
        <v>140</v>
      </c>
      <c r="J12">
        <f t="shared" ca="1" si="0"/>
        <v>2020</v>
      </c>
    </row>
    <row r="13" spans="1:13" ht="14.45" hidden="1" x14ac:dyDescent="0.3">
      <c r="D13" t="s">
        <v>112</v>
      </c>
      <c r="E13" s="33" t="s">
        <v>131</v>
      </c>
      <c r="F13" t="s">
        <v>107</v>
      </c>
      <c r="G13" s="72" t="s">
        <v>139</v>
      </c>
      <c r="J13">
        <f t="shared" ca="1" si="0"/>
        <v>2020</v>
      </c>
    </row>
    <row r="14" spans="1:13" ht="14.45" hidden="1" x14ac:dyDescent="0.3">
      <c r="D14" t="s">
        <v>111</v>
      </c>
      <c r="E14" s="33" t="s">
        <v>130</v>
      </c>
      <c r="F14" t="s">
        <v>107</v>
      </c>
      <c r="G14" s="72" t="s">
        <v>138</v>
      </c>
      <c r="J14">
        <f t="shared" ca="1" si="0"/>
        <v>2020</v>
      </c>
    </row>
    <row r="15" spans="1:13" ht="14.45" hidden="1" x14ac:dyDescent="0.3">
      <c r="D15" t="s">
        <v>110</v>
      </c>
      <c r="E15" s="33">
        <v>271235673</v>
      </c>
      <c r="F15" t="s">
        <v>107</v>
      </c>
      <c r="G15" s="72">
        <v>26845</v>
      </c>
      <c r="J15">
        <f t="shared" ca="1" si="0"/>
        <v>2020</v>
      </c>
    </row>
    <row r="16" spans="1:13" ht="14.45" hidden="1" x14ac:dyDescent="0.3">
      <c r="D16" t="s">
        <v>109</v>
      </c>
      <c r="E16" s="33" t="s">
        <v>129</v>
      </c>
      <c r="F16" t="s">
        <v>107</v>
      </c>
      <c r="G16" s="72" t="s">
        <v>137</v>
      </c>
      <c r="J16">
        <f t="shared" ca="1" si="0"/>
        <v>2020</v>
      </c>
    </row>
    <row r="17" spans="1:10" ht="14.45" hidden="1" x14ac:dyDescent="0.3">
      <c r="D17" t="s">
        <v>108</v>
      </c>
      <c r="E17" s="33" t="s">
        <v>128</v>
      </c>
      <c r="F17" t="s">
        <v>107</v>
      </c>
      <c r="G17" s="72" t="s">
        <v>136</v>
      </c>
      <c r="J17">
        <f t="shared" ca="1" si="0"/>
        <v>2020</v>
      </c>
    </row>
    <row r="18" spans="1:10" ht="14.45" hidden="1" x14ac:dyDescent="0.3">
      <c r="D18" t="s">
        <v>106</v>
      </c>
      <c r="E18" s="33" t="s">
        <v>347</v>
      </c>
      <c r="F18" t="s">
        <v>107</v>
      </c>
      <c r="G18" s="72">
        <v>28956</v>
      </c>
      <c r="J18">
        <f t="shared" ca="1" si="0"/>
        <v>2020</v>
      </c>
    </row>
    <row r="19" spans="1:10" ht="14.45" hidden="1" x14ac:dyDescent="0.3">
      <c r="D19" t="s">
        <v>456</v>
      </c>
      <c r="F19" t="s">
        <v>107</v>
      </c>
      <c r="G19" s="72">
        <v>0</v>
      </c>
      <c r="J19">
        <f t="shared" ca="1" si="0"/>
        <v>2020</v>
      </c>
    </row>
    <row r="20" spans="1:10" ht="14.45" hidden="1" x14ac:dyDescent="0.3">
      <c r="D20" t="s">
        <v>458</v>
      </c>
      <c r="F20" t="s">
        <v>107</v>
      </c>
      <c r="G20" s="72">
        <v>0</v>
      </c>
      <c r="J20">
        <f t="shared" ca="1" si="0"/>
        <v>2020</v>
      </c>
    </row>
    <row r="21" spans="1:10" ht="14.45" hidden="1" x14ac:dyDescent="0.3">
      <c r="D21" t="s">
        <v>459</v>
      </c>
      <c r="F21" t="s">
        <v>107</v>
      </c>
      <c r="G21" s="72">
        <v>0</v>
      </c>
      <c r="J21">
        <f t="shared" ca="1" si="0"/>
        <v>2020</v>
      </c>
    </row>
    <row r="22" spans="1:10" ht="14.45" hidden="1" x14ac:dyDescent="0.3">
      <c r="D22" t="s">
        <v>134</v>
      </c>
      <c r="E22" s="33">
        <v>271285313</v>
      </c>
      <c r="F22" t="s">
        <v>107</v>
      </c>
      <c r="G22" s="72">
        <v>28333</v>
      </c>
      <c r="J22">
        <f t="shared" ca="1" si="0"/>
        <v>2020</v>
      </c>
    </row>
    <row r="23" spans="1:10" ht="14.45" hidden="1" x14ac:dyDescent="0.3">
      <c r="D23" t="s">
        <v>466</v>
      </c>
      <c r="F23" t="s">
        <v>107</v>
      </c>
      <c r="G23" s="72">
        <v>0</v>
      </c>
      <c r="J23">
        <f t="shared" ca="1" si="0"/>
        <v>2020</v>
      </c>
    </row>
    <row r="24" spans="1:10" ht="14.45" hidden="1" x14ac:dyDescent="0.3">
      <c r="D24" t="s">
        <v>127</v>
      </c>
      <c r="E24" s="33">
        <v>271298968</v>
      </c>
      <c r="F24" t="s">
        <v>107</v>
      </c>
      <c r="G24" s="72">
        <v>28235</v>
      </c>
      <c r="J24">
        <f t="shared" ca="1" si="0"/>
        <v>2020</v>
      </c>
    </row>
    <row r="25" spans="1:10" ht="14.45" hidden="1" x14ac:dyDescent="0.3">
      <c r="D25" t="s">
        <v>467</v>
      </c>
      <c r="F25" t="s">
        <v>107</v>
      </c>
      <c r="G25" s="72"/>
      <c r="J25">
        <f t="shared" ca="1" si="0"/>
        <v>2020</v>
      </c>
    </row>
    <row r="26" spans="1:10" ht="14.45" hidden="1" x14ac:dyDescent="0.3">
      <c r="D26" t="s">
        <v>454</v>
      </c>
      <c r="F26" t="s">
        <v>107</v>
      </c>
      <c r="G26" s="72">
        <v>0</v>
      </c>
      <c r="J26">
        <f t="shared" ca="1" si="0"/>
        <v>2020</v>
      </c>
    </row>
    <row r="27" spans="1:10" ht="14.45" hidden="1" x14ac:dyDescent="0.3">
      <c r="D27" t="s">
        <v>150</v>
      </c>
      <c r="F27" t="s">
        <v>107</v>
      </c>
      <c r="G27" s="72">
        <v>0</v>
      </c>
      <c r="J27">
        <f t="shared" ca="1" si="0"/>
        <v>2020</v>
      </c>
    </row>
    <row r="28" spans="1:10" ht="14.45" hidden="1" x14ac:dyDescent="0.3">
      <c r="D28" t="s">
        <v>455</v>
      </c>
      <c r="F28" t="s">
        <v>107</v>
      </c>
      <c r="G28" s="72">
        <v>0</v>
      </c>
      <c r="J28">
        <f t="shared" ca="1" si="0"/>
        <v>2020</v>
      </c>
    </row>
    <row r="29" spans="1:10" ht="14.45" hidden="1" x14ac:dyDescent="0.3">
      <c r="D29" t="s">
        <v>146</v>
      </c>
      <c r="F29" t="s">
        <v>468</v>
      </c>
      <c r="G29" s="72">
        <v>29692</v>
      </c>
      <c r="J29">
        <f t="shared" ca="1" si="0"/>
        <v>2020</v>
      </c>
    </row>
    <row r="30" spans="1:10" ht="14.45" hidden="1" x14ac:dyDescent="0.3">
      <c r="D30" t="s">
        <v>144</v>
      </c>
      <c r="E30" s="33">
        <v>271871229</v>
      </c>
      <c r="F30" t="s">
        <v>147</v>
      </c>
      <c r="G30" s="72">
        <v>27425</v>
      </c>
      <c r="J30">
        <f t="shared" ca="1" si="0"/>
        <v>2020</v>
      </c>
    </row>
    <row r="31" spans="1:10" x14ac:dyDescent="0.25">
      <c r="A31" t="s">
        <v>125</v>
      </c>
      <c r="B31" s="85" t="s">
        <v>478</v>
      </c>
      <c r="C31">
        <v>2019</v>
      </c>
      <c r="D31" t="s">
        <v>116</v>
      </c>
      <c r="E31" s="33">
        <v>271728653</v>
      </c>
      <c r="F31" t="s">
        <v>107</v>
      </c>
      <c r="G31" s="72">
        <v>31088</v>
      </c>
      <c r="H31" t="s">
        <v>107</v>
      </c>
      <c r="I31" t="s">
        <v>488</v>
      </c>
      <c r="J31">
        <f t="shared" ref="J31:J47" ca="1" si="1">YEAR(TODAY())-C31</f>
        <v>1</v>
      </c>
    </row>
    <row r="32" spans="1:10" x14ac:dyDescent="0.25">
      <c r="A32" t="s">
        <v>125</v>
      </c>
      <c r="B32" s="85" t="s">
        <v>478</v>
      </c>
      <c r="C32">
        <v>2019</v>
      </c>
      <c r="D32" t="s">
        <v>475</v>
      </c>
      <c r="E32" s="33">
        <v>272556764</v>
      </c>
      <c r="F32" t="s">
        <v>107</v>
      </c>
      <c r="G32" s="72">
        <v>34976</v>
      </c>
      <c r="H32" t="s">
        <v>107</v>
      </c>
      <c r="I32" t="s">
        <v>488</v>
      </c>
      <c r="J32">
        <f t="shared" ca="1" si="1"/>
        <v>1</v>
      </c>
    </row>
    <row r="33" spans="1:10" x14ac:dyDescent="0.25">
      <c r="A33" t="s">
        <v>125</v>
      </c>
      <c r="B33" s="85" t="s">
        <v>478</v>
      </c>
      <c r="C33">
        <v>2019</v>
      </c>
      <c r="D33" t="s">
        <v>480</v>
      </c>
      <c r="E33" s="33">
        <v>272352958</v>
      </c>
      <c r="F33" t="s">
        <v>107</v>
      </c>
      <c r="G33" s="72">
        <v>34281</v>
      </c>
      <c r="H33" t="s">
        <v>107</v>
      </c>
      <c r="I33" t="s">
        <v>488</v>
      </c>
      <c r="J33">
        <f t="shared" ca="1" si="1"/>
        <v>1</v>
      </c>
    </row>
    <row r="34" spans="1:10" x14ac:dyDescent="0.25">
      <c r="A34" t="s">
        <v>125</v>
      </c>
      <c r="B34" s="85" t="s">
        <v>478</v>
      </c>
      <c r="C34">
        <v>2019</v>
      </c>
      <c r="D34" t="s">
        <v>481</v>
      </c>
      <c r="E34" s="33">
        <v>272556713</v>
      </c>
      <c r="F34" t="s">
        <v>107</v>
      </c>
      <c r="G34" s="72">
        <v>35884</v>
      </c>
      <c r="H34" t="s">
        <v>107</v>
      </c>
      <c r="I34" t="s">
        <v>488</v>
      </c>
      <c r="J34">
        <f t="shared" ca="1" si="1"/>
        <v>1</v>
      </c>
    </row>
    <row r="35" spans="1:10" x14ac:dyDescent="0.25">
      <c r="A35" t="s">
        <v>125</v>
      </c>
      <c r="B35" s="85" t="s">
        <v>483</v>
      </c>
      <c r="C35">
        <v>2019</v>
      </c>
      <c r="D35" t="s">
        <v>482</v>
      </c>
      <c r="E35" s="33">
        <v>271315765</v>
      </c>
      <c r="F35" t="s">
        <v>107</v>
      </c>
      <c r="G35" s="72">
        <v>29205</v>
      </c>
      <c r="H35" t="s">
        <v>107</v>
      </c>
      <c r="I35" t="s">
        <v>488</v>
      </c>
      <c r="J35">
        <f t="shared" ca="1" si="1"/>
        <v>1</v>
      </c>
    </row>
    <row r="36" spans="1:10" x14ac:dyDescent="0.25">
      <c r="A36" t="s">
        <v>125</v>
      </c>
      <c r="B36" s="84" t="s">
        <v>478</v>
      </c>
      <c r="C36">
        <v>2019</v>
      </c>
      <c r="D36" t="s">
        <v>485</v>
      </c>
      <c r="E36" s="33">
        <v>272732396</v>
      </c>
      <c r="F36" t="s">
        <v>107</v>
      </c>
      <c r="G36" s="72">
        <v>36804</v>
      </c>
      <c r="H36" t="s">
        <v>107</v>
      </c>
      <c r="I36" t="s">
        <v>488</v>
      </c>
      <c r="J36">
        <f t="shared" ca="1" si="1"/>
        <v>1</v>
      </c>
    </row>
    <row r="37" spans="1:10" x14ac:dyDescent="0.25">
      <c r="A37" t="s">
        <v>125</v>
      </c>
      <c r="B37" s="84" t="s">
        <v>484</v>
      </c>
      <c r="C37">
        <v>2019</v>
      </c>
      <c r="D37" t="s">
        <v>486</v>
      </c>
      <c r="E37" s="33">
        <v>75200000515</v>
      </c>
      <c r="F37" t="s">
        <v>107</v>
      </c>
      <c r="G37" s="72">
        <v>36767</v>
      </c>
      <c r="H37" t="s">
        <v>107</v>
      </c>
      <c r="I37" t="s">
        <v>488</v>
      </c>
      <c r="J37">
        <f t="shared" ca="1" si="1"/>
        <v>1</v>
      </c>
    </row>
    <row r="38" spans="1:10" x14ac:dyDescent="0.25">
      <c r="A38" t="s">
        <v>125</v>
      </c>
      <c r="B38" s="84" t="s">
        <v>478</v>
      </c>
      <c r="C38">
        <v>2019</v>
      </c>
      <c r="D38" t="s">
        <v>497</v>
      </c>
      <c r="E38" s="33">
        <v>272653927</v>
      </c>
      <c r="F38" t="s">
        <v>107</v>
      </c>
      <c r="G38" s="72">
        <v>35555</v>
      </c>
      <c r="H38" t="s">
        <v>107</v>
      </c>
      <c r="I38" t="s">
        <v>488</v>
      </c>
      <c r="J38">
        <f t="shared" ca="1" si="1"/>
        <v>1</v>
      </c>
    </row>
    <row r="39" spans="1:10" x14ac:dyDescent="0.25">
      <c r="A39" t="s">
        <v>125</v>
      </c>
      <c r="B39" s="84" t="s">
        <v>478</v>
      </c>
      <c r="C39">
        <v>2019</v>
      </c>
      <c r="D39" t="s">
        <v>487</v>
      </c>
      <c r="E39" s="33">
        <v>272696072</v>
      </c>
      <c r="F39" t="s">
        <v>107</v>
      </c>
      <c r="G39" s="72">
        <v>36242</v>
      </c>
      <c r="H39" t="s">
        <v>107</v>
      </c>
      <c r="I39" t="s">
        <v>488</v>
      </c>
      <c r="J39">
        <f t="shared" ca="1" si="1"/>
        <v>1</v>
      </c>
    </row>
    <row r="40" spans="1:10" x14ac:dyDescent="0.25">
      <c r="A40" t="s">
        <v>125</v>
      </c>
      <c r="B40" s="84" t="s">
        <v>478</v>
      </c>
      <c r="C40">
        <v>2019</v>
      </c>
      <c r="D40" t="s">
        <v>489</v>
      </c>
      <c r="E40" s="33">
        <v>272397442</v>
      </c>
      <c r="F40" t="s">
        <v>107</v>
      </c>
      <c r="G40" s="72">
        <v>34041</v>
      </c>
      <c r="H40" t="s">
        <v>107</v>
      </c>
      <c r="I40" t="s">
        <v>488</v>
      </c>
      <c r="J40">
        <f t="shared" ca="1" si="1"/>
        <v>1</v>
      </c>
    </row>
    <row r="41" spans="1:10" x14ac:dyDescent="0.25">
      <c r="A41" t="s">
        <v>125</v>
      </c>
      <c r="B41" s="84" t="s">
        <v>478</v>
      </c>
      <c r="C41">
        <v>2019</v>
      </c>
      <c r="D41" t="s">
        <v>490</v>
      </c>
      <c r="E41" s="33">
        <v>272423855</v>
      </c>
      <c r="F41" t="s">
        <v>107</v>
      </c>
      <c r="G41" s="72">
        <v>34974</v>
      </c>
      <c r="H41" t="s">
        <v>107</v>
      </c>
      <c r="I41" t="s">
        <v>488</v>
      </c>
      <c r="J41">
        <f t="shared" ca="1" si="1"/>
        <v>1</v>
      </c>
    </row>
    <row r="42" spans="1:10" x14ac:dyDescent="0.25">
      <c r="A42" t="s">
        <v>125</v>
      </c>
      <c r="B42" s="84" t="s">
        <v>478</v>
      </c>
      <c r="C42">
        <v>2019</v>
      </c>
      <c r="D42" t="s">
        <v>491</v>
      </c>
      <c r="E42" s="33">
        <v>272556665</v>
      </c>
      <c r="F42" t="s">
        <v>107</v>
      </c>
      <c r="G42" s="72">
        <v>35580</v>
      </c>
      <c r="H42" t="s">
        <v>107</v>
      </c>
      <c r="I42" t="s">
        <v>488</v>
      </c>
      <c r="J42">
        <f t="shared" ca="1" si="1"/>
        <v>1</v>
      </c>
    </row>
    <row r="43" spans="1:10" x14ac:dyDescent="0.25">
      <c r="A43" t="s">
        <v>125</v>
      </c>
      <c r="B43" s="84" t="s">
        <v>478</v>
      </c>
      <c r="C43">
        <v>2019</v>
      </c>
      <c r="D43" t="s">
        <v>492</v>
      </c>
      <c r="E43" s="33">
        <v>271285473</v>
      </c>
      <c r="F43" t="s">
        <v>107</v>
      </c>
      <c r="G43" s="72">
        <v>27567</v>
      </c>
      <c r="H43" t="s">
        <v>107</v>
      </c>
      <c r="I43" t="s">
        <v>488</v>
      </c>
      <c r="J43">
        <f t="shared" ca="1" si="1"/>
        <v>1</v>
      </c>
    </row>
    <row r="44" spans="1:10" x14ac:dyDescent="0.25">
      <c r="A44" t="s">
        <v>125</v>
      </c>
      <c r="B44" s="84" t="s">
        <v>483</v>
      </c>
      <c r="C44">
        <v>2019</v>
      </c>
      <c r="D44" t="s">
        <v>493</v>
      </c>
      <c r="E44" s="33">
        <v>212143221</v>
      </c>
      <c r="F44" t="s">
        <v>107</v>
      </c>
      <c r="G44" s="72">
        <v>29696</v>
      </c>
      <c r="H44" t="s">
        <v>107</v>
      </c>
      <c r="I44" t="s">
        <v>488</v>
      </c>
      <c r="J44">
        <f t="shared" ca="1" si="1"/>
        <v>1</v>
      </c>
    </row>
    <row r="45" spans="1:10" x14ac:dyDescent="0.25">
      <c r="A45" t="s">
        <v>125</v>
      </c>
      <c r="B45" s="84" t="s">
        <v>478</v>
      </c>
      <c r="C45">
        <v>2019</v>
      </c>
      <c r="D45" t="s">
        <v>494</v>
      </c>
      <c r="E45" s="33">
        <v>271688082</v>
      </c>
      <c r="F45" t="s">
        <v>107</v>
      </c>
      <c r="G45" s="72">
        <v>31416</v>
      </c>
      <c r="H45" t="s">
        <v>107</v>
      </c>
      <c r="I45" t="s">
        <v>488</v>
      </c>
      <c r="J45">
        <f t="shared" ca="1" si="1"/>
        <v>1</v>
      </c>
    </row>
    <row r="46" spans="1:10" x14ac:dyDescent="0.25">
      <c r="A46" t="s">
        <v>125</v>
      </c>
      <c r="B46" s="84" t="s">
        <v>478</v>
      </c>
      <c r="C46">
        <v>2019</v>
      </c>
      <c r="D46" t="s">
        <v>495</v>
      </c>
      <c r="E46" s="33">
        <v>272960603</v>
      </c>
      <c r="F46" t="s">
        <v>107</v>
      </c>
      <c r="G46" s="72">
        <v>37008</v>
      </c>
      <c r="H46" t="s">
        <v>107</v>
      </c>
      <c r="I46" t="s">
        <v>488</v>
      </c>
      <c r="J46">
        <f t="shared" ca="1" si="1"/>
        <v>1</v>
      </c>
    </row>
    <row r="47" spans="1:10" x14ac:dyDescent="0.25">
      <c r="A47" t="s">
        <v>125</v>
      </c>
      <c r="B47" s="84" t="s">
        <v>478</v>
      </c>
      <c r="C47">
        <v>2019</v>
      </c>
      <c r="D47" t="s">
        <v>496</v>
      </c>
      <c r="E47" s="33">
        <v>272282903</v>
      </c>
      <c r="F47" t="s">
        <v>107</v>
      </c>
      <c r="G47" s="72">
        <v>33816</v>
      </c>
      <c r="H47" t="s">
        <v>107</v>
      </c>
      <c r="I47" t="s">
        <v>488</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7"/>
  <sheetViews>
    <sheetView topLeftCell="B1" workbookViewId="0">
      <selection activeCell="C1" sqref="C1:E7"/>
    </sheetView>
  </sheetViews>
  <sheetFormatPr defaultColWidth="8.85546875" defaultRowHeight="15" x14ac:dyDescent="0.25"/>
  <cols>
    <col min="1" max="3" width="8.85546875" style="31"/>
    <col min="4" max="4" width="53.140625" style="31" customWidth="1"/>
    <col min="5" max="5" width="17.85546875" style="31" customWidth="1"/>
    <col min="6" max="6" width="8.85546875" style="31"/>
    <col min="7" max="11" width="8.140625" style="31" customWidth="1"/>
    <col min="12" max="12" width="7.140625" style="31" customWidth="1"/>
    <col min="13" max="16" width="10.85546875" style="31" customWidth="1"/>
    <col min="17" max="17" width="13.28515625" style="31" customWidth="1"/>
    <col min="18" max="16384" width="8.85546875" style="31"/>
  </cols>
  <sheetData>
    <row r="1" spans="3:17" s="34" customFormat="1" ht="36.6" customHeight="1" thickBot="1" x14ac:dyDescent="0.3">
      <c r="C1" s="35" t="s">
        <v>151</v>
      </c>
      <c r="D1" s="36" t="s">
        <v>152</v>
      </c>
      <c r="E1" s="36" t="str">
        <f>"Thời gian thi công "&amp;INDEX($G:$J,ROW(),$F$1)&amp;" ngày"</f>
        <v>Thời gian thi công 60 ngày</v>
      </c>
      <c r="F1" s="34">
        <v>4</v>
      </c>
      <c r="G1" s="105">
        <f>SUM(G2:G9)</f>
        <v>92</v>
      </c>
      <c r="H1" s="105">
        <f>SUM(H2:H9)</f>
        <v>100</v>
      </c>
      <c r="I1" s="105">
        <f>SUM(I2:I9)</f>
        <v>70</v>
      </c>
      <c r="J1" s="105">
        <f t="shared" ref="J1:K1" si="0">SUM(J2:J9)</f>
        <v>60</v>
      </c>
      <c r="K1" s="105">
        <f t="shared" si="0"/>
        <v>50</v>
      </c>
      <c r="M1" s="34" t="e">
        <f>VLOOKUP("x",$K:$Q,COLUMN()-COLUMN($K$1)+1,0)</f>
        <v>#N/A</v>
      </c>
      <c r="N1" s="34" t="e">
        <f>VLOOKUP("x",$K:$Q,COLUMN()-COLUMN($K$1)+1,0)</f>
        <v>#N/A</v>
      </c>
      <c r="O1" s="34" t="e">
        <f>VLOOKUP("x",$K:$Q,COLUMN()-COLUMN($K$1)+1,0)</f>
        <v>#N/A</v>
      </c>
      <c r="P1" s="34" t="e">
        <f>VLOOKUP("x",$K:$Q,COLUMN()-COLUMN($K$1)+1,0)</f>
        <v>#N/A</v>
      </c>
      <c r="Q1" s="34" t="e">
        <f>VLOOKUP("x",$K:$Q,COLUMN()-COLUMN($K$1)+1,0)</f>
        <v>#N/A</v>
      </c>
    </row>
    <row r="2" spans="3:17" ht="30" customHeight="1" thickBot="1" x14ac:dyDescent="0.3">
      <c r="C2" s="91">
        <v>1</v>
      </c>
      <c r="D2" s="30" t="s">
        <v>153</v>
      </c>
      <c r="E2" s="32" t="str">
        <f t="shared" ref="E2:E7" si="1">TEXT(INDEX($G:$J,ROW(),$F$1),"00")&amp;" ngày"</f>
        <v>02 ngày</v>
      </c>
      <c r="G2" s="31">
        <v>2</v>
      </c>
      <c r="H2" s="31">
        <v>2</v>
      </c>
      <c r="I2" s="31">
        <v>2</v>
      </c>
      <c r="J2" s="31">
        <v>2</v>
      </c>
      <c r="K2" s="31">
        <v>2</v>
      </c>
      <c r="L2" s="92"/>
      <c r="M2" s="93" t="e">
        <f>"Ngày "&amp;CHAR(10)&amp;L1+1&amp;" - "&amp;M1</f>
        <v>#N/A</v>
      </c>
      <c r="N2" s="93" t="e">
        <f t="shared" ref="N2:Q2" si="2">"Ngày "&amp;CHAR(10)&amp;M1+1&amp;" - "&amp;N1</f>
        <v>#N/A</v>
      </c>
      <c r="O2" s="93" t="e">
        <f t="shared" si="2"/>
        <v>#N/A</v>
      </c>
      <c r="P2" s="93" t="e">
        <f t="shared" si="2"/>
        <v>#N/A</v>
      </c>
      <c r="Q2" s="93" t="e">
        <f t="shared" si="2"/>
        <v>#N/A</v>
      </c>
    </row>
    <row r="3" spans="3:17" ht="17.25" thickBot="1" x14ac:dyDescent="0.3">
      <c r="C3" s="91">
        <v>2</v>
      </c>
      <c r="D3" s="30" t="s">
        <v>154</v>
      </c>
      <c r="E3" s="32" t="str">
        <f t="shared" si="1"/>
        <v>10 ngày</v>
      </c>
      <c r="G3" s="31">
        <v>20</v>
      </c>
      <c r="H3" s="31">
        <v>20</v>
      </c>
      <c r="I3" s="31">
        <v>15</v>
      </c>
      <c r="J3" s="31">
        <v>10</v>
      </c>
      <c r="K3" s="31">
        <v>10</v>
      </c>
      <c r="L3" s="31">
        <v>120</v>
      </c>
    </row>
    <row r="4" spans="3:17" ht="33.75" thickBot="1" x14ac:dyDescent="0.3">
      <c r="C4" s="91">
        <v>3</v>
      </c>
      <c r="D4" s="30" t="s">
        <v>155</v>
      </c>
      <c r="E4" s="32" t="str">
        <f t="shared" si="1"/>
        <v>03 ngày</v>
      </c>
      <c r="G4" s="31">
        <v>3</v>
      </c>
      <c r="H4" s="31">
        <v>3</v>
      </c>
      <c r="I4" s="31">
        <v>3</v>
      </c>
      <c r="J4" s="31">
        <v>3</v>
      </c>
      <c r="K4" s="31">
        <v>3</v>
      </c>
      <c r="L4" s="31">
        <v>100</v>
      </c>
      <c r="M4" s="34">
        <v>20</v>
      </c>
      <c r="N4" s="34">
        <v>40</v>
      </c>
      <c r="O4" s="34">
        <v>60</v>
      </c>
      <c r="P4" s="34">
        <v>80</v>
      </c>
      <c r="Q4" s="34">
        <v>100</v>
      </c>
    </row>
    <row r="5" spans="3:17" ht="17.25" thickBot="1" x14ac:dyDescent="0.3">
      <c r="C5" s="91">
        <v>4</v>
      </c>
      <c r="D5" s="30" t="s">
        <v>156</v>
      </c>
      <c r="E5" s="32" t="str">
        <f t="shared" si="1"/>
        <v>10 ngày</v>
      </c>
      <c r="G5" s="31">
        <v>30</v>
      </c>
      <c r="H5" s="31">
        <v>20</v>
      </c>
      <c r="I5" s="31">
        <v>15</v>
      </c>
      <c r="J5" s="31">
        <v>10</v>
      </c>
      <c r="K5" s="31">
        <v>10</v>
      </c>
      <c r="L5" s="31">
        <v>90</v>
      </c>
      <c r="M5" s="31">
        <v>20</v>
      </c>
      <c r="N5" s="31">
        <v>40</v>
      </c>
      <c r="O5" s="31">
        <v>60</v>
      </c>
      <c r="P5" s="31">
        <v>75</v>
      </c>
      <c r="Q5" s="31">
        <v>90</v>
      </c>
    </row>
    <row r="6" spans="3:17" ht="50.25" thickBot="1" x14ac:dyDescent="0.3">
      <c r="C6" s="91">
        <v>6</v>
      </c>
      <c r="D6" s="37" t="s">
        <v>723</v>
      </c>
      <c r="E6" s="32" t="str">
        <f t="shared" si="1"/>
        <v>30 ngày</v>
      </c>
      <c r="G6" s="31">
        <v>23</v>
      </c>
      <c r="H6" s="31">
        <v>48</v>
      </c>
      <c r="I6" s="31">
        <v>30</v>
      </c>
      <c r="J6" s="31">
        <v>30</v>
      </c>
      <c r="K6" s="31">
        <v>20</v>
      </c>
      <c r="L6" s="31">
        <v>60</v>
      </c>
      <c r="M6" s="31">
        <v>10</v>
      </c>
      <c r="N6" s="31">
        <v>20</v>
      </c>
      <c r="O6" s="31">
        <v>30</v>
      </c>
      <c r="P6" s="31">
        <v>50</v>
      </c>
      <c r="Q6" s="31">
        <v>60</v>
      </c>
    </row>
    <row r="7" spans="3:17" ht="17.25" thickBot="1" x14ac:dyDescent="0.3">
      <c r="C7" s="91">
        <v>7</v>
      </c>
      <c r="D7" s="30" t="s">
        <v>157</v>
      </c>
      <c r="E7" s="32" t="str">
        <f t="shared" si="1"/>
        <v>05 ngày</v>
      </c>
      <c r="G7" s="31">
        <v>14</v>
      </c>
      <c r="H7" s="31">
        <v>7</v>
      </c>
      <c r="I7" s="31">
        <v>5</v>
      </c>
      <c r="J7" s="31">
        <v>5</v>
      </c>
      <c r="K7" s="31">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B1" workbookViewId="0">
      <pane ySplit="1" topLeftCell="A2" activePane="bottomLeft" state="frozen"/>
      <selection pane="bottomLeft" activeCell="E9" sqref="E9"/>
    </sheetView>
  </sheetViews>
  <sheetFormatPr defaultRowHeight="15" x14ac:dyDescent="0.25"/>
  <cols>
    <col min="1" max="1" width="78.140625" style="100" customWidth="1"/>
    <col min="2" max="2" width="7.42578125" customWidth="1"/>
    <col min="3" max="3" width="13.28515625" style="106" customWidth="1"/>
    <col min="4" max="4" width="22.42578125" customWidth="1"/>
    <col min="5" max="5" width="86.5703125" style="1" customWidth="1"/>
    <col min="6" max="6" width="16" customWidth="1"/>
  </cols>
  <sheetData>
    <row r="1" spans="1:7" s="29" customFormat="1" ht="30" customHeight="1" x14ac:dyDescent="0.25">
      <c r="A1" s="20" t="s">
        <v>576</v>
      </c>
      <c r="B1" s="29" t="s">
        <v>524</v>
      </c>
      <c r="C1" s="105" t="s">
        <v>523</v>
      </c>
      <c r="F1" s="29" t="s">
        <v>508</v>
      </c>
      <c r="G1" s="29" t="s">
        <v>509</v>
      </c>
    </row>
    <row r="2" spans="1:7" ht="45" x14ac:dyDescent="0.25">
      <c r="A2" s="1" t="s">
        <v>578</v>
      </c>
      <c r="B2" s="1">
        <v>1</v>
      </c>
      <c r="C2" s="106">
        <f t="shared" ref="C2:C35" si="0">COUNTIF(B:B,B2)</f>
        <v>6</v>
      </c>
      <c r="E2" s="1" t="s">
        <v>626</v>
      </c>
    </row>
    <row r="3" spans="1:7" ht="45" x14ac:dyDescent="0.25">
      <c r="A3" s="1" t="s">
        <v>579</v>
      </c>
      <c r="B3" s="1">
        <v>1</v>
      </c>
      <c r="C3" s="106">
        <f t="shared" si="0"/>
        <v>6</v>
      </c>
      <c r="E3" s="1" t="s">
        <v>627</v>
      </c>
    </row>
    <row r="4" spans="1:7" ht="45" x14ac:dyDescent="0.25">
      <c r="A4" s="1" t="s">
        <v>580</v>
      </c>
      <c r="B4" s="1">
        <v>1</v>
      </c>
      <c r="C4" s="106">
        <f t="shared" si="0"/>
        <v>6</v>
      </c>
      <c r="E4" s="1" t="s">
        <v>628</v>
      </c>
    </row>
    <row r="5" spans="1:7" ht="45" x14ac:dyDescent="0.25">
      <c r="A5" s="1" t="s">
        <v>581</v>
      </c>
      <c r="B5" s="1">
        <v>1</v>
      </c>
      <c r="C5" s="106">
        <f t="shared" si="0"/>
        <v>6</v>
      </c>
      <c r="E5" s="1" t="s">
        <v>629</v>
      </c>
    </row>
    <row r="6" spans="1:7" ht="45" x14ac:dyDescent="0.25">
      <c r="A6" s="1" t="s">
        <v>582</v>
      </c>
      <c r="B6" s="1">
        <v>1</v>
      </c>
      <c r="C6" s="106">
        <f t="shared" si="0"/>
        <v>6</v>
      </c>
      <c r="E6" s="1" t="s">
        <v>630</v>
      </c>
    </row>
    <row r="7" spans="1:7" ht="45" x14ac:dyDescent="0.25">
      <c r="A7" s="1" t="s">
        <v>583</v>
      </c>
      <c r="B7" s="1">
        <v>1</v>
      </c>
      <c r="C7" s="106">
        <f t="shared" si="0"/>
        <v>6</v>
      </c>
      <c r="E7" s="1" t="s">
        <v>631</v>
      </c>
    </row>
    <row r="8" spans="1:7" ht="45" x14ac:dyDescent="0.25">
      <c r="A8" s="1" t="s">
        <v>584</v>
      </c>
      <c r="B8">
        <v>2</v>
      </c>
      <c r="C8" s="106">
        <f t="shared" si="0"/>
        <v>5</v>
      </c>
      <c r="E8" s="1" t="s">
        <v>632</v>
      </c>
    </row>
    <row r="9" spans="1:7" ht="45" x14ac:dyDescent="0.25">
      <c r="A9" s="1" t="s">
        <v>585</v>
      </c>
      <c r="B9">
        <v>2</v>
      </c>
      <c r="C9" s="106">
        <f t="shared" si="0"/>
        <v>5</v>
      </c>
      <c r="E9" s="1" t="s">
        <v>633</v>
      </c>
    </row>
    <row r="10" spans="1:7" ht="45" x14ac:dyDescent="0.25">
      <c r="A10" s="1" t="s">
        <v>586</v>
      </c>
      <c r="B10">
        <v>2</v>
      </c>
      <c r="C10" s="106">
        <f t="shared" si="0"/>
        <v>5</v>
      </c>
    </row>
    <row r="11" spans="1:7" ht="45" x14ac:dyDescent="0.25">
      <c r="A11" s="1" t="s">
        <v>587</v>
      </c>
      <c r="B11">
        <v>2</v>
      </c>
      <c r="C11" s="106">
        <f t="shared" si="0"/>
        <v>5</v>
      </c>
    </row>
    <row r="12" spans="1:7" ht="45" x14ac:dyDescent="0.25">
      <c r="A12" s="1" t="s">
        <v>588</v>
      </c>
      <c r="B12">
        <v>2</v>
      </c>
      <c r="C12" s="106">
        <f t="shared" si="0"/>
        <v>5</v>
      </c>
    </row>
    <row r="13" spans="1:7" ht="60" x14ac:dyDescent="0.25">
      <c r="A13" s="1" t="s">
        <v>568</v>
      </c>
      <c r="B13">
        <v>3</v>
      </c>
      <c r="C13" s="106">
        <f t="shared" si="0"/>
        <v>1</v>
      </c>
    </row>
    <row r="14" spans="1:7" ht="45" x14ac:dyDescent="0.25">
      <c r="A14" s="1" t="s">
        <v>569</v>
      </c>
      <c r="B14">
        <v>4</v>
      </c>
      <c r="C14" s="106">
        <f t="shared" si="0"/>
        <v>1</v>
      </c>
    </row>
    <row r="15" spans="1:7" ht="45" x14ac:dyDescent="0.25">
      <c r="A15" s="1" t="s">
        <v>570</v>
      </c>
      <c r="B15">
        <v>5</v>
      </c>
      <c r="C15" s="106">
        <f t="shared" si="0"/>
        <v>1</v>
      </c>
    </row>
    <row r="16" spans="1:7" ht="30" x14ac:dyDescent="0.25">
      <c r="A16" s="1" t="s">
        <v>589</v>
      </c>
      <c r="B16">
        <v>6</v>
      </c>
      <c r="C16" s="106">
        <f t="shared" si="0"/>
        <v>5</v>
      </c>
      <c r="D16" t="s">
        <v>577</v>
      </c>
    </row>
    <row r="17" spans="1:4" ht="30" x14ac:dyDescent="0.25">
      <c r="A17" s="1" t="s">
        <v>590</v>
      </c>
      <c r="B17">
        <v>6</v>
      </c>
      <c r="C17" s="106">
        <f t="shared" si="0"/>
        <v>5</v>
      </c>
      <c r="D17" t="s">
        <v>577</v>
      </c>
    </row>
    <row r="18" spans="1:4" ht="30" x14ac:dyDescent="0.25">
      <c r="A18" s="1" t="s">
        <v>591</v>
      </c>
      <c r="B18">
        <v>6</v>
      </c>
      <c r="C18" s="106">
        <f t="shared" si="0"/>
        <v>5</v>
      </c>
      <c r="D18" t="s">
        <v>577</v>
      </c>
    </row>
    <row r="19" spans="1:4" ht="30" x14ac:dyDescent="0.25">
      <c r="A19" s="1" t="s">
        <v>592</v>
      </c>
      <c r="B19">
        <v>6</v>
      </c>
      <c r="C19" s="106">
        <f t="shared" si="0"/>
        <v>5</v>
      </c>
      <c r="D19" t="s">
        <v>577</v>
      </c>
    </row>
    <row r="20" spans="1:4" ht="30" x14ac:dyDescent="0.25">
      <c r="A20" s="1" t="s">
        <v>593</v>
      </c>
      <c r="B20">
        <v>6</v>
      </c>
      <c r="C20" s="106">
        <f t="shared" si="0"/>
        <v>5</v>
      </c>
      <c r="D20" t="s">
        <v>577</v>
      </c>
    </row>
    <row r="21" spans="1:4" ht="45" x14ac:dyDescent="0.25">
      <c r="A21" s="1" t="s">
        <v>571</v>
      </c>
      <c r="B21">
        <v>7</v>
      </c>
      <c r="C21" s="106">
        <f t="shared" si="0"/>
        <v>1</v>
      </c>
    </row>
    <row r="22" spans="1:4" ht="45" x14ac:dyDescent="0.25">
      <c r="A22" s="1" t="s">
        <v>572</v>
      </c>
      <c r="B22">
        <v>8</v>
      </c>
      <c r="C22" s="106">
        <f t="shared" si="0"/>
        <v>1</v>
      </c>
    </row>
    <row r="23" spans="1:4" ht="75" x14ac:dyDescent="0.25">
      <c r="A23" s="1" t="s">
        <v>573</v>
      </c>
      <c r="B23" s="1">
        <v>9</v>
      </c>
      <c r="C23" s="106">
        <f t="shared" si="0"/>
        <v>1</v>
      </c>
    </row>
    <row r="24" spans="1:4" ht="45" x14ac:dyDescent="0.25">
      <c r="A24" s="1" t="s">
        <v>574</v>
      </c>
      <c r="B24">
        <v>10</v>
      </c>
      <c r="C24" s="106">
        <f t="shared" si="0"/>
        <v>1</v>
      </c>
    </row>
    <row r="25" spans="1:4" ht="45" x14ac:dyDescent="0.25">
      <c r="A25" s="1" t="s">
        <v>575</v>
      </c>
      <c r="B25">
        <v>11</v>
      </c>
      <c r="C25" s="106">
        <f t="shared" si="0"/>
        <v>1</v>
      </c>
    </row>
    <row r="26" spans="1:4" x14ac:dyDescent="0.25">
      <c r="C26" s="106">
        <f t="shared" si="0"/>
        <v>0</v>
      </c>
    </row>
    <row r="27" spans="1:4" x14ac:dyDescent="0.25">
      <c r="C27" s="106">
        <f t="shared" si="0"/>
        <v>0</v>
      </c>
    </row>
    <row r="28" spans="1:4" x14ac:dyDescent="0.25">
      <c r="C28" s="106">
        <f t="shared" si="0"/>
        <v>0</v>
      </c>
    </row>
    <row r="29" spans="1:4" x14ac:dyDescent="0.25">
      <c r="C29" s="106">
        <f t="shared" si="0"/>
        <v>0</v>
      </c>
    </row>
    <row r="30" spans="1:4" x14ac:dyDescent="0.25">
      <c r="C30" s="106">
        <f t="shared" si="0"/>
        <v>0</v>
      </c>
    </row>
    <row r="31" spans="1:4" x14ac:dyDescent="0.25">
      <c r="C31" s="106">
        <f t="shared" si="0"/>
        <v>0</v>
      </c>
    </row>
    <row r="32" spans="1:4" x14ac:dyDescent="0.25">
      <c r="C32" s="106">
        <f t="shared" si="0"/>
        <v>0</v>
      </c>
    </row>
    <row r="33" spans="3:3" x14ac:dyDescent="0.25">
      <c r="C33" s="106">
        <f t="shared" si="0"/>
        <v>0</v>
      </c>
    </row>
    <row r="34" spans="3:3" x14ac:dyDescent="0.25">
      <c r="C34" s="106">
        <f t="shared" si="0"/>
        <v>0</v>
      </c>
    </row>
    <row r="35" spans="3:3" x14ac:dyDescent="0.25">
      <c r="C35" s="106">
        <f t="shared" si="0"/>
        <v>0</v>
      </c>
    </row>
  </sheetData>
  <autoFilter ref="A1:G35">
    <sortState ref="A2:G35">
      <sortCondition ref="B1:B35"/>
    </sortState>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zoomScale="80" zoomScaleNormal="80" workbookViewId="0">
      <selection activeCell="F5" sqref="F5"/>
    </sheetView>
  </sheetViews>
  <sheetFormatPr defaultRowHeight="15" x14ac:dyDescent="0.25"/>
  <cols>
    <col min="3" max="3" width="13.28515625" style="1" customWidth="1"/>
    <col min="4" max="4" width="58.7109375" style="41" customWidth="1"/>
    <col min="5" max="9" width="32.42578125" style="94" customWidth="1"/>
    <col min="10" max="10" width="21.7109375" customWidth="1"/>
  </cols>
  <sheetData>
    <row r="1" spans="2:10" s="45" customFormat="1" ht="33" customHeight="1" x14ac:dyDescent="0.25">
      <c r="B1" s="95" t="s">
        <v>102</v>
      </c>
      <c r="C1" s="122" t="s">
        <v>510</v>
      </c>
      <c r="D1" s="95" t="s">
        <v>511</v>
      </c>
      <c r="E1" s="116" t="s">
        <v>125</v>
      </c>
      <c r="F1" s="116" t="s">
        <v>125</v>
      </c>
      <c r="G1" s="116" t="s">
        <v>125</v>
      </c>
      <c r="H1" s="116" t="s">
        <v>125</v>
      </c>
      <c r="I1" s="116" t="s">
        <v>125</v>
      </c>
      <c r="J1" s="116" t="s">
        <v>125</v>
      </c>
    </row>
    <row r="2" spans="2:10" ht="94.5" x14ac:dyDescent="0.25">
      <c r="B2" s="96">
        <v>1</v>
      </c>
      <c r="C2" s="123" t="str">
        <f>$C$1&amp;" thứ "&amp;B2</f>
        <v>Lần cắt điện thứ 1</v>
      </c>
      <c r="D2" s="97" t="str">
        <f>" - "&amp;_xlfn.TEXTJOIN(CHAR(10)&amp;" - ",TRUE,E2:J2,"")</f>
        <v xml:space="preserve"> - Kéo thêm 01 mạch đường dây trung thế 3ACXh-24kV- 240mm2 trên đường dây trung thế hiện hữu 3 mạch (cáp 3ACX240-AC150+6ACX240-AC120mm2 HH giữ nguyên) dài: 636 mét.</v>
      </c>
      <c r="E2" s="117" t="s">
        <v>634</v>
      </c>
      <c r="F2" s="117"/>
      <c r="G2" s="117"/>
      <c r="H2" s="117"/>
      <c r="I2" s="117"/>
      <c r="J2" s="117"/>
    </row>
    <row r="3" spans="2:10" ht="94.5" x14ac:dyDescent="0.25">
      <c r="B3" s="96">
        <v>2</v>
      </c>
      <c r="C3" s="123" t="str">
        <f t="shared" ref="C3:C13" si="0">$C$1&amp;" thứ "&amp;B3</f>
        <v>Lần cắt điện thứ 2</v>
      </c>
      <c r="D3" s="97" t="str">
        <f t="array" ref="D3">" - "&amp;_xlfn.TEXTJOIN(CHAR(10)&amp;" - ",TRUE,E3:J3,"")</f>
        <v xml:space="preserve"> - Kéo thêm 1 mạch đường dây trung thế 3ACXh-24kV- 240mm2 trên đường dây trung thế 01 mạch hiện hữu (cáp 3ACX240 + AC120mm2 HH giữ nguyên) dài: 7.222 mét.</v>
      </c>
      <c r="E3" s="117" t="s">
        <v>630</v>
      </c>
      <c r="F3" s="117"/>
      <c r="G3" s="117"/>
      <c r="H3" s="117"/>
      <c r="I3" s="117"/>
      <c r="J3" s="7"/>
    </row>
    <row r="4" spans="2:10" ht="78.75" x14ac:dyDescent="0.25">
      <c r="B4" s="96">
        <v>3</v>
      </c>
      <c r="C4" s="123" t="str">
        <f t="shared" si="0"/>
        <v>Lần cắt điện thứ 3</v>
      </c>
      <c r="D4" s="97" t="str">
        <f t="array" ref="D4">" - "&amp;_xlfn.TEXTJOIN(CHAR(10)&amp;" - ",TRUE,E4:J4,"")</f>
        <v xml:space="preserve"> - Xây dựng mới đường dây chống sét cáp TK - 50 mm2 trên đường dây trung thế hiện hữu: từ trụ 039 (tuyến 476, 478, 479) đến trụ 026 (Tuyến 479) : 1.189 mét.</v>
      </c>
      <c r="E4" s="117" t="s">
        <v>631</v>
      </c>
      <c r="F4" s="117"/>
      <c r="G4" s="118"/>
      <c r="H4" s="118"/>
      <c r="I4" s="118"/>
      <c r="J4" s="7"/>
    </row>
    <row r="5" spans="2:10" ht="45" x14ac:dyDescent="0.25">
      <c r="B5" s="96">
        <v>4</v>
      </c>
      <c r="C5" s="123" t="str">
        <f t="shared" si="0"/>
        <v>Lần cắt điện thứ 4</v>
      </c>
      <c r="D5" s="97" t="e">
        <f t="array" aca="1" ref="D5" ca="1">" - "&amp;_xlfn.TEXTJOIN(CHAR(10)&amp;" - ",TRUE,E5:J5,"")</f>
        <v>#NAME?</v>
      </c>
      <c r="E5" s="1" t="str">
        <f>"Xây dựng mới đường dây trung thế 3 pha-01 mạch 3ACXh-24kV- 240mm2+ AC185mm2:  "&amp;G13&amp;"mét."</f>
        <v>Xây dựng mới đường dây trung thế 3 pha-01 mạch 3ACXh-24kV- 240mm2+ AC185mm2:  mét.</v>
      </c>
      <c r="F5" s="119"/>
      <c r="G5" s="117"/>
      <c r="H5" s="118"/>
      <c r="I5" s="118"/>
      <c r="J5" s="7"/>
    </row>
    <row r="6" spans="2:10" ht="45" x14ac:dyDescent="0.25">
      <c r="B6" s="96">
        <v>5</v>
      </c>
      <c r="C6" s="123" t="str">
        <f t="shared" si="0"/>
        <v>Lần cắt điện thứ 5</v>
      </c>
      <c r="D6" s="97" t="e">
        <f t="array" aca="1" ref="D6" ca="1">" - "&amp;_xlfn.TEXTJOIN(CHAR(10)&amp;" - ",TRUE,E6:J6,"")</f>
        <v>#NAME?</v>
      </c>
      <c r="E6" s="1" t="str">
        <f t="shared" ref="E6" si="1">"Xây dựng mới đường dây trung thế 3 pha-01 mạch 3ACXh-24kV- 240mm2+ AC185mm2:  "&amp;G14&amp;"mét."</f>
        <v>Xây dựng mới đường dây trung thế 3 pha-01 mạch 3ACXh-24kV- 240mm2+ AC185mm2:  mét.</v>
      </c>
      <c r="F6" s="120"/>
      <c r="G6" s="120"/>
      <c r="H6" s="118"/>
      <c r="I6" s="118"/>
      <c r="J6" s="7"/>
    </row>
    <row r="7" spans="2:10" ht="31.5" x14ac:dyDescent="0.25">
      <c r="B7" s="96">
        <v>6</v>
      </c>
      <c r="C7" s="123" t="str">
        <f t="shared" si="0"/>
        <v>Lần cắt điện thứ 6</v>
      </c>
      <c r="D7" s="97" t="str">
        <f t="array" ref="D7">" - "&amp;_xlfn.TEXTJOIN(CHAR(10)&amp;" - ",TRUE,E7:J7,"")</f>
        <v xml:space="preserve"> - Đấu nối đường dây xây dựng mới vào lưới điện hiện hữu.</v>
      </c>
      <c r="E7" s="1" t="s">
        <v>635</v>
      </c>
      <c r="F7" s="117"/>
      <c r="G7" s="117"/>
      <c r="H7" s="117"/>
      <c r="I7" s="117"/>
      <c r="J7" s="7"/>
    </row>
    <row r="8" spans="2:10" ht="31.5" x14ac:dyDescent="0.25">
      <c r="B8" s="96">
        <v>7</v>
      </c>
      <c r="C8" s="123" t="str">
        <f t="shared" si="0"/>
        <v>Lần cắt điện thứ 7</v>
      </c>
      <c r="D8" s="97" t="str">
        <f t="array" ref="D8">" - "&amp;_xlfn.TEXTJOIN(CHAR(10)&amp;" - ",TRUE,E8:J8,"")</f>
        <v xml:space="preserve"> - Xử lý tồn tại toàn công trình</v>
      </c>
      <c r="E8" s="119" t="s">
        <v>636</v>
      </c>
      <c r="F8" s="119"/>
      <c r="G8" s="119"/>
      <c r="H8" s="118"/>
      <c r="I8" s="118"/>
      <c r="J8" s="7"/>
    </row>
    <row r="9" spans="2:10" ht="31.5" x14ac:dyDescent="0.25">
      <c r="B9" s="96">
        <v>8</v>
      </c>
      <c r="C9" s="123" t="str">
        <f t="shared" si="0"/>
        <v>Lần cắt điện thứ 8</v>
      </c>
      <c r="D9" s="97" t="str">
        <f t="array" ref="D9">" - "&amp;_xlfn.TEXTJOIN(CHAR(10)&amp;" - ",TRUE,E9:J9,"")</f>
        <v xml:space="preserve"> - </v>
      </c>
      <c r="E9" s="119"/>
      <c r="F9" s="119"/>
      <c r="G9" s="121"/>
      <c r="H9" s="118"/>
      <c r="I9" s="118"/>
      <c r="J9" s="7"/>
    </row>
    <row r="10" spans="2:10" ht="31.5" x14ac:dyDescent="0.25">
      <c r="B10" s="96">
        <v>9</v>
      </c>
      <c r="C10" s="123" t="str">
        <f t="shared" si="0"/>
        <v>Lần cắt điện thứ 9</v>
      </c>
      <c r="D10" s="97" t="str">
        <f t="array" ref="D10">" - "&amp;_xlfn.TEXTJOIN(CHAR(10)&amp;" - ",TRUE,E10:J10,"")</f>
        <v xml:space="preserve"> - </v>
      </c>
      <c r="E10" s="117"/>
      <c r="F10" s="117"/>
      <c r="G10" s="117"/>
      <c r="H10" s="118"/>
      <c r="I10" s="118"/>
      <c r="J10" s="7"/>
    </row>
    <row r="11" spans="2:10" ht="31.5" x14ac:dyDescent="0.25">
      <c r="B11" s="96">
        <v>10</v>
      </c>
      <c r="C11" s="123" t="str">
        <f t="shared" si="0"/>
        <v>Lần cắt điện thứ 10</v>
      </c>
      <c r="D11" s="97" t="str">
        <f t="array" ref="D11">" - "&amp;_xlfn.TEXTJOIN(CHAR(10)&amp;" - ",TRUE,E11:J11,"")</f>
        <v xml:space="preserve"> - </v>
      </c>
      <c r="E11" s="119"/>
      <c r="F11" s="117"/>
      <c r="G11" s="117"/>
      <c r="H11" s="117"/>
      <c r="I11" s="118"/>
      <c r="J11" s="7"/>
    </row>
    <row r="12" spans="2:10" ht="31.5" x14ac:dyDescent="0.25">
      <c r="B12" s="96">
        <v>11</v>
      </c>
      <c r="C12" s="123" t="str">
        <f t="shared" si="0"/>
        <v>Lần cắt điện thứ 11</v>
      </c>
      <c r="D12" s="97" t="e">
        <f t="array" aca="1" ref="D12" ca="1">" - "&amp;_xlfn.TEXTJOIN(CHAR(10)&amp;" - ",TRUE,E12:J12,"")</f>
        <v>#NAME?</v>
      </c>
      <c r="E12" s="117"/>
      <c r="F12" s="117"/>
      <c r="G12" s="117"/>
      <c r="H12" s="117">
        <f>G12-SUM(G13:G15)</f>
        <v>0</v>
      </c>
      <c r="I12" s="117"/>
      <c r="J12" s="117"/>
    </row>
    <row r="13" spans="2:10" ht="31.5" x14ac:dyDescent="0.25">
      <c r="B13" s="96">
        <v>12</v>
      </c>
      <c r="C13" s="123" t="str">
        <f t="shared" si="0"/>
        <v>Lần cắt điện thứ 12</v>
      </c>
      <c r="D13" s="97" t="e">
        <f t="array" aca="1" ref="D13" ca="1">" - "&amp;_xlfn.TEXTJOIN(CHAR(10)&amp;" - ",TRUE,E13:J13,"")</f>
        <v>#NAME?</v>
      </c>
      <c r="E13" s="117"/>
      <c r="F13" s="117"/>
      <c r="G13" s="117"/>
      <c r="H13" s="118"/>
      <c r="I13" s="118"/>
      <c r="J13" s="7"/>
    </row>
    <row r="14" spans="2:10" ht="31.5" x14ac:dyDescent="0.25">
      <c r="B14" s="96">
        <v>13</v>
      </c>
      <c r="C14" s="123" t="str">
        <f t="shared" ref="C14:C16" si="2">$C$1&amp;" thứ "&amp;B14</f>
        <v>Lần cắt điện thứ 13</v>
      </c>
      <c r="D14" s="97" t="e">
        <f t="array" aca="1" ref="D14" ca="1">" - "&amp;_xlfn.TEXTJOIN(CHAR(10)&amp;" - ",TRUE,E14:J14,"")</f>
        <v>#NAME?</v>
      </c>
      <c r="E14" s="121"/>
      <c r="F14" s="121"/>
      <c r="G14" s="121"/>
      <c r="H14" s="121"/>
      <c r="I14" s="121"/>
      <c r="J14" s="7"/>
    </row>
    <row r="15" spans="2:10" ht="31.5" x14ac:dyDescent="0.25">
      <c r="B15" s="96">
        <v>14</v>
      </c>
      <c r="C15" s="123" t="str">
        <f t="shared" si="2"/>
        <v>Lần cắt điện thứ 14</v>
      </c>
      <c r="D15" s="97" t="e">
        <f t="array" aca="1" ref="D15" ca="1">" - "&amp;_xlfn.TEXTJOIN(CHAR(10)&amp;" - ",TRUE,E15:J15,"")</f>
        <v>#NAME?</v>
      </c>
      <c r="E15" s="121"/>
      <c r="F15" s="121"/>
      <c r="G15" s="121"/>
      <c r="H15" s="121"/>
      <c r="I15" s="121"/>
      <c r="J15" s="7"/>
    </row>
    <row r="16" spans="2:10" ht="31.5" x14ac:dyDescent="0.25">
      <c r="B16" s="96">
        <v>15</v>
      </c>
      <c r="C16" s="123" t="str">
        <f t="shared" si="2"/>
        <v>Lần cắt điện thứ 15</v>
      </c>
      <c r="D16" s="97" t="str">
        <f t="array" ref="D16">" - "&amp;_xlfn.TEXTJOIN(CHAR(10)&amp;" - ",TRUE,E16:J16,"")</f>
        <v xml:space="preserve"> - </v>
      </c>
      <c r="E16" s="121"/>
      <c r="F16" s="121"/>
      <c r="G16" s="121"/>
      <c r="H16" s="121"/>
      <c r="I16" s="121"/>
      <c r="J16" s="7"/>
    </row>
  </sheetData>
  <autoFilter ref="B1:J16"/>
  <conditionalFormatting sqref="E13:I1048576 E12:G12 I12 E2:I11">
    <cfRule type="cellIs" dxfId="16" priority="2" operator="greaterThan">
      <formula>0</formula>
    </cfRule>
  </conditionalFormatting>
  <conditionalFormatting sqref="J1:J1048576 E1:I1">
    <cfRule type="cellIs" dxfId="15" priority="1" operator="greaterThan">
      <formula>0</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23"/>
  <sheetViews>
    <sheetView workbookViewId="0">
      <pane xSplit="3" ySplit="1" topLeftCell="D2" activePane="bottomRight" state="frozen"/>
      <selection pane="topRight" activeCell="D1" sqref="D1"/>
      <selection pane="bottomLeft" activeCell="A2" sqref="A2"/>
      <selection pane="bottomRight" activeCell="J10" sqref="J10"/>
    </sheetView>
  </sheetViews>
  <sheetFormatPr defaultRowHeight="15" x14ac:dyDescent="0.25"/>
  <cols>
    <col min="1" max="1" width="6.5703125" bestFit="1" customWidth="1"/>
    <col min="2" max="2" width="18.140625" customWidth="1"/>
    <col min="3" max="3" width="33.42578125" bestFit="1" customWidth="1"/>
    <col min="4" max="4" width="11" style="72" customWidth="1"/>
    <col min="5" max="5" width="25.140625" hidden="1" customWidth="1"/>
    <col min="6" max="6" width="38" bestFit="1" customWidth="1"/>
    <col min="7" max="7" width="16.28515625" bestFit="1" customWidth="1"/>
    <col min="8" max="8" width="12.85546875" customWidth="1"/>
    <col min="9" max="9" width="12.85546875" style="72" customWidth="1"/>
    <col min="10" max="10" width="13.85546875" customWidth="1"/>
    <col min="11" max="11" width="10" bestFit="1" customWidth="1"/>
    <col min="12" max="12" width="15.28515625" customWidth="1"/>
    <col min="14" max="14" width="10.28515625" customWidth="1"/>
    <col min="15" max="15" width="11.7109375" customWidth="1"/>
    <col min="16" max="16" width="16.140625" bestFit="1" customWidth="1"/>
  </cols>
  <sheetData>
    <row r="1" spans="1:16" s="92" customFormat="1" ht="35.450000000000003" customHeight="1" x14ac:dyDescent="0.25">
      <c r="A1" s="92" t="s">
        <v>125</v>
      </c>
      <c r="B1" s="92" t="s">
        <v>274</v>
      </c>
      <c r="C1" s="92" t="s">
        <v>669</v>
      </c>
      <c r="D1" s="132" t="s">
        <v>671</v>
      </c>
      <c r="E1" s="92" t="s">
        <v>672</v>
      </c>
      <c r="F1" s="92" t="s">
        <v>710</v>
      </c>
      <c r="G1" s="92" t="s">
        <v>673</v>
      </c>
      <c r="H1" s="92" t="s">
        <v>689</v>
      </c>
      <c r="I1" s="132" t="s">
        <v>690</v>
      </c>
      <c r="J1" s="132" t="s">
        <v>135</v>
      </c>
      <c r="K1" s="92" t="s">
        <v>694</v>
      </c>
      <c r="L1" s="92" t="s">
        <v>695</v>
      </c>
      <c r="M1" s="92" t="s">
        <v>696</v>
      </c>
      <c r="N1" s="92" t="s">
        <v>697</v>
      </c>
      <c r="O1" s="92" t="s">
        <v>702</v>
      </c>
      <c r="P1" s="92" t="s">
        <v>105</v>
      </c>
    </row>
    <row r="2" spans="1:16" x14ac:dyDescent="0.25">
      <c r="B2" t="s">
        <v>674</v>
      </c>
      <c r="C2" t="s">
        <v>675</v>
      </c>
      <c r="D2" s="72">
        <v>43192</v>
      </c>
      <c r="E2" t="s">
        <v>676</v>
      </c>
      <c r="F2" t="s">
        <v>684</v>
      </c>
      <c r="G2" s="131">
        <v>12207349547</v>
      </c>
      <c r="H2" s="72">
        <v>44197</v>
      </c>
    </row>
    <row r="3" spans="1:16" x14ac:dyDescent="0.25">
      <c r="B3" t="s">
        <v>674</v>
      </c>
      <c r="C3" t="s">
        <v>677</v>
      </c>
      <c r="D3" s="72">
        <v>43551</v>
      </c>
      <c r="E3" t="s">
        <v>676</v>
      </c>
      <c r="F3" t="s">
        <v>684</v>
      </c>
      <c r="G3" s="131">
        <v>24336597873</v>
      </c>
      <c r="H3" s="72">
        <v>44562</v>
      </c>
    </row>
    <row r="4" spans="1:16" x14ac:dyDescent="0.25">
      <c r="B4" t="s">
        <v>674</v>
      </c>
      <c r="C4" t="s">
        <v>678</v>
      </c>
      <c r="D4" s="72">
        <v>43914</v>
      </c>
      <c r="E4" t="s">
        <v>676</v>
      </c>
      <c r="F4" t="s">
        <v>684</v>
      </c>
      <c r="G4" s="131">
        <v>12985343471</v>
      </c>
      <c r="H4" s="72">
        <v>44927</v>
      </c>
    </row>
    <row r="5" spans="1:16" x14ac:dyDescent="0.25">
      <c r="B5" t="s">
        <v>674</v>
      </c>
      <c r="C5" t="s">
        <v>679</v>
      </c>
      <c r="D5" s="72">
        <v>40325</v>
      </c>
      <c r="E5" t="s">
        <v>680</v>
      </c>
      <c r="F5" t="s">
        <v>685</v>
      </c>
      <c r="G5" s="88" t="s">
        <v>681</v>
      </c>
      <c r="H5" s="72">
        <v>47107</v>
      </c>
    </row>
    <row r="6" spans="1:16" x14ac:dyDescent="0.25">
      <c r="B6" t="s">
        <v>674</v>
      </c>
      <c r="C6" t="s">
        <v>682</v>
      </c>
      <c r="D6" s="72">
        <v>43434</v>
      </c>
      <c r="E6" t="s">
        <v>683</v>
      </c>
      <c r="F6" t="s">
        <v>686</v>
      </c>
      <c r="G6" s="131">
        <v>1900000000</v>
      </c>
    </row>
    <row r="7" spans="1:16" x14ac:dyDescent="0.25">
      <c r="B7" t="s">
        <v>674</v>
      </c>
      <c r="C7" t="s">
        <v>687</v>
      </c>
      <c r="D7" s="72">
        <v>43815</v>
      </c>
      <c r="E7" t="s">
        <v>688</v>
      </c>
      <c r="H7" s="72">
        <v>44196</v>
      </c>
    </row>
    <row r="8" spans="1:16" x14ac:dyDescent="0.25">
      <c r="B8" t="s">
        <v>674</v>
      </c>
      <c r="C8" t="s">
        <v>679</v>
      </c>
      <c r="D8" s="72">
        <v>40325</v>
      </c>
      <c r="E8" t="s">
        <v>680</v>
      </c>
      <c r="F8" t="s">
        <v>685</v>
      </c>
      <c r="G8" s="88" t="s">
        <v>681</v>
      </c>
      <c r="H8" s="72">
        <v>47107</v>
      </c>
      <c r="I8" s="72">
        <v>44139</v>
      </c>
    </row>
    <row r="9" spans="1:16" x14ac:dyDescent="0.25">
      <c r="B9" t="s">
        <v>674</v>
      </c>
      <c r="C9" t="s">
        <v>691</v>
      </c>
      <c r="D9" s="72">
        <v>43928</v>
      </c>
      <c r="E9" t="s">
        <v>692</v>
      </c>
      <c r="F9" t="s">
        <v>691</v>
      </c>
      <c r="G9" s="131">
        <v>1577608989</v>
      </c>
      <c r="I9" s="72">
        <v>44145</v>
      </c>
    </row>
    <row r="10" spans="1:16" x14ac:dyDescent="0.25">
      <c r="B10" t="s">
        <v>693</v>
      </c>
      <c r="C10" t="s">
        <v>700</v>
      </c>
      <c r="D10" s="72">
        <v>42299</v>
      </c>
      <c r="E10" t="s">
        <v>699</v>
      </c>
      <c r="F10" t="s">
        <v>698</v>
      </c>
      <c r="J10" s="72">
        <v>33521</v>
      </c>
      <c r="K10">
        <v>272046087</v>
      </c>
      <c r="L10" s="72">
        <v>43160</v>
      </c>
      <c r="M10" t="s">
        <v>701</v>
      </c>
      <c r="O10" t="s">
        <v>447</v>
      </c>
      <c r="P10" t="s">
        <v>468</v>
      </c>
    </row>
    <row r="11" spans="1:16" x14ac:dyDescent="0.25">
      <c r="B11" t="s">
        <v>693</v>
      </c>
      <c r="C11" t="s">
        <v>700</v>
      </c>
      <c r="D11" s="72">
        <v>43353</v>
      </c>
      <c r="E11" t="s">
        <v>703</v>
      </c>
      <c r="F11" t="s">
        <v>704</v>
      </c>
      <c r="G11" s="88" t="s">
        <v>681</v>
      </c>
      <c r="H11" s="72">
        <v>45179</v>
      </c>
      <c r="J11" s="72">
        <v>33521</v>
      </c>
      <c r="K11">
        <v>272046087</v>
      </c>
      <c r="L11" s="72">
        <v>43160</v>
      </c>
      <c r="M11" t="s">
        <v>701</v>
      </c>
      <c r="O11" t="s">
        <v>447</v>
      </c>
    </row>
    <row r="12" spans="1:16" x14ac:dyDescent="0.25">
      <c r="B12" t="s">
        <v>693</v>
      </c>
      <c r="C12" t="s">
        <v>465</v>
      </c>
      <c r="D12" s="72">
        <v>42299</v>
      </c>
      <c r="E12" t="s">
        <v>699</v>
      </c>
      <c r="F12" t="s">
        <v>698</v>
      </c>
      <c r="J12" s="72">
        <v>33442</v>
      </c>
      <c r="K12">
        <v>272236579</v>
      </c>
      <c r="L12" s="72">
        <v>39630</v>
      </c>
      <c r="M12" t="s">
        <v>701</v>
      </c>
      <c r="O12" t="s">
        <v>447</v>
      </c>
      <c r="P12" t="s">
        <v>147</v>
      </c>
    </row>
    <row r="13" spans="1:16" x14ac:dyDescent="0.25">
      <c r="B13" t="s">
        <v>693</v>
      </c>
      <c r="C13" t="s">
        <v>465</v>
      </c>
      <c r="D13" s="72">
        <v>43226</v>
      </c>
      <c r="E13" t="s">
        <v>706</v>
      </c>
      <c r="F13" t="s">
        <v>707</v>
      </c>
      <c r="H13" s="72"/>
      <c r="I13" s="72">
        <v>44084</v>
      </c>
      <c r="J13" s="72">
        <v>33442</v>
      </c>
      <c r="K13">
        <v>272236579</v>
      </c>
      <c r="L13" s="72">
        <v>39630</v>
      </c>
      <c r="M13" t="s">
        <v>701</v>
      </c>
      <c r="O13" t="s">
        <v>447</v>
      </c>
      <c r="P13" t="s">
        <v>147</v>
      </c>
    </row>
    <row r="14" spans="1:16" x14ac:dyDescent="0.25">
      <c r="B14" t="s">
        <v>693</v>
      </c>
      <c r="C14" t="s">
        <v>465</v>
      </c>
      <c r="D14" s="72">
        <v>43469</v>
      </c>
      <c r="F14" t="s">
        <v>708</v>
      </c>
      <c r="H14" s="72">
        <v>44200</v>
      </c>
      <c r="I14" s="72">
        <v>44084</v>
      </c>
      <c r="J14" s="72">
        <v>33442</v>
      </c>
      <c r="K14">
        <v>272236579</v>
      </c>
      <c r="L14" s="72">
        <v>39630</v>
      </c>
      <c r="M14" t="s">
        <v>701</v>
      </c>
      <c r="O14" t="s">
        <v>447</v>
      </c>
      <c r="P14" t="s">
        <v>147</v>
      </c>
    </row>
    <row r="15" spans="1:16" x14ac:dyDescent="0.25">
      <c r="B15" t="s">
        <v>693</v>
      </c>
      <c r="C15" t="s">
        <v>465</v>
      </c>
      <c r="D15" s="72">
        <v>43353</v>
      </c>
      <c r="F15" t="s">
        <v>704</v>
      </c>
      <c r="G15" s="88" t="s">
        <v>681</v>
      </c>
      <c r="H15" s="72">
        <v>45179</v>
      </c>
      <c r="I15" s="72">
        <v>44084</v>
      </c>
      <c r="J15" s="72">
        <v>33442</v>
      </c>
      <c r="K15">
        <v>272236579</v>
      </c>
      <c r="L15" s="72">
        <v>39630</v>
      </c>
      <c r="M15" t="s">
        <v>701</v>
      </c>
      <c r="O15" t="s">
        <v>447</v>
      </c>
      <c r="P15" t="s">
        <v>147</v>
      </c>
    </row>
    <row r="16" spans="1:16" x14ac:dyDescent="0.25">
      <c r="B16" t="s">
        <v>705</v>
      </c>
      <c r="C16" t="s">
        <v>709</v>
      </c>
      <c r="D16" s="72">
        <v>42955</v>
      </c>
      <c r="F16" t="s">
        <v>718</v>
      </c>
      <c r="G16">
        <v>0.5</v>
      </c>
    </row>
    <row r="17" spans="2:7" x14ac:dyDescent="0.25">
      <c r="B17" t="s">
        <v>705</v>
      </c>
      <c r="C17" t="s">
        <v>711</v>
      </c>
      <c r="D17" s="72">
        <v>42730</v>
      </c>
      <c r="F17" t="s">
        <v>713</v>
      </c>
      <c r="G17">
        <v>3</v>
      </c>
    </row>
    <row r="18" spans="2:7" x14ac:dyDescent="0.25">
      <c r="B18" t="s">
        <v>705</v>
      </c>
      <c r="C18" t="s">
        <v>712</v>
      </c>
      <c r="D18" s="72">
        <v>42730</v>
      </c>
      <c r="F18" t="s">
        <v>713</v>
      </c>
      <c r="G18">
        <v>1</v>
      </c>
    </row>
    <row r="19" spans="2:7" x14ac:dyDescent="0.25">
      <c r="B19" t="s">
        <v>705</v>
      </c>
      <c r="C19" t="s">
        <v>714</v>
      </c>
      <c r="D19" s="72">
        <v>42730</v>
      </c>
      <c r="F19" t="s">
        <v>713</v>
      </c>
      <c r="G19">
        <v>4</v>
      </c>
    </row>
    <row r="20" spans="2:7" x14ac:dyDescent="0.25">
      <c r="B20" t="s">
        <v>705</v>
      </c>
      <c r="C20" t="s">
        <v>715</v>
      </c>
      <c r="D20" s="72">
        <v>42730</v>
      </c>
      <c r="F20" t="s">
        <v>713</v>
      </c>
      <c r="G20">
        <v>5</v>
      </c>
    </row>
    <row r="21" spans="2:7" x14ac:dyDescent="0.25">
      <c r="B21" t="s">
        <v>705</v>
      </c>
      <c r="C21" t="s">
        <v>716</v>
      </c>
      <c r="D21" s="72">
        <v>42726</v>
      </c>
      <c r="F21" t="s">
        <v>717</v>
      </c>
      <c r="G21">
        <v>250</v>
      </c>
    </row>
    <row r="22" spans="2:7" x14ac:dyDescent="0.25">
      <c r="B22" t="s">
        <v>705</v>
      </c>
      <c r="C22" t="s">
        <v>719</v>
      </c>
      <c r="D22" s="72">
        <v>42726</v>
      </c>
      <c r="F22" t="s">
        <v>713</v>
      </c>
      <c r="G22">
        <v>25</v>
      </c>
    </row>
    <row r="23" spans="2:7" x14ac:dyDescent="0.25">
      <c r="B23" t="s">
        <v>705</v>
      </c>
      <c r="C23" t="s">
        <v>720</v>
      </c>
      <c r="D23" s="72">
        <v>42726</v>
      </c>
      <c r="F23" t="s">
        <v>713</v>
      </c>
      <c r="G23">
        <v>5</v>
      </c>
    </row>
  </sheetData>
  <autoFilter ref="A1:J4"/>
  <conditionalFormatting sqref="H1:I7 H9:I10 H16:I17 H19:I1048576">
    <cfRule type="cellIs" dxfId="14" priority="10" operator="between">
      <formula>1</formula>
      <formula>TODAY()+30</formula>
    </cfRule>
  </conditionalFormatting>
  <conditionalFormatting sqref="H8:I8">
    <cfRule type="cellIs" dxfId="13" priority="8" operator="between">
      <formula>1</formula>
      <formula>TODAY()+30</formula>
    </cfRule>
  </conditionalFormatting>
  <conditionalFormatting sqref="H11:I11">
    <cfRule type="cellIs" dxfId="12" priority="7" operator="between">
      <formula>1</formula>
      <formula>TODAY()+30</formula>
    </cfRule>
  </conditionalFormatting>
  <conditionalFormatting sqref="H13:I13">
    <cfRule type="cellIs" dxfId="11" priority="6" operator="between">
      <formula>1</formula>
      <formula>TODAY()+30</formula>
    </cfRule>
  </conditionalFormatting>
  <conditionalFormatting sqref="H12:I12">
    <cfRule type="cellIs" dxfId="10" priority="5" operator="between">
      <formula>1</formula>
      <formula>TODAY()+30</formula>
    </cfRule>
  </conditionalFormatting>
  <conditionalFormatting sqref="I15">
    <cfRule type="cellIs" dxfId="9" priority="4" operator="between">
      <formula>1</formula>
      <formula>TODAY()+30</formula>
    </cfRule>
  </conditionalFormatting>
  <conditionalFormatting sqref="H14:I14">
    <cfRule type="cellIs" dxfId="8" priority="3" operator="between">
      <formula>1</formula>
      <formula>TODAY()+30</formula>
    </cfRule>
  </conditionalFormatting>
  <conditionalFormatting sqref="H15">
    <cfRule type="cellIs" dxfId="7" priority="2" operator="between">
      <formula>1</formula>
      <formula>TODAY()+30</formula>
    </cfRule>
  </conditionalFormatting>
  <conditionalFormatting sqref="H18:I18">
    <cfRule type="cellIs" dxfId="6" priority="1" operator="between">
      <formula>1</formula>
      <formula>TODAY()+30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topLeftCell="C1" workbookViewId="0">
      <pane ySplit="1" topLeftCell="A26" activePane="bottomLeft" state="frozen"/>
      <selection activeCell="I33" sqref="I33"/>
      <selection pane="bottomLeft" activeCell="H47" sqref="H47"/>
    </sheetView>
  </sheetViews>
  <sheetFormatPr defaultColWidth="8.85546875" defaultRowHeight="16.5" x14ac:dyDescent="0.2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8" width="11.5703125" style="24" customWidth="1"/>
    <col min="9" max="9" width="18.5703125" style="24" bestFit="1" customWidth="1"/>
    <col min="10" max="10" width="15.28515625" style="24" customWidth="1"/>
    <col min="11" max="11" width="15.85546875" style="25" customWidth="1"/>
    <col min="12" max="12" width="8.85546875" style="24"/>
    <col min="13" max="13" width="13" style="27" bestFit="1" customWidth="1"/>
    <col min="14" max="14" width="16.140625" style="27" customWidth="1"/>
    <col min="15" max="15" width="50.5703125" style="27" bestFit="1" customWidth="1"/>
    <col min="16" max="16" width="17.28515625" style="24" customWidth="1"/>
    <col min="17" max="16384" width="8.85546875" style="24"/>
  </cols>
  <sheetData>
    <row r="1" spans="1:23" ht="37.9" customHeight="1" x14ac:dyDescent="0.25">
      <c r="A1" s="24" t="s">
        <v>531</v>
      </c>
      <c r="B1" s="24" t="s">
        <v>171</v>
      </c>
      <c r="C1" s="24" t="s">
        <v>512</v>
      </c>
      <c r="D1" s="27">
        <f>MAX(D2:D1048576)</f>
        <v>22</v>
      </c>
      <c r="E1" s="76" t="s">
        <v>102</v>
      </c>
      <c r="F1" s="76" t="s">
        <v>103</v>
      </c>
      <c r="G1" s="76" t="s">
        <v>104</v>
      </c>
      <c r="H1" s="76" t="s">
        <v>655</v>
      </c>
      <c r="I1" s="76" t="s">
        <v>105</v>
      </c>
      <c r="J1" s="76" t="s">
        <v>656</v>
      </c>
      <c r="K1" s="23" t="s">
        <v>299</v>
      </c>
      <c r="L1" s="23">
        <f>COUNTIF(L2:L51,"x")</f>
        <v>0</v>
      </c>
      <c r="M1" s="23" t="s">
        <v>126</v>
      </c>
      <c r="N1" s="27" t="s">
        <v>135</v>
      </c>
      <c r="O1" s="27" t="s">
        <v>216</v>
      </c>
      <c r="P1" s="24" t="s">
        <v>145</v>
      </c>
    </row>
    <row r="2" spans="1:23" s="55" customFormat="1" x14ac:dyDescent="0.25">
      <c r="A2" s="24"/>
      <c r="B2" s="24"/>
      <c r="C2" s="24"/>
      <c r="D2" s="27"/>
      <c r="E2" s="77">
        <f t="shared" ref="E2" si="0">D2</f>
        <v>0</v>
      </c>
      <c r="F2" s="78" t="s">
        <v>134</v>
      </c>
      <c r="G2" s="79">
        <v>44016</v>
      </c>
      <c r="H2" s="79"/>
      <c r="I2" s="77" t="s">
        <v>107</v>
      </c>
      <c r="J2" s="77"/>
      <c r="K2" s="25"/>
      <c r="L2" s="55">
        <f t="shared" ref="L2" si="1">D2</f>
        <v>0</v>
      </c>
      <c r="M2" s="27">
        <v>271285313</v>
      </c>
      <c r="N2" s="28">
        <v>28333</v>
      </c>
      <c r="O2" s="27" t="s">
        <v>217</v>
      </c>
      <c r="P2" s="24"/>
      <c r="Q2" s="41" t="s">
        <v>304</v>
      </c>
      <c r="R2" s="41" t="s">
        <v>305</v>
      </c>
      <c r="S2" s="41" t="s">
        <v>306</v>
      </c>
      <c r="T2" s="41">
        <v>2</v>
      </c>
      <c r="U2" s="41" t="s">
        <v>307</v>
      </c>
      <c r="V2" s="41" t="s">
        <v>308</v>
      </c>
      <c r="W2" s="41" t="s">
        <v>314</v>
      </c>
    </row>
    <row r="3" spans="1:23" x14ac:dyDescent="0.25">
      <c r="A3" s="24" t="s">
        <v>107</v>
      </c>
      <c r="B3" s="24" t="s">
        <v>125</v>
      </c>
      <c r="C3" s="24">
        <v>2019</v>
      </c>
      <c r="D3" s="27">
        <f>COUNTIF($B$1:B3,"x")</f>
        <v>1</v>
      </c>
      <c r="E3" s="77">
        <f t="shared" ref="E3:E34" si="2">D3</f>
        <v>1</v>
      </c>
      <c r="F3" s="78" t="s">
        <v>493</v>
      </c>
      <c r="G3" s="79" t="s">
        <v>483</v>
      </c>
      <c r="H3" s="79">
        <v>43955</v>
      </c>
      <c r="I3" s="77" t="s">
        <v>107</v>
      </c>
      <c r="J3" s="77"/>
      <c r="L3" s="55">
        <v>1</v>
      </c>
      <c r="M3" s="27">
        <v>212143221</v>
      </c>
      <c r="N3" s="28">
        <v>29696</v>
      </c>
    </row>
    <row r="4" spans="1:23" x14ac:dyDescent="0.25">
      <c r="A4" s="55" t="s">
        <v>447</v>
      </c>
      <c r="C4" s="55">
        <v>2012</v>
      </c>
      <c r="D4" s="27">
        <v>1</v>
      </c>
      <c r="E4" s="77">
        <f t="shared" si="2"/>
        <v>1</v>
      </c>
      <c r="F4" s="78" t="s">
        <v>144</v>
      </c>
      <c r="G4" s="79"/>
      <c r="H4" s="79"/>
      <c r="I4" s="77" t="s">
        <v>147</v>
      </c>
      <c r="J4" s="77"/>
      <c r="L4" s="55">
        <f>D4</f>
        <v>1</v>
      </c>
      <c r="M4" s="27">
        <v>271871229</v>
      </c>
      <c r="N4" s="28">
        <v>27425</v>
      </c>
      <c r="O4" s="27" t="s">
        <v>217</v>
      </c>
      <c r="P4" s="56">
        <v>40360</v>
      </c>
    </row>
    <row r="5" spans="1:23" x14ac:dyDescent="0.25">
      <c r="A5" s="24" t="s">
        <v>107</v>
      </c>
      <c r="B5" s="24" t="s">
        <v>125</v>
      </c>
      <c r="C5" s="24">
        <v>2019</v>
      </c>
      <c r="D5" s="27">
        <f>COUNTIF($B$1:B5,"x")</f>
        <v>2</v>
      </c>
      <c r="E5" s="77">
        <f t="shared" si="2"/>
        <v>2</v>
      </c>
      <c r="F5" s="78" t="s">
        <v>487</v>
      </c>
      <c r="G5" s="79" t="s">
        <v>478</v>
      </c>
      <c r="H5" s="79">
        <v>43954</v>
      </c>
      <c r="I5" s="77" t="s">
        <v>107</v>
      </c>
      <c r="J5" s="77"/>
      <c r="L5" s="55">
        <v>2</v>
      </c>
      <c r="M5" s="27">
        <v>272696072</v>
      </c>
      <c r="N5" s="28">
        <v>36242</v>
      </c>
    </row>
    <row r="6" spans="1:23" x14ac:dyDescent="0.25">
      <c r="A6" s="24" t="s">
        <v>107</v>
      </c>
      <c r="B6" s="24" t="s">
        <v>125</v>
      </c>
      <c r="C6" s="24">
        <v>2016</v>
      </c>
      <c r="D6" s="27">
        <f>COUNTIF($B$1:B6,"x")</f>
        <v>3</v>
      </c>
      <c r="E6" s="77">
        <f t="shared" si="2"/>
        <v>3</v>
      </c>
      <c r="F6" s="78" t="s">
        <v>303</v>
      </c>
      <c r="G6" s="79" t="s">
        <v>478</v>
      </c>
      <c r="H6" s="79">
        <v>43955</v>
      </c>
      <c r="I6" s="77" t="s">
        <v>107</v>
      </c>
      <c r="J6" s="77"/>
      <c r="L6" s="55">
        <v>3</v>
      </c>
      <c r="M6" s="27">
        <v>272396568</v>
      </c>
      <c r="N6" s="28">
        <v>34970</v>
      </c>
    </row>
    <row r="7" spans="1:23" x14ac:dyDescent="0.25">
      <c r="B7" s="55"/>
      <c r="D7" s="27">
        <f>COUNTIF($B$1:B7,"x")</f>
        <v>3</v>
      </c>
      <c r="E7" s="77">
        <f t="shared" si="2"/>
        <v>3</v>
      </c>
      <c r="F7" s="78" t="s">
        <v>113</v>
      </c>
      <c r="G7" s="79">
        <v>44014</v>
      </c>
      <c r="H7" s="79"/>
      <c r="I7" s="77" t="s">
        <v>107</v>
      </c>
      <c r="J7" s="77"/>
      <c r="L7" s="55">
        <f>D7</f>
        <v>3</v>
      </c>
      <c r="M7" s="27" t="s">
        <v>132</v>
      </c>
      <c r="N7" s="27" t="s">
        <v>140</v>
      </c>
      <c r="O7" s="27" t="s">
        <v>217</v>
      </c>
    </row>
    <row r="8" spans="1:23" x14ac:dyDescent="0.25">
      <c r="B8" s="55"/>
      <c r="D8" s="27">
        <f>COUNTIF($B$1:B8,"x")</f>
        <v>3</v>
      </c>
      <c r="E8" s="77">
        <f t="shared" si="2"/>
        <v>3</v>
      </c>
      <c r="F8" s="78" t="s">
        <v>127</v>
      </c>
      <c r="G8" s="79">
        <v>44016</v>
      </c>
      <c r="H8" s="79"/>
      <c r="I8" s="77" t="s">
        <v>107</v>
      </c>
      <c r="J8" s="77"/>
      <c r="L8" s="55">
        <f>D8</f>
        <v>3</v>
      </c>
      <c r="M8" s="27">
        <v>271298968</v>
      </c>
      <c r="N8" s="28">
        <v>28235</v>
      </c>
      <c r="O8" s="27" t="s">
        <v>217</v>
      </c>
      <c r="P8" s="26">
        <v>43103</v>
      </c>
    </row>
    <row r="9" spans="1:23" x14ac:dyDescent="0.25">
      <c r="A9" s="24" t="s">
        <v>107</v>
      </c>
      <c r="B9" s="24" t="s">
        <v>125</v>
      </c>
      <c r="C9" s="24">
        <v>2019</v>
      </c>
      <c r="D9" s="27">
        <f>COUNTIF($B$1:B9,"x")</f>
        <v>4</v>
      </c>
      <c r="E9" s="77">
        <f t="shared" si="2"/>
        <v>4</v>
      </c>
      <c r="F9" s="78" t="s">
        <v>496</v>
      </c>
      <c r="G9" s="79" t="s">
        <v>478</v>
      </c>
      <c r="H9" s="79">
        <v>43955</v>
      </c>
      <c r="I9" s="77" t="s">
        <v>107</v>
      </c>
      <c r="J9" s="77"/>
      <c r="L9" s="55">
        <v>1</v>
      </c>
      <c r="M9" s="27">
        <v>272282903</v>
      </c>
      <c r="N9" s="28">
        <v>33816</v>
      </c>
    </row>
    <row r="10" spans="1:23" x14ac:dyDescent="0.25">
      <c r="D10" s="27">
        <f>COUNTIF($B$1:B10,"x")</f>
        <v>4</v>
      </c>
      <c r="E10" s="77">
        <f t="shared" si="2"/>
        <v>4</v>
      </c>
      <c r="F10" s="78" t="s">
        <v>457</v>
      </c>
      <c r="G10" s="79"/>
      <c r="H10" s="79"/>
      <c r="I10" s="77"/>
      <c r="J10" s="77"/>
      <c r="L10" s="55">
        <f>D10</f>
        <v>4</v>
      </c>
    </row>
    <row r="11" spans="1:23" x14ac:dyDescent="0.25">
      <c r="B11" s="55"/>
      <c r="D11" s="27">
        <f>COUNTIF($B$1:B11,"x")</f>
        <v>4</v>
      </c>
      <c r="E11" s="77">
        <f t="shared" si="2"/>
        <v>4</v>
      </c>
      <c r="F11" s="78" t="s">
        <v>108</v>
      </c>
      <c r="G11" s="79">
        <v>44014</v>
      </c>
      <c r="H11" s="79"/>
      <c r="I11" s="77" t="s">
        <v>107</v>
      </c>
      <c r="J11" s="77"/>
      <c r="L11" s="55">
        <f>D11</f>
        <v>4</v>
      </c>
      <c r="M11" s="27" t="s">
        <v>128</v>
      </c>
      <c r="N11" s="27" t="s">
        <v>136</v>
      </c>
      <c r="O11" s="27" t="s">
        <v>217</v>
      </c>
    </row>
    <row r="12" spans="1:23" x14ac:dyDescent="0.25">
      <c r="A12" s="24" t="s">
        <v>107</v>
      </c>
      <c r="B12" s="24" t="s">
        <v>125</v>
      </c>
      <c r="C12" s="24">
        <v>2019</v>
      </c>
      <c r="D12" s="27">
        <f>COUNTIF($B$1:B12,"x")</f>
        <v>5</v>
      </c>
      <c r="E12" s="77">
        <f t="shared" si="2"/>
        <v>5</v>
      </c>
      <c r="F12" s="78" t="s">
        <v>491</v>
      </c>
      <c r="G12" s="79" t="s">
        <v>478</v>
      </c>
      <c r="H12" s="79">
        <v>43954</v>
      </c>
      <c r="I12" s="77" t="s">
        <v>107</v>
      </c>
      <c r="J12" s="77"/>
      <c r="L12" s="55">
        <v>2</v>
      </c>
      <c r="M12" s="27">
        <v>272556665</v>
      </c>
      <c r="N12" s="28">
        <v>35580</v>
      </c>
    </row>
    <row r="13" spans="1:23" x14ac:dyDescent="0.25">
      <c r="D13" s="27">
        <f>COUNTIF($B$1:B13,"x")</f>
        <v>5</v>
      </c>
      <c r="E13" s="77">
        <f t="shared" si="2"/>
        <v>5</v>
      </c>
      <c r="F13" s="78" t="s">
        <v>120</v>
      </c>
      <c r="G13" s="79">
        <v>44014</v>
      </c>
      <c r="H13" s="79"/>
      <c r="I13" s="77" t="s">
        <v>107</v>
      </c>
      <c r="J13" s="77"/>
      <c r="L13" s="55">
        <f>D13</f>
        <v>5</v>
      </c>
    </row>
    <row r="14" spans="1:23" x14ac:dyDescent="0.25">
      <c r="D14" s="27">
        <f>COUNTIF($B$1:B14,"x")</f>
        <v>5</v>
      </c>
      <c r="E14" s="77">
        <f t="shared" si="2"/>
        <v>5</v>
      </c>
      <c r="F14" s="78" t="s">
        <v>118</v>
      </c>
      <c r="G14" s="79">
        <v>44014</v>
      </c>
      <c r="H14" s="79"/>
      <c r="I14" s="77" t="s">
        <v>107</v>
      </c>
      <c r="J14" s="77"/>
      <c r="L14" s="55">
        <f>D14</f>
        <v>5</v>
      </c>
    </row>
    <row r="15" spans="1:23" x14ac:dyDescent="0.25">
      <c r="A15" s="24" t="s">
        <v>107</v>
      </c>
      <c r="B15" s="24" t="s">
        <v>125</v>
      </c>
      <c r="C15" s="24">
        <v>2019</v>
      </c>
      <c r="D15" s="27">
        <f>COUNTIF($B$1:B15,"x")</f>
        <v>6</v>
      </c>
      <c r="E15" s="77">
        <f t="shared" si="2"/>
        <v>6</v>
      </c>
      <c r="F15" s="78" t="s">
        <v>492</v>
      </c>
      <c r="G15" s="79" t="s">
        <v>478</v>
      </c>
      <c r="H15" s="79">
        <v>43956</v>
      </c>
      <c r="I15" s="77" t="s">
        <v>107</v>
      </c>
      <c r="J15" s="77"/>
      <c r="L15" s="55">
        <v>1</v>
      </c>
      <c r="M15" s="27">
        <v>271285473</v>
      </c>
      <c r="N15" s="28">
        <v>27567</v>
      </c>
    </row>
    <row r="16" spans="1:23" x14ac:dyDescent="0.25">
      <c r="A16" s="24" t="s">
        <v>107</v>
      </c>
      <c r="B16" s="24" t="s">
        <v>125</v>
      </c>
      <c r="C16" s="24">
        <v>2019</v>
      </c>
      <c r="D16" s="27">
        <f>COUNTIF($B$1:B16,"x")</f>
        <v>7</v>
      </c>
      <c r="E16" s="77">
        <f t="shared" si="2"/>
        <v>7</v>
      </c>
      <c r="F16" s="78" t="s">
        <v>486</v>
      </c>
      <c r="G16" s="79" t="s">
        <v>484</v>
      </c>
      <c r="H16" s="79">
        <v>43954</v>
      </c>
      <c r="I16" s="77" t="s">
        <v>107</v>
      </c>
      <c r="J16" s="77"/>
      <c r="L16" s="55">
        <v>2</v>
      </c>
      <c r="M16" s="27">
        <v>75200000515</v>
      </c>
      <c r="N16" s="28">
        <v>36767</v>
      </c>
    </row>
    <row r="17" spans="1:16" x14ac:dyDescent="0.25">
      <c r="A17" s="24" t="s">
        <v>107</v>
      </c>
      <c r="B17" s="24" t="s">
        <v>125</v>
      </c>
      <c r="C17" s="24">
        <v>2019</v>
      </c>
      <c r="D17" s="27">
        <f>COUNTIF($B$1:B17,"x")</f>
        <v>8</v>
      </c>
      <c r="E17" s="77">
        <f t="shared" si="2"/>
        <v>8</v>
      </c>
      <c r="F17" s="78" t="s">
        <v>485</v>
      </c>
      <c r="G17" s="79" t="s">
        <v>478</v>
      </c>
      <c r="H17" s="79">
        <v>43954</v>
      </c>
      <c r="I17" s="77" t="s">
        <v>107</v>
      </c>
      <c r="J17" s="77"/>
      <c r="L17" s="55">
        <v>3</v>
      </c>
      <c r="M17" s="27">
        <v>272732396</v>
      </c>
      <c r="N17" s="28">
        <v>36804</v>
      </c>
    </row>
    <row r="18" spans="1:16" x14ac:dyDescent="0.25">
      <c r="A18" s="24" t="s">
        <v>107</v>
      </c>
      <c r="B18" s="24" t="s">
        <v>125</v>
      </c>
      <c r="C18" s="24">
        <v>2019</v>
      </c>
      <c r="D18" s="27">
        <f>COUNTIF($B$1:B18,"x")</f>
        <v>9</v>
      </c>
      <c r="E18" s="77">
        <f t="shared" si="2"/>
        <v>9</v>
      </c>
      <c r="F18" s="78" t="s">
        <v>482</v>
      </c>
      <c r="G18" s="79" t="s">
        <v>483</v>
      </c>
      <c r="H18" s="79">
        <v>43955</v>
      </c>
      <c r="I18" s="77" t="s">
        <v>107</v>
      </c>
      <c r="J18" s="77"/>
      <c r="L18" s="55">
        <v>4</v>
      </c>
      <c r="M18" s="27">
        <v>271315765</v>
      </c>
      <c r="N18" s="28">
        <v>29205</v>
      </c>
    </row>
    <row r="19" spans="1:16" x14ac:dyDescent="0.25">
      <c r="D19" s="27">
        <f>COUNTIF($B$1:B19,"x")</f>
        <v>9</v>
      </c>
      <c r="E19" s="77">
        <f t="shared" si="2"/>
        <v>9</v>
      </c>
      <c r="F19" s="78" t="s">
        <v>119</v>
      </c>
      <c r="G19" s="79">
        <v>44014</v>
      </c>
      <c r="H19" s="79"/>
      <c r="I19" s="77" t="s">
        <v>107</v>
      </c>
      <c r="J19" s="77"/>
      <c r="L19" s="55">
        <f>D19</f>
        <v>9</v>
      </c>
    </row>
    <row r="20" spans="1:16" x14ac:dyDescent="0.25">
      <c r="D20" s="27">
        <f>COUNTIF($B$1:B20,"x")</f>
        <v>9</v>
      </c>
      <c r="E20" s="77">
        <f t="shared" si="2"/>
        <v>9</v>
      </c>
      <c r="F20" s="78" t="s">
        <v>121</v>
      </c>
      <c r="G20" s="79">
        <v>44014</v>
      </c>
      <c r="H20" s="79"/>
      <c r="I20" s="77" t="s">
        <v>107</v>
      </c>
      <c r="J20" s="77"/>
      <c r="L20" s="55">
        <f>D20</f>
        <v>9</v>
      </c>
    </row>
    <row r="21" spans="1:16" x14ac:dyDescent="0.25">
      <c r="D21" s="27">
        <f>COUNTIF($B$1:B21,"x")</f>
        <v>9</v>
      </c>
      <c r="E21" s="77">
        <f t="shared" si="2"/>
        <v>9</v>
      </c>
      <c r="F21" s="78" t="s">
        <v>150</v>
      </c>
      <c r="G21" s="79">
        <v>44015</v>
      </c>
      <c r="H21" s="79"/>
      <c r="I21" s="77" t="s">
        <v>107</v>
      </c>
      <c r="J21" s="77"/>
      <c r="L21" s="55">
        <f>D21</f>
        <v>9</v>
      </c>
      <c r="P21" s="26">
        <v>43103</v>
      </c>
    </row>
    <row r="22" spans="1:16" x14ac:dyDescent="0.25">
      <c r="A22" s="24" t="s">
        <v>107</v>
      </c>
      <c r="B22" s="24" t="s">
        <v>125</v>
      </c>
      <c r="C22" s="24">
        <v>2019</v>
      </c>
      <c r="D22" s="27">
        <f>COUNTIF($B$1:B22,"x")</f>
        <v>10</v>
      </c>
      <c r="E22" s="77">
        <f t="shared" si="2"/>
        <v>10</v>
      </c>
      <c r="F22" s="78" t="s">
        <v>481</v>
      </c>
      <c r="G22" s="79" t="s">
        <v>478</v>
      </c>
      <c r="H22" s="79">
        <v>43954</v>
      </c>
      <c r="I22" s="77" t="s">
        <v>107</v>
      </c>
      <c r="J22" s="77"/>
      <c r="L22" s="55">
        <v>5</v>
      </c>
      <c r="M22" s="27">
        <v>272556713</v>
      </c>
      <c r="N22" s="28">
        <v>35884</v>
      </c>
    </row>
    <row r="23" spans="1:16" x14ac:dyDescent="0.25">
      <c r="A23" s="24" t="s">
        <v>107</v>
      </c>
      <c r="B23" s="24" t="s">
        <v>125</v>
      </c>
      <c r="C23" s="24">
        <v>2019</v>
      </c>
      <c r="D23" s="27">
        <f>COUNTIF($B$1:B23,"x")</f>
        <v>11</v>
      </c>
      <c r="E23" s="77">
        <f t="shared" si="2"/>
        <v>11</v>
      </c>
      <c r="F23" s="78" t="s">
        <v>116</v>
      </c>
      <c r="G23" s="79" t="s">
        <v>478</v>
      </c>
      <c r="H23" s="79">
        <v>43956</v>
      </c>
      <c r="I23" s="77" t="s">
        <v>107</v>
      </c>
      <c r="J23" s="77"/>
      <c r="L23" s="55">
        <v>6</v>
      </c>
      <c r="M23" s="27">
        <v>271728653</v>
      </c>
      <c r="N23" s="28">
        <v>31088</v>
      </c>
    </row>
    <row r="24" spans="1:16" x14ac:dyDescent="0.25">
      <c r="D24" s="27">
        <f>COUNTIF($B$1:B24,"x")</f>
        <v>11</v>
      </c>
      <c r="E24" s="77">
        <f t="shared" si="2"/>
        <v>11</v>
      </c>
      <c r="F24" s="78" t="s">
        <v>115</v>
      </c>
      <c r="G24" s="79">
        <v>44016</v>
      </c>
      <c r="H24" s="79"/>
      <c r="I24" s="77" t="s">
        <v>107</v>
      </c>
      <c r="J24" s="77"/>
      <c r="L24" s="55">
        <f>D24</f>
        <v>11</v>
      </c>
    </row>
    <row r="25" spans="1:16" x14ac:dyDescent="0.25">
      <c r="A25" s="24" t="s">
        <v>107</v>
      </c>
      <c r="B25" s="24" t="s">
        <v>125</v>
      </c>
      <c r="C25" s="24">
        <v>2019</v>
      </c>
      <c r="D25" s="27">
        <f>COUNTIF($B$1:B25,"x")</f>
        <v>12</v>
      </c>
      <c r="E25" s="77">
        <f t="shared" si="2"/>
        <v>12</v>
      </c>
      <c r="F25" s="78" t="s">
        <v>495</v>
      </c>
      <c r="G25" s="79" t="s">
        <v>478</v>
      </c>
      <c r="H25" s="79">
        <v>43954</v>
      </c>
      <c r="I25" s="77" t="s">
        <v>107</v>
      </c>
      <c r="J25" s="77"/>
      <c r="L25" s="55">
        <v>1</v>
      </c>
      <c r="M25" s="27">
        <v>272960603</v>
      </c>
      <c r="N25" s="28">
        <v>37008</v>
      </c>
    </row>
    <row r="26" spans="1:16" x14ac:dyDescent="0.25">
      <c r="A26" s="24" t="s">
        <v>107</v>
      </c>
      <c r="B26" s="24" t="s">
        <v>125</v>
      </c>
      <c r="C26" s="24">
        <v>2019</v>
      </c>
      <c r="D26" s="27">
        <f>COUNTIF($B$1:B26,"x")</f>
        <v>13</v>
      </c>
      <c r="E26" s="77">
        <f t="shared" si="2"/>
        <v>13</v>
      </c>
      <c r="F26" s="78" t="s">
        <v>494</v>
      </c>
      <c r="G26" s="79" t="s">
        <v>478</v>
      </c>
      <c r="H26" s="79">
        <v>43955</v>
      </c>
      <c r="I26" s="77" t="s">
        <v>107</v>
      </c>
      <c r="J26" s="77"/>
      <c r="L26" s="55">
        <v>2</v>
      </c>
      <c r="M26" s="27">
        <v>271688082</v>
      </c>
      <c r="N26" s="28">
        <v>31416</v>
      </c>
    </row>
    <row r="27" spans="1:16" x14ac:dyDescent="0.25">
      <c r="B27" s="55"/>
      <c r="D27" s="27">
        <f>COUNTIF($B$1:B27,"x")</f>
        <v>13</v>
      </c>
      <c r="E27" s="77">
        <f t="shared" si="2"/>
        <v>13</v>
      </c>
      <c r="F27" s="78" t="s">
        <v>114</v>
      </c>
      <c r="G27" s="79">
        <v>44014</v>
      </c>
      <c r="H27" s="79"/>
      <c r="I27" s="77" t="s">
        <v>107</v>
      </c>
      <c r="J27" s="77"/>
      <c r="L27" s="55">
        <f>D27</f>
        <v>13</v>
      </c>
      <c r="M27" s="27" t="s">
        <v>133</v>
      </c>
      <c r="N27" s="27" t="s">
        <v>141</v>
      </c>
      <c r="O27" s="44" t="s">
        <v>218</v>
      </c>
    </row>
    <row r="28" spans="1:16" x14ac:dyDescent="0.25">
      <c r="D28" s="27">
        <f>COUNTIF($B$1:B28,"x")</f>
        <v>13</v>
      </c>
      <c r="E28" s="77">
        <f t="shared" si="2"/>
        <v>13</v>
      </c>
      <c r="F28" s="78" t="s">
        <v>454</v>
      </c>
      <c r="G28" s="79"/>
      <c r="H28" s="79"/>
      <c r="I28" s="77"/>
      <c r="J28" s="77"/>
      <c r="L28" s="55">
        <f>D28</f>
        <v>13</v>
      </c>
    </row>
    <row r="29" spans="1:16" x14ac:dyDescent="0.25">
      <c r="B29" s="55"/>
      <c r="D29" s="27">
        <f>COUNTIF($B$1:B29,"x")</f>
        <v>13</v>
      </c>
      <c r="E29" s="77">
        <f t="shared" si="2"/>
        <v>13</v>
      </c>
      <c r="F29" s="78" t="s">
        <v>112</v>
      </c>
      <c r="G29" s="79">
        <v>44014</v>
      </c>
      <c r="H29" s="79"/>
      <c r="I29" s="77" t="s">
        <v>107</v>
      </c>
      <c r="J29" s="77"/>
      <c r="L29" s="55">
        <f>D29</f>
        <v>13</v>
      </c>
      <c r="M29" s="27" t="s">
        <v>131</v>
      </c>
      <c r="N29" s="27" t="s">
        <v>139</v>
      </c>
      <c r="O29" s="27" t="s">
        <v>217</v>
      </c>
    </row>
    <row r="30" spans="1:16" x14ac:dyDescent="0.25">
      <c r="D30" s="27">
        <f>COUNTIF($B$1:B30,"x")</f>
        <v>13</v>
      </c>
      <c r="E30" s="77">
        <f t="shared" si="2"/>
        <v>13</v>
      </c>
      <c r="F30" s="78" t="s">
        <v>458</v>
      </c>
      <c r="G30" s="79"/>
      <c r="H30" s="79"/>
      <c r="I30" s="77"/>
      <c r="J30" s="77"/>
      <c r="L30" s="55">
        <f>D30</f>
        <v>13</v>
      </c>
    </row>
    <row r="31" spans="1:16" x14ac:dyDescent="0.25">
      <c r="A31" s="24" t="s">
        <v>107</v>
      </c>
      <c r="B31" s="24" t="s">
        <v>125</v>
      </c>
      <c r="C31" s="24">
        <v>2019</v>
      </c>
      <c r="D31" s="27">
        <f>COUNTIF($B$1:B31,"x")</f>
        <v>14</v>
      </c>
      <c r="E31" s="77">
        <f t="shared" si="2"/>
        <v>14</v>
      </c>
      <c r="F31" s="78" t="s">
        <v>489</v>
      </c>
      <c r="G31" s="79" t="s">
        <v>478</v>
      </c>
      <c r="H31" s="79">
        <v>43954</v>
      </c>
      <c r="I31" s="77" t="s">
        <v>107</v>
      </c>
      <c r="J31" s="77"/>
      <c r="L31" s="55">
        <v>3</v>
      </c>
      <c r="M31" s="27">
        <v>272397442</v>
      </c>
      <c r="N31" s="28">
        <v>34041</v>
      </c>
    </row>
    <row r="32" spans="1:16" x14ac:dyDescent="0.25">
      <c r="D32" s="27">
        <f>COUNTIF($B$1:B32,"x")</f>
        <v>14</v>
      </c>
      <c r="E32" s="77">
        <f t="shared" si="2"/>
        <v>14</v>
      </c>
      <c r="F32" s="78" t="s">
        <v>459</v>
      </c>
      <c r="G32" s="79">
        <v>44015</v>
      </c>
      <c r="H32" s="79"/>
      <c r="I32" s="77" t="s">
        <v>107</v>
      </c>
      <c r="J32" s="77"/>
      <c r="L32" s="55">
        <f>D32</f>
        <v>14</v>
      </c>
    </row>
    <row r="33" spans="1:16" x14ac:dyDescent="0.25">
      <c r="A33" s="24" t="s">
        <v>107</v>
      </c>
      <c r="B33" s="24" t="s">
        <v>125</v>
      </c>
      <c r="C33" s="24">
        <v>2019</v>
      </c>
      <c r="D33" s="27">
        <f>COUNTIF($B$1:B33,"x")</f>
        <v>15</v>
      </c>
      <c r="E33" s="77">
        <f t="shared" si="2"/>
        <v>15</v>
      </c>
      <c r="F33" s="78" t="s">
        <v>497</v>
      </c>
      <c r="G33" s="79" t="s">
        <v>478</v>
      </c>
      <c r="H33" s="79">
        <v>43954</v>
      </c>
      <c r="I33" s="77" t="s">
        <v>107</v>
      </c>
      <c r="J33" s="77"/>
      <c r="L33" s="55">
        <v>4</v>
      </c>
      <c r="M33" s="27">
        <v>272653927</v>
      </c>
      <c r="N33" s="28">
        <v>35555</v>
      </c>
    </row>
    <row r="34" spans="1:16" x14ac:dyDescent="0.25">
      <c r="B34" s="55"/>
      <c r="D34" s="27">
        <f>COUNTIF($B$1:B34,"x")</f>
        <v>15</v>
      </c>
      <c r="E34" s="77">
        <f t="shared" si="2"/>
        <v>15</v>
      </c>
      <c r="F34" s="78" t="s">
        <v>302</v>
      </c>
      <c r="G34" s="79">
        <v>44015</v>
      </c>
      <c r="H34" s="79"/>
      <c r="I34" s="77" t="s">
        <v>107</v>
      </c>
      <c r="J34" s="77"/>
      <c r="L34" s="55">
        <f>D34</f>
        <v>15</v>
      </c>
      <c r="M34" s="27">
        <v>271294536</v>
      </c>
      <c r="N34" s="57">
        <v>29587</v>
      </c>
    </row>
    <row r="35" spans="1:16" x14ac:dyDescent="0.25">
      <c r="A35" s="24" t="s">
        <v>107</v>
      </c>
      <c r="B35" s="24" t="s">
        <v>125</v>
      </c>
      <c r="C35" s="24">
        <v>2019</v>
      </c>
      <c r="D35" s="27">
        <f>COUNTIF($B$1:B35,"x")</f>
        <v>16</v>
      </c>
      <c r="E35" s="77">
        <f t="shared" ref="E35:E51" si="3">D35</f>
        <v>16</v>
      </c>
      <c r="F35" s="78" t="s">
        <v>475</v>
      </c>
      <c r="G35" s="79" t="s">
        <v>478</v>
      </c>
      <c r="H35" s="79">
        <v>43954</v>
      </c>
      <c r="I35" s="77" t="s">
        <v>107</v>
      </c>
      <c r="J35" s="77"/>
      <c r="L35" s="55">
        <v>5</v>
      </c>
      <c r="M35" s="27">
        <v>272556764</v>
      </c>
      <c r="N35" s="28">
        <v>34976</v>
      </c>
    </row>
    <row r="36" spans="1:16" x14ac:dyDescent="0.25">
      <c r="B36" s="55"/>
      <c r="D36" s="27">
        <f>COUNTIF($B$1:B36,"x")</f>
        <v>16</v>
      </c>
      <c r="E36" s="77">
        <f t="shared" si="3"/>
        <v>16</v>
      </c>
      <c r="F36" s="78" t="s">
        <v>106</v>
      </c>
      <c r="G36" s="79">
        <v>44014</v>
      </c>
      <c r="H36" s="79"/>
      <c r="I36" s="77" t="s">
        <v>107</v>
      </c>
      <c r="J36" s="77"/>
      <c r="L36" s="55">
        <f>D36</f>
        <v>16</v>
      </c>
      <c r="M36" s="27" t="s">
        <v>347</v>
      </c>
      <c r="N36" s="28">
        <v>28956</v>
      </c>
      <c r="O36" s="27" t="s">
        <v>217</v>
      </c>
    </row>
    <row r="37" spans="1:16" x14ac:dyDescent="0.25">
      <c r="B37" s="55"/>
      <c r="D37" s="27">
        <f>COUNTIF($B$1:B37,"x")</f>
        <v>16</v>
      </c>
      <c r="E37" s="77">
        <f t="shared" si="3"/>
        <v>16</v>
      </c>
      <c r="F37" s="78" t="s">
        <v>346</v>
      </c>
      <c r="G37" s="79">
        <v>44014</v>
      </c>
      <c r="H37" s="79"/>
      <c r="I37" s="77" t="s">
        <v>107</v>
      </c>
      <c r="J37" s="77"/>
      <c r="L37" s="55">
        <f>D37</f>
        <v>16</v>
      </c>
      <c r="M37" s="27" t="s">
        <v>142</v>
      </c>
      <c r="N37" s="28" t="s">
        <v>143</v>
      </c>
      <c r="O37" s="27" t="s">
        <v>217</v>
      </c>
    </row>
    <row r="38" spans="1:16" x14ac:dyDescent="0.25">
      <c r="B38" s="55"/>
      <c r="D38" s="27">
        <f>COUNTIF($B$1:B38,"x")</f>
        <v>16</v>
      </c>
      <c r="E38" s="77">
        <f t="shared" si="3"/>
        <v>16</v>
      </c>
      <c r="F38" s="78" t="s">
        <v>111</v>
      </c>
      <c r="G38" s="79">
        <v>44014</v>
      </c>
      <c r="H38" s="79"/>
      <c r="I38" s="77" t="s">
        <v>107</v>
      </c>
      <c r="J38" s="77"/>
      <c r="L38" s="55">
        <f>D38</f>
        <v>16</v>
      </c>
      <c r="M38" s="27" t="s">
        <v>130</v>
      </c>
      <c r="N38" s="27" t="s">
        <v>138</v>
      </c>
      <c r="O38" s="27" t="s">
        <v>217</v>
      </c>
    </row>
    <row r="39" spans="1:16" x14ac:dyDescent="0.25">
      <c r="A39" s="24" t="s">
        <v>107</v>
      </c>
      <c r="B39" s="24" t="s">
        <v>125</v>
      </c>
      <c r="C39" s="24">
        <v>2019</v>
      </c>
      <c r="D39" s="27">
        <f>COUNTIF($B$1:B39,"x")</f>
        <v>17</v>
      </c>
      <c r="E39" s="77">
        <f t="shared" si="3"/>
        <v>17</v>
      </c>
      <c r="F39" s="78" t="s">
        <v>122</v>
      </c>
      <c r="G39" s="79" t="s">
        <v>478</v>
      </c>
      <c r="H39" s="79">
        <v>43956</v>
      </c>
      <c r="I39" s="77" t="s">
        <v>107</v>
      </c>
      <c r="J39" s="77"/>
      <c r="L39" s="55">
        <v>6</v>
      </c>
      <c r="M39" s="27">
        <v>271586657</v>
      </c>
      <c r="N39" s="28">
        <v>29221</v>
      </c>
    </row>
    <row r="40" spans="1:16" x14ac:dyDescent="0.25">
      <c r="A40" s="24" t="s">
        <v>107</v>
      </c>
      <c r="B40" s="24" t="s">
        <v>125</v>
      </c>
      <c r="C40" s="24">
        <v>2019</v>
      </c>
      <c r="D40" s="27">
        <f>COUNTIF($B$1:B40,"x")</f>
        <v>18</v>
      </c>
      <c r="E40" s="77">
        <f t="shared" si="3"/>
        <v>18</v>
      </c>
      <c r="F40" s="78" t="s">
        <v>301</v>
      </c>
      <c r="G40" s="79" t="s">
        <v>483</v>
      </c>
      <c r="H40" s="79">
        <v>43955</v>
      </c>
      <c r="I40" s="77" t="s">
        <v>107</v>
      </c>
      <c r="J40" s="77"/>
      <c r="L40" s="55">
        <v>7</v>
      </c>
      <c r="M40" s="27">
        <v>271449542</v>
      </c>
      <c r="N40" s="28">
        <v>30027</v>
      </c>
    </row>
    <row r="41" spans="1:16" x14ac:dyDescent="0.25">
      <c r="D41" s="27">
        <f>COUNTIF($B$1:B41,"x")</f>
        <v>18</v>
      </c>
      <c r="E41" s="77">
        <f t="shared" si="3"/>
        <v>18</v>
      </c>
      <c r="F41" s="78" t="s">
        <v>123</v>
      </c>
      <c r="G41" s="79">
        <v>44014</v>
      </c>
      <c r="H41" s="79"/>
      <c r="I41" s="77" t="s">
        <v>107</v>
      </c>
      <c r="J41" s="77"/>
      <c r="L41" s="55">
        <f>D41</f>
        <v>18</v>
      </c>
    </row>
    <row r="42" spans="1:16" x14ac:dyDescent="0.25">
      <c r="A42" s="24" t="s">
        <v>107</v>
      </c>
      <c r="D42" s="27">
        <f>COUNTIF($B$1:B42,"x")</f>
        <v>18</v>
      </c>
      <c r="E42" s="77">
        <f t="shared" si="3"/>
        <v>18</v>
      </c>
      <c r="F42" s="78" t="s">
        <v>149</v>
      </c>
      <c r="G42" s="79">
        <v>44014</v>
      </c>
      <c r="H42" s="79"/>
      <c r="I42" s="77" t="s">
        <v>107</v>
      </c>
      <c r="J42" s="77" t="s">
        <v>125</v>
      </c>
      <c r="L42" s="55">
        <f>D42</f>
        <v>18</v>
      </c>
      <c r="N42" s="28">
        <v>30303</v>
      </c>
      <c r="P42" s="26">
        <v>43103</v>
      </c>
    </row>
    <row r="43" spans="1:16" x14ac:dyDescent="0.25">
      <c r="B43" s="55"/>
      <c r="D43" s="27">
        <f>COUNTIF($B$1:B43,"x")</f>
        <v>18</v>
      </c>
      <c r="E43" s="77">
        <f t="shared" si="3"/>
        <v>18</v>
      </c>
      <c r="F43" s="78" t="s">
        <v>109</v>
      </c>
      <c r="G43" s="79">
        <v>44014</v>
      </c>
      <c r="H43" s="79"/>
      <c r="I43" s="77" t="s">
        <v>107</v>
      </c>
      <c r="J43" s="77"/>
      <c r="L43" s="55">
        <f>D43</f>
        <v>18</v>
      </c>
      <c r="M43" s="27" t="s">
        <v>129</v>
      </c>
      <c r="N43" s="27" t="s">
        <v>137</v>
      </c>
      <c r="O43" s="27" t="s">
        <v>217</v>
      </c>
    </row>
    <row r="44" spans="1:16" x14ac:dyDescent="0.25">
      <c r="A44" s="24" t="s">
        <v>107</v>
      </c>
      <c r="B44" s="24" t="s">
        <v>125</v>
      </c>
      <c r="C44" s="24">
        <v>2019</v>
      </c>
      <c r="D44" s="27">
        <f>COUNTIF($B$1:B44,"x")</f>
        <v>19</v>
      </c>
      <c r="E44" s="77">
        <f t="shared" si="3"/>
        <v>19</v>
      </c>
      <c r="F44" s="78" t="s">
        <v>490</v>
      </c>
      <c r="G44" s="79" t="s">
        <v>478</v>
      </c>
      <c r="H44" s="79">
        <v>43955</v>
      </c>
      <c r="I44" s="77" t="s">
        <v>107</v>
      </c>
      <c r="J44" s="77"/>
      <c r="L44" s="55">
        <v>1</v>
      </c>
      <c r="M44" s="27">
        <v>272423855</v>
      </c>
      <c r="N44" s="28">
        <v>34974</v>
      </c>
    </row>
    <row r="45" spans="1:16" x14ac:dyDescent="0.25">
      <c r="A45" s="24" t="s">
        <v>107</v>
      </c>
      <c r="B45" s="55"/>
      <c r="D45" s="27">
        <f>COUNTIF($B$1:B45,"x")</f>
        <v>19</v>
      </c>
      <c r="E45" s="77">
        <f t="shared" si="3"/>
        <v>19</v>
      </c>
      <c r="F45" s="78" t="s">
        <v>300</v>
      </c>
      <c r="G45" s="79">
        <v>44014</v>
      </c>
      <c r="H45" s="79"/>
      <c r="I45" s="77" t="s">
        <v>107</v>
      </c>
      <c r="J45" s="77" t="s">
        <v>125</v>
      </c>
      <c r="L45" s="55">
        <f>D45</f>
        <v>19</v>
      </c>
      <c r="M45" s="27">
        <v>271380486</v>
      </c>
      <c r="N45" s="28">
        <v>30730</v>
      </c>
    </row>
    <row r="46" spans="1:16" x14ac:dyDescent="0.25">
      <c r="B46" s="55"/>
      <c r="D46" s="27">
        <f>COUNTIF($B$1:B46,"x")</f>
        <v>19</v>
      </c>
      <c r="E46" s="77">
        <f t="shared" si="3"/>
        <v>19</v>
      </c>
      <c r="F46" s="78" t="s">
        <v>110</v>
      </c>
      <c r="G46" s="79">
        <v>44014</v>
      </c>
      <c r="H46" s="79"/>
      <c r="I46" s="77" t="s">
        <v>107</v>
      </c>
      <c r="J46" s="77"/>
      <c r="L46" s="55">
        <f>D46</f>
        <v>19</v>
      </c>
      <c r="M46" s="27">
        <v>271235673</v>
      </c>
      <c r="N46" s="28">
        <v>26845</v>
      </c>
      <c r="O46" s="27" t="s">
        <v>217</v>
      </c>
    </row>
    <row r="47" spans="1:16" x14ac:dyDescent="0.25">
      <c r="D47" s="27">
        <f>COUNTIF($B$1:B47,"x")</f>
        <v>19</v>
      </c>
      <c r="E47" s="77">
        <f t="shared" si="3"/>
        <v>19</v>
      </c>
      <c r="F47" s="78" t="s">
        <v>117</v>
      </c>
      <c r="G47" s="79">
        <v>44014</v>
      </c>
      <c r="H47" s="79"/>
      <c r="I47" s="77" t="s">
        <v>107</v>
      </c>
      <c r="J47" s="77"/>
      <c r="L47" s="55">
        <f>D47</f>
        <v>19</v>
      </c>
    </row>
    <row r="48" spans="1:16" x14ac:dyDescent="0.25">
      <c r="D48" s="27">
        <f>COUNTIF($B$1:B48,"x")</f>
        <v>19</v>
      </c>
      <c r="E48" s="77">
        <f t="shared" si="3"/>
        <v>19</v>
      </c>
      <c r="F48" s="78" t="s">
        <v>124</v>
      </c>
      <c r="G48" s="79">
        <v>44014</v>
      </c>
      <c r="H48" s="79"/>
      <c r="I48" s="77" t="s">
        <v>107</v>
      </c>
      <c r="J48" s="77"/>
      <c r="L48" s="55">
        <f>D48</f>
        <v>19</v>
      </c>
    </row>
    <row r="49" spans="1:16" x14ac:dyDescent="0.25">
      <c r="A49" s="24" t="s">
        <v>107</v>
      </c>
      <c r="B49" s="24" t="s">
        <v>125</v>
      </c>
      <c r="C49" s="24">
        <v>2019</v>
      </c>
      <c r="D49" s="27">
        <f>COUNTIF($B$1:B49,"x")</f>
        <v>20</v>
      </c>
      <c r="E49" s="77">
        <f t="shared" si="3"/>
        <v>20</v>
      </c>
      <c r="F49" s="78" t="s">
        <v>480</v>
      </c>
      <c r="G49" s="79" t="s">
        <v>478</v>
      </c>
      <c r="H49" s="79">
        <v>43955</v>
      </c>
      <c r="I49" s="77" t="s">
        <v>107</v>
      </c>
      <c r="J49" s="77"/>
      <c r="L49" s="55">
        <v>2</v>
      </c>
      <c r="M49" s="27">
        <v>272352958</v>
      </c>
      <c r="N49" s="28">
        <v>34281</v>
      </c>
    </row>
    <row r="50" spans="1:16" x14ac:dyDescent="0.25">
      <c r="A50" s="24" t="s">
        <v>447</v>
      </c>
      <c r="B50" s="24" t="s">
        <v>125</v>
      </c>
      <c r="C50" s="24">
        <v>2016</v>
      </c>
      <c r="E50" s="77">
        <f t="shared" si="3"/>
        <v>0</v>
      </c>
      <c r="F50" s="125" t="s">
        <v>465</v>
      </c>
      <c r="G50" s="125"/>
      <c r="H50" s="125"/>
      <c r="I50" s="125" t="s">
        <v>147</v>
      </c>
      <c r="J50" s="125"/>
      <c r="M50" s="27">
        <v>272236579</v>
      </c>
      <c r="N50" s="28">
        <v>33442</v>
      </c>
    </row>
    <row r="51" spans="1:16" x14ac:dyDescent="0.25">
      <c r="A51" s="24" t="s">
        <v>107</v>
      </c>
      <c r="D51" s="27">
        <f>COUNTIF($B$1:B51,"x")</f>
        <v>21</v>
      </c>
      <c r="E51" s="77">
        <f t="shared" si="3"/>
        <v>21</v>
      </c>
      <c r="F51" s="78" t="s">
        <v>455</v>
      </c>
      <c r="G51" s="79">
        <v>44014</v>
      </c>
      <c r="H51" s="79"/>
      <c r="I51" s="77"/>
      <c r="J51" s="77" t="s">
        <v>125</v>
      </c>
      <c r="L51" s="55">
        <f>D51</f>
        <v>21</v>
      </c>
      <c r="N51" s="28">
        <v>27534</v>
      </c>
    </row>
    <row r="52" spans="1:16" x14ac:dyDescent="0.25">
      <c r="A52" s="24" t="s">
        <v>548</v>
      </c>
      <c r="D52" s="27">
        <f>COUNTIF($B$1:B52,"x")</f>
        <v>21</v>
      </c>
      <c r="E52" s="77"/>
      <c r="F52" s="78" t="s">
        <v>307</v>
      </c>
      <c r="G52" s="79"/>
      <c r="H52" s="79"/>
      <c r="I52" s="77" t="s">
        <v>547</v>
      </c>
      <c r="J52" s="77"/>
      <c r="L52" s="55"/>
      <c r="N52" s="28">
        <v>29541</v>
      </c>
    </row>
    <row r="53" spans="1:16" x14ac:dyDescent="0.25">
      <c r="A53" s="24" t="s">
        <v>447</v>
      </c>
      <c r="B53" s="24" t="s">
        <v>125</v>
      </c>
      <c r="C53" s="24">
        <v>2012</v>
      </c>
      <c r="D53" s="27">
        <v>2</v>
      </c>
      <c r="E53" s="77">
        <f>D53</f>
        <v>2</v>
      </c>
      <c r="F53" s="78" t="s">
        <v>146</v>
      </c>
      <c r="G53" s="79"/>
      <c r="H53" s="79"/>
      <c r="I53" s="77" t="s">
        <v>148</v>
      </c>
      <c r="J53" s="77"/>
      <c r="L53" s="55"/>
      <c r="N53" s="28">
        <v>29692</v>
      </c>
      <c r="O53" s="27" t="s">
        <v>217</v>
      </c>
      <c r="P53" s="26">
        <v>41396</v>
      </c>
    </row>
    <row r="54" spans="1:16" x14ac:dyDescent="0.25">
      <c r="A54" s="24" t="s">
        <v>107</v>
      </c>
      <c r="D54" s="27">
        <f>COUNTIF($B$1:B54,"x")</f>
        <v>22</v>
      </c>
      <c r="E54" s="77">
        <f>D54</f>
        <v>22</v>
      </c>
      <c r="F54" s="78" t="s">
        <v>456</v>
      </c>
      <c r="G54" s="79">
        <v>44014</v>
      </c>
      <c r="H54" s="79"/>
      <c r="I54" s="77"/>
      <c r="J54" s="77" t="s">
        <v>125</v>
      </c>
      <c r="L54" s="55">
        <f>D54</f>
        <v>22</v>
      </c>
      <c r="N54" s="28">
        <v>30596</v>
      </c>
    </row>
    <row r="60" spans="1:16" x14ac:dyDescent="0.25">
      <c r="C60" s="24" t="s">
        <v>303</v>
      </c>
    </row>
    <row r="61" spans="1:16" x14ac:dyDescent="0.25">
      <c r="C61" s="24" t="s">
        <v>122</v>
      </c>
    </row>
    <row r="62" spans="1:16" x14ac:dyDescent="0.25">
      <c r="C62" s="24" t="s">
        <v>301</v>
      </c>
    </row>
    <row r="63" spans="1:16" x14ac:dyDescent="0.25">
      <c r="C63" s="24" t="s">
        <v>493</v>
      </c>
    </row>
    <row r="64" spans="1:16" x14ac:dyDescent="0.25">
      <c r="C64" s="24" t="s">
        <v>487</v>
      </c>
    </row>
    <row r="65" spans="3:3" x14ac:dyDescent="0.25">
      <c r="C65" s="24" t="s">
        <v>496</v>
      </c>
    </row>
    <row r="66" spans="3:3" x14ac:dyDescent="0.25">
      <c r="C66" s="24" t="s">
        <v>491</v>
      </c>
    </row>
    <row r="67" spans="3:3" x14ac:dyDescent="0.25">
      <c r="C67" s="24" t="s">
        <v>116</v>
      </c>
    </row>
    <row r="68" spans="3:3" x14ac:dyDescent="0.25">
      <c r="C68" s="24" t="s">
        <v>492</v>
      </c>
    </row>
    <row r="69" spans="3:3" x14ac:dyDescent="0.25">
      <c r="C69" s="24" t="s">
        <v>486</v>
      </c>
    </row>
    <row r="70" spans="3:3" x14ac:dyDescent="0.25">
      <c r="C70" s="24" t="s">
        <v>485</v>
      </c>
    </row>
    <row r="71" spans="3:3" x14ac:dyDescent="0.25">
      <c r="C71" s="24" t="s">
        <v>482</v>
      </c>
    </row>
    <row r="72" spans="3:3" x14ac:dyDescent="0.25">
      <c r="C72" s="24" t="s">
        <v>481</v>
      </c>
    </row>
    <row r="73" spans="3:3" x14ac:dyDescent="0.25">
      <c r="C73" s="24" t="s">
        <v>495</v>
      </c>
    </row>
    <row r="74" spans="3:3" x14ac:dyDescent="0.25">
      <c r="C74" s="24" t="s">
        <v>494</v>
      </c>
    </row>
    <row r="75" spans="3:3" x14ac:dyDescent="0.25">
      <c r="C75" s="24" t="s">
        <v>489</v>
      </c>
    </row>
    <row r="76" spans="3:3" x14ac:dyDescent="0.25">
      <c r="C76" s="24" t="s">
        <v>497</v>
      </c>
    </row>
    <row r="77" spans="3:3" x14ac:dyDescent="0.25">
      <c r="C77" s="24" t="s">
        <v>475</v>
      </c>
    </row>
    <row r="78" spans="3:3" x14ac:dyDescent="0.25">
      <c r="C78" s="24" t="s">
        <v>490</v>
      </c>
    </row>
    <row r="79" spans="3:3" x14ac:dyDescent="0.25">
      <c r="C79" s="24" t="s">
        <v>480</v>
      </c>
    </row>
  </sheetData>
  <autoFilter ref="A1:W54"/>
  <conditionalFormatting sqref="F7">
    <cfRule type="duplicateValues" dxfId="5" priority="3"/>
  </conditionalFormatting>
  <conditionalFormatting sqref="F52:F53">
    <cfRule type="duplicateValues" dxfId="4" priority="2"/>
  </conditionalFormatting>
  <conditionalFormatting sqref="F54">
    <cfRule type="duplicateValues" dxfId="3" priority="1"/>
  </conditionalFormatting>
  <conditionalFormatting sqref="F55:F1048576 F8:F51 F1:F6">
    <cfRule type="duplicateValues" dxfId="2"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C1" workbookViewId="0">
      <selection activeCell="E9" sqref="E9"/>
    </sheetView>
  </sheetViews>
  <sheetFormatPr defaultRowHeight="15" x14ac:dyDescent="0.25"/>
  <cols>
    <col min="3" max="3" width="22.28515625" bestFit="1" customWidth="1"/>
    <col min="5" max="5" width="16.140625" bestFit="1" customWidth="1"/>
    <col min="6" max="6" width="19.5703125" style="60" customWidth="1"/>
    <col min="7" max="7" width="19" bestFit="1" customWidth="1"/>
    <col min="9" max="9" width="50.28515625" bestFit="1" customWidth="1"/>
    <col min="10" max="10" width="16.85546875" bestFit="1" customWidth="1"/>
    <col min="12" max="15" width="16.5703125" customWidth="1"/>
  </cols>
  <sheetData>
    <row r="1" spans="2:15" ht="66" x14ac:dyDescent="0.25">
      <c r="B1" s="62" t="s">
        <v>159</v>
      </c>
      <c r="C1" s="62" t="s">
        <v>200</v>
      </c>
      <c r="D1" s="62" t="s">
        <v>201</v>
      </c>
      <c r="E1" s="134" t="s">
        <v>202</v>
      </c>
      <c r="F1" s="134"/>
      <c r="G1" s="62" t="s">
        <v>203</v>
      </c>
      <c r="I1" t="s">
        <v>532</v>
      </c>
      <c r="J1" s="101">
        <v>3500000000</v>
      </c>
    </row>
    <row r="2" spans="2:15" ht="15.75" x14ac:dyDescent="0.25">
      <c r="B2" s="135" t="s">
        <v>204</v>
      </c>
      <c r="C2" s="136" t="s">
        <v>205</v>
      </c>
      <c r="D2" s="63" t="s">
        <v>197</v>
      </c>
      <c r="E2" s="64">
        <v>15088341255</v>
      </c>
      <c r="F2" s="65"/>
      <c r="G2" s="65"/>
      <c r="I2" t="s">
        <v>515</v>
      </c>
      <c r="J2" t="s">
        <v>516</v>
      </c>
    </row>
    <row r="3" spans="2:15" ht="15.75" x14ac:dyDescent="0.25">
      <c r="B3" s="135"/>
      <c r="C3" s="136"/>
      <c r="D3" s="63" t="s">
        <v>198</v>
      </c>
      <c r="E3" s="64">
        <v>12207349547</v>
      </c>
      <c r="F3" s="65"/>
      <c r="G3" s="65"/>
      <c r="I3" t="s">
        <v>520</v>
      </c>
      <c r="J3" s="98" t="s">
        <v>518</v>
      </c>
    </row>
    <row r="4" spans="2:15" ht="15.75" x14ac:dyDescent="0.25">
      <c r="B4" s="135"/>
      <c r="C4" s="136"/>
      <c r="D4" s="63" t="s">
        <v>199</v>
      </c>
      <c r="E4" s="64">
        <v>24336597873</v>
      </c>
      <c r="F4" s="65"/>
      <c r="I4" t="s">
        <v>521</v>
      </c>
      <c r="J4" s="98" t="s">
        <v>517</v>
      </c>
      <c r="L4" t="s">
        <v>217</v>
      </c>
    </row>
    <row r="5" spans="2:15" ht="15.75" x14ac:dyDescent="0.25">
      <c r="B5" s="66"/>
      <c r="C5" s="66"/>
      <c r="D5" s="67">
        <v>2019</v>
      </c>
      <c r="E5" s="64">
        <v>12985343471</v>
      </c>
      <c r="F5" s="68"/>
      <c r="G5" s="65">
        <f>AVERAGE(E3,E4,E5)</f>
        <v>16509763630.333334</v>
      </c>
      <c r="I5">
        <v>2007</v>
      </c>
      <c r="J5" s="99" t="s">
        <v>519</v>
      </c>
      <c r="L5" t="s">
        <v>522</v>
      </c>
    </row>
    <row r="6" spans="2:15" x14ac:dyDescent="0.25">
      <c r="E6" s="60"/>
      <c r="I6" t="s">
        <v>404</v>
      </c>
    </row>
    <row r="7" spans="2:15" x14ac:dyDescent="0.25">
      <c r="B7" t="s">
        <v>201</v>
      </c>
      <c r="C7" t="s">
        <v>349</v>
      </c>
      <c r="D7" t="s">
        <v>350</v>
      </c>
      <c r="E7" t="s">
        <v>351</v>
      </c>
    </row>
    <row r="8" spans="2:15" ht="63" x14ac:dyDescent="0.25">
      <c r="B8">
        <v>2017</v>
      </c>
      <c r="C8" t="s">
        <v>352</v>
      </c>
      <c r="D8" t="s">
        <v>353</v>
      </c>
      <c r="E8" t="s">
        <v>354</v>
      </c>
      <c r="I8" s="54" t="s">
        <v>309</v>
      </c>
      <c r="J8" s="54" t="s">
        <v>310</v>
      </c>
      <c r="K8" s="54" t="s">
        <v>105</v>
      </c>
      <c r="L8" s="54" t="s">
        <v>311</v>
      </c>
      <c r="M8" s="54" t="s">
        <v>312</v>
      </c>
      <c r="N8" s="54" t="s">
        <v>313</v>
      </c>
      <c r="O8" s="54" t="s">
        <v>311</v>
      </c>
    </row>
    <row r="9" spans="2:15" ht="75" x14ac:dyDescent="0.25">
      <c r="B9">
        <v>2018</v>
      </c>
      <c r="C9" t="s">
        <v>355</v>
      </c>
      <c r="D9" t="s">
        <v>356</v>
      </c>
      <c r="E9" t="s">
        <v>357</v>
      </c>
      <c r="I9" s="1" t="s">
        <v>304</v>
      </c>
      <c r="J9" s="1" t="s">
        <v>305</v>
      </c>
      <c r="K9" s="1" t="s">
        <v>306</v>
      </c>
      <c r="L9" s="124" t="s">
        <v>637</v>
      </c>
      <c r="M9" s="1" t="s">
        <v>638</v>
      </c>
      <c r="N9" s="1" t="s">
        <v>308</v>
      </c>
      <c r="O9" s="1" t="s">
        <v>314</v>
      </c>
    </row>
    <row r="10" spans="2:15" ht="14.45" x14ac:dyDescent="0.3">
      <c r="B10">
        <v>2019</v>
      </c>
      <c r="C10" t="s">
        <v>348</v>
      </c>
      <c r="D10" t="s">
        <v>358</v>
      </c>
      <c r="E10" t="s">
        <v>359</v>
      </c>
    </row>
  </sheetData>
  <mergeCells count="3">
    <mergeCell ref="E1:F1"/>
    <mergeCell ref="B2:B4"/>
    <mergeCell ref="C2:C4"/>
  </mergeCells>
  <phoneticPr fontId="19" type="noConversion"/>
  <hyperlinks>
    <hyperlink ref="J5" r:id="rId1"/>
    <hyperlink ref="L9"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activeCell="G6" sqref="G6"/>
    </sheetView>
  </sheetViews>
  <sheetFormatPr defaultRowHeight="15" x14ac:dyDescent="0.25"/>
  <cols>
    <col min="1" max="1" width="18.140625" customWidth="1"/>
    <col min="2" max="2" width="48.28515625" customWidth="1"/>
    <col min="3" max="3" width="16.42578125" customWidth="1"/>
    <col min="4" max="4" width="12.140625" style="88" bestFit="1" customWidth="1"/>
    <col min="5" max="5" width="27.28515625" customWidth="1"/>
    <col min="6" max="6" width="19.7109375" customWidth="1"/>
    <col min="7" max="7" width="16" customWidth="1"/>
    <col min="8" max="8" width="12.7109375" style="72" customWidth="1"/>
    <col min="9" max="9" width="45.42578125" customWidth="1"/>
    <col min="10" max="10" width="21.7109375" customWidth="1"/>
  </cols>
  <sheetData>
    <row r="1" spans="1:10" s="58" customFormat="1" ht="30" x14ac:dyDescent="0.25">
      <c r="A1" s="86">
        <f>SUMIF(A2:A21,"x",F2:F21)</f>
        <v>1740168722</v>
      </c>
      <c r="B1" s="58" t="s">
        <v>338</v>
      </c>
      <c r="C1" s="58" t="s">
        <v>670</v>
      </c>
      <c r="D1" s="87" t="s">
        <v>339</v>
      </c>
      <c r="E1" s="58" t="s">
        <v>192</v>
      </c>
      <c r="F1" s="58" t="s">
        <v>340</v>
      </c>
      <c r="G1" s="58" t="s">
        <v>344</v>
      </c>
      <c r="H1" s="133" t="s">
        <v>341</v>
      </c>
      <c r="I1" s="58" t="s">
        <v>342</v>
      </c>
      <c r="J1" s="58" t="s">
        <v>343</v>
      </c>
    </row>
    <row r="2" spans="1:10" x14ac:dyDescent="0.25">
      <c r="A2" t="s">
        <v>125</v>
      </c>
      <c r="B2" t="s">
        <v>316</v>
      </c>
      <c r="D2" s="88" t="s">
        <v>317</v>
      </c>
      <c r="E2" s="59" t="s">
        <v>345</v>
      </c>
      <c r="F2">
        <v>1740168722</v>
      </c>
      <c r="G2">
        <v>1640251089</v>
      </c>
      <c r="H2" s="72" t="s">
        <v>318</v>
      </c>
      <c r="I2" t="s">
        <v>319</v>
      </c>
      <c r="J2" t="s">
        <v>320</v>
      </c>
    </row>
    <row r="3" spans="1:10" x14ac:dyDescent="0.25">
      <c r="B3" t="s">
        <v>326</v>
      </c>
      <c r="D3" s="88" t="s">
        <v>327</v>
      </c>
      <c r="E3" s="59" t="s">
        <v>345</v>
      </c>
      <c r="F3">
        <v>1179998336</v>
      </c>
      <c r="G3">
        <v>1133019615</v>
      </c>
      <c r="H3" s="72" t="s">
        <v>328</v>
      </c>
      <c r="I3" t="s">
        <v>329</v>
      </c>
      <c r="J3" t="s">
        <v>330</v>
      </c>
    </row>
    <row r="4" spans="1:10" x14ac:dyDescent="0.25">
      <c r="B4" t="s">
        <v>331</v>
      </c>
      <c r="D4" s="88" t="s">
        <v>327</v>
      </c>
      <c r="E4" s="59" t="s">
        <v>345</v>
      </c>
      <c r="F4">
        <v>1327002420</v>
      </c>
      <c r="G4">
        <v>1276052117</v>
      </c>
      <c r="H4" s="72" t="s">
        <v>328</v>
      </c>
      <c r="I4" t="s">
        <v>332</v>
      </c>
      <c r="J4" t="s">
        <v>333</v>
      </c>
    </row>
    <row r="5" spans="1:10" x14ac:dyDescent="0.25">
      <c r="B5" t="s">
        <v>334</v>
      </c>
      <c r="D5" s="88" t="s">
        <v>322</v>
      </c>
      <c r="E5" s="59" t="s">
        <v>345</v>
      </c>
      <c r="F5">
        <v>1419238697</v>
      </c>
      <c r="G5">
        <v>1374255938</v>
      </c>
      <c r="H5" s="72" t="s">
        <v>335</v>
      </c>
      <c r="I5" t="s">
        <v>336</v>
      </c>
      <c r="J5" t="s">
        <v>337</v>
      </c>
    </row>
    <row r="6" spans="1:10" x14ac:dyDescent="0.25">
      <c r="B6" t="s">
        <v>321</v>
      </c>
      <c r="D6" s="88" t="s">
        <v>322</v>
      </c>
      <c r="E6" s="59" t="s">
        <v>345</v>
      </c>
      <c r="F6">
        <v>3160636128</v>
      </c>
      <c r="G6">
        <v>3043578216</v>
      </c>
      <c r="H6" s="72" t="s">
        <v>323</v>
      </c>
      <c r="I6" t="s">
        <v>324</v>
      </c>
      <c r="J6" t="s">
        <v>325</v>
      </c>
    </row>
    <row r="7" spans="1:10" x14ac:dyDescent="0.25">
      <c r="B7" t="s">
        <v>498</v>
      </c>
      <c r="D7" s="89">
        <v>42670</v>
      </c>
      <c r="E7" s="59" t="s">
        <v>499</v>
      </c>
      <c r="F7">
        <v>1617638971</v>
      </c>
      <c r="G7">
        <v>1616740713</v>
      </c>
      <c r="H7" s="72">
        <v>42725</v>
      </c>
      <c r="I7" t="s">
        <v>500</v>
      </c>
      <c r="J7" t="s">
        <v>325</v>
      </c>
    </row>
    <row r="12" spans="1:10" ht="14.45" x14ac:dyDescent="0.3">
      <c r="I12">
        <v>1640251089</v>
      </c>
    </row>
    <row r="13" spans="1:10" ht="14.45" x14ac:dyDescent="0.3">
      <c r="I13">
        <v>1374255938</v>
      </c>
    </row>
    <row r="14" spans="1:10" ht="14.45" x14ac:dyDescent="0.3">
      <c r="I14">
        <v>3043578216</v>
      </c>
    </row>
    <row r="15" spans="1:10" ht="14.45" x14ac:dyDescent="0.3">
      <c r="I15">
        <v>1133019615</v>
      </c>
    </row>
    <row r="16" spans="1:10" ht="14.45" x14ac:dyDescent="0.3">
      <c r="I16">
        <v>1276052117</v>
      </c>
    </row>
    <row r="17" spans="4:4" ht="14.45" x14ac:dyDescent="0.3">
      <c r="D17" s="90"/>
    </row>
    <row r="18" spans="4:4" ht="14.45" x14ac:dyDescent="0.3">
      <c r="D18" s="90"/>
    </row>
    <row r="19" spans="4:4" ht="14.45" x14ac:dyDescent="0.3">
      <c r="D19" s="90"/>
    </row>
    <row r="20" spans="4:4" ht="14.45" x14ac:dyDescent="0.3">
      <c r="D20" s="90"/>
    </row>
    <row r="21" spans="4:4" ht="14.45" x14ac:dyDescent="0.3">
      <c r="D21" s="90"/>
    </row>
  </sheetData>
  <autoFilter ref="A1:J21"/>
  <conditionalFormatting sqref="H1:H1048576">
    <cfRule type="cellIs" dxfId="1" priority="1" operator="between">
      <formula>1</formula>
      <formula>"today()-365*3"</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42"/>
  <sheetViews>
    <sheetView workbookViewId="0">
      <selection activeCell="N22" sqref="N22"/>
    </sheetView>
  </sheetViews>
  <sheetFormatPr defaultRowHeight="15" x14ac:dyDescent="0.25"/>
  <cols>
    <col min="5" max="5" width="23" bestFit="1" customWidth="1"/>
  </cols>
  <sheetData>
    <row r="1" spans="4:9" x14ac:dyDescent="0.25">
      <c r="D1" t="s">
        <v>171</v>
      </c>
      <c r="E1" t="s">
        <v>464</v>
      </c>
      <c r="F1" t="s">
        <v>533</v>
      </c>
      <c r="G1" t="s">
        <v>534</v>
      </c>
      <c r="H1" t="s">
        <v>535</v>
      </c>
      <c r="I1" t="s">
        <v>536</v>
      </c>
    </row>
    <row r="2" spans="4:9" x14ac:dyDescent="0.25">
      <c r="D2">
        <f>IFERROR(VLOOKUP(E2,NhanSu!F:L,6,0),0)</f>
        <v>0</v>
      </c>
      <c r="E2" t="s">
        <v>493</v>
      </c>
      <c r="F2" t="s">
        <v>107</v>
      </c>
      <c r="G2">
        <v>212143221</v>
      </c>
      <c r="H2" s="72">
        <v>29696</v>
      </c>
      <c r="I2" t="s">
        <v>107</v>
      </c>
    </row>
    <row r="3" spans="4:9" x14ac:dyDescent="0.25">
      <c r="D3">
        <f>IFERROR(VLOOKUP(E3,NhanSu!F:L,6,0),0)</f>
        <v>0</v>
      </c>
      <c r="E3" t="s">
        <v>487</v>
      </c>
      <c r="F3" t="s">
        <v>107</v>
      </c>
      <c r="G3">
        <v>272696072</v>
      </c>
      <c r="H3" s="72">
        <v>36242</v>
      </c>
      <c r="I3" t="s">
        <v>107</v>
      </c>
    </row>
    <row r="4" spans="4:9" x14ac:dyDescent="0.25">
      <c r="D4">
        <f>IFERROR(VLOOKUP(E4,NhanSu!F:L,6,0),0)</f>
        <v>0</v>
      </c>
      <c r="E4" t="s">
        <v>303</v>
      </c>
      <c r="F4" t="s">
        <v>107</v>
      </c>
      <c r="G4">
        <v>272396568</v>
      </c>
      <c r="H4" s="72">
        <v>34970</v>
      </c>
      <c r="I4" t="s">
        <v>107</v>
      </c>
    </row>
    <row r="5" spans="4:9" x14ac:dyDescent="0.25">
      <c r="D5">
        <f>IFERROR(VLOOKUP(E5,NhanSu!F:L,6,0),0)</f>
        <v>0</v>
      </c>
      <c r="E5" t="s">
        <v>300</v>
      </c>
      <c r="F5" t="s">
        <v>107</v>
      </c>
      <c r="G5">
        <v>271380486</v>
      </c>
      <c r="H5" s="72">
        <v>29587</v>
      </c>
      <c r="I5" t="s">
        <v>107</v>
      </c>
    </row>
    <row r="6" spans="4:9" x14ac:dyDescent="0.25">
      <c r="D6">
        <f>IFERROR(VLOOKUP(E6,NhanSu!F:L,6,0),0)</f>
        <v>0</v>
      </c>
      <c r="E6" t="s">
        <v>112</v>
      </c>
      <c r="F6" t="s">
        <v>107</v>
      </c>
      <c r="G6">
        <v>271430448</v>
      </c>
      <c r="H6" s="72">
        <v>29460</v>
      </c>
      <c r="I6" t="s">
        <v>537</v>
      </c>
    </row>
    <row r="7" spans="4:9" x14ac:dyDescent="0.25">
      <c r="D7">
        <f>IFERROR(VLOOKUP(E7,NhanSu!F:L,6,0),0)</f>
        <v>0</v>
      </c>
      <c r="E7" t="s">
        <v>108</v>
      </c>
      <c r="F7" t="s">
        <v>107</v>
      </c>
      <c r="G7">
        <v>270983407</v>
      </c>
      <c r="H7" s="72">
        <v>26037</v>
      </c>
      <c r="I7" t="s">
        <v>537</v>
      </c>
    </row>
    <row r="8" spans="4:9" x14ac:dyDescent="0.25">
      <c r="D8">
        <f>IFERROR(VLOOKUP(E8,NhanSu!F:L,6,0),0)</f>
        <v>0</v>
      </c>
      <c r="E8" t="s">
        <v>134</v>
      </c>
      <c r="F8" t="s">
        <v>538</v>
      </c>
      <c r="G8">
        <v>271285313</v>
      </c>
      <c r="H8" s="72">
        <v>28333</v>
      </c>
      <c r="I8" t="s">
        <v>539</v>
      </c>
    </row>
    <row r="9" spans="4:9" x14ac:dyDescent="0.25">
      <c r="D9">
        <f>IFERROR(VLOOKUP(E9,NhanSu!F:L,6,0),0)</f>
        <v>0</v>
      </c>
      <c r="E9" t="s">
        <v>467</v>
      </c>
      <c r="F9" t="s">
        <v>538</v>
      </c>
      <c r="G9">
        <v>271485073</v>
      </c>
      <c r="H9" s="72">
        <v>29601</v>
      </c>
      <c r="I9" t="s">
        <v>539</v>
      </c>
    </row>
    <row r="10" spans="4:9" x14ac:dyDescent="0.25">
      <c r="D10">
        <f>IFERROR(VLOOKUP(E10,NhanSu!F:L,6,0),0)</f>
        <v>0</v>
      </c>
      <c r="E10" t="s">
        <v>454</v>
      </c>
      <c r="F10" t="s">
        <v>538</v>
      </c>
      <c r="G10">
        <v>271316993</v>
      </c>
      <c r="H10" s="72">
        <v>29130</v>
      </c>
      <c r="I10" t="s">
        <v>539</v>
      </c>
    </row>
    <row r="11" spans="4:9" x14ac:dyDescent="0.25">
      <c r="D11">
        <f>IFERROR(VLOOKUP(E11,NhanSu!F:L,6,0),0)</f>
        <v>0</v>
      </c>
      <c r="E11" t="s">
        <v>150</v>
      </c>
      <c r="F11" t="s">
        <v>538</v>
      </c>
      <c r="G11">
        <v>271483902</v>
      </c>
      <c r="H11" s="72">
        <v>29749</v>
      </c>
      <c r="I11" t="s">
        <v>539</v>
      </c>
    </row>
    <row r="12" spans="4:9" x14ac:dyDescent="0.25">
      <c r="D12">
        <f>IFERROR(VLOOKUP(E12,NhanSu!F:L,6,0),0)</f>
        <v>0</v>
      </c>
      <c r="E12" t="s">
        <v>496</v>
      </c>
      <c r="F12">
        <v>272282903</v>
      </c>
      <c r="G12" s="72">
        <v>33816</v>
      </c>
      <c r="H12" t="s">
        <v>107</v>
      </c>
    </row>
    <row r="13" spans="4:9" x14ac:dyDescent="0.25">
      <c r="D13">
        <f>IFERROR(VLOOKUP(E13,NhanSu!F:L,6,0),0)</f>
        <v>0</v>
      </c>
      <c r="E13" t="s">
        <v>491</v>
      </c>
      <c r="F13" t="s">
        <v>107</v>
      </c>
      <c r="G13">
        <v>272556665</v>
      </c>
      <c r="H13" s="72">
        <v>35580</v>
      </c>
      <c r="I13" t="s">
        <v>107</v>
      </c>
    </row>
    <row r="14" spans="4:9" x14ac:dyDescent="0.25">
      <c r="D14">
        <f>IFERROR(VLOOKUP(E14,NhanSu!F:L,6,0),0)</f>
        <v>0</v>
      </c>
      <c r="E14" t="s">
        <v>481</v>
      </c>
      <c r="F14" t="s">
        <v>107</v>
      </c>
      <c r="G14">
        <v>272556713</v>
      </c>
      <c r="H14" s="72">
        <v>35884</v>
      </c>
      <c r="I14" t="s">
        <v>107</v>
      </c>
    </row>
    <row r="15" spans="4:9" x14ac:dyDescent="0.25">
      <c r="D15">
        <f>IFERROR(VLOOKUP(E15,NhanSu!F:L,6,0),0)</f>
        <v>0</v>
      </c>
      <c r="E15" t="s">
        <v>116</v>
      </c>
      <c r="F15" t="s">
        <v>107</v>
      </c>
      <c r="G15">
        <v>271728653</v>
      </c>
      <c r="H15" s="72">
        <v>31088</v>
      </c>
      <c r="I15" t="s">
        <v>107</v>
      </c>
    </row>
    <row r="16" spans="4:9" x14ac:dyDescent="0.25">
      <c r="D16">
        <f>IFERROR(VLOOKUP(E16,NhanSu!F:L,6,0),0)</f>
        <v>0</v>
      </c>
      <c r="E16" t="s">
        <v>346</v>
      </c>
      <c r="F16" t="s">
        <v>107</v>
      </c>
      <c r="G16">
        <v>271475064</v>
      </c>
      <c r="H16" s="72">
        <v>30193</v>
      </c>
      <c r="I16" t="s">
        <v>107</v>
      </c>
    </row>
    <row r="17" spans="4:10" x14ac:dyDescent="0.25">
      <c r="D17">
        <f>IFERROR(VLOOKUP(E17,NhanSu!F:L,6,0),0)</f>
        <v>0</v>
      </c>
      <c r="E17" t="s">
        <v>114</v>
      </c>
      <c r="F17" t="s">
        <v>107</v>
      </c>
      <c r="G17">
        <v>271772123</v>
      </c>
      <c r="H17" s="72">
        <v>32228</v>
      </c>
      <c r="I17" t="s">
        <v>537</v>
      </c>
    </row>
    <row r="18" spans="4:10" x14ac:dyDescent="0.25">
      <c r="D18">
        <f>IFERROR(VLOOKUP(E18,NhanSu!F:L,6,0),0)</f>
        <v>0</v>
      </c>
      <c r="E18" t="s">
        <v>113</v>
      </c>
      <c r="F18" t="s">
        <v>107</v>
      </c>
      <c r="G18">
        <v>271149270</v>
      </c>
      <c r="H18" s="72">
        <v>27706</v>
      </c>
      <c r="I18" t="s">
        <v>537</v>
      </c>
    </row>
    <row r="19" spans="4:10" x14ac:dyDescent="0.25">
      <c r="D19">
        <f>IFERROR(VLOOKUP(E19,NhanSu!F:L,6,0),0)</f>
        <v>0</v>
      </c>
      <c r="E19" t="s">
        <v>111</v>
      </c>
      <c r="F19" t="s">
        <v>107</v>
      </c>
      <c r="G19">
        <v>271577771</v>
      </c>
      <c r="H19" s="72">
        <v>30671</v>
      </c>
      <c r="I19" t="s">
        <v>537</v>
      </c>
    </row>
    <row r="20" spans="4:10" x14ac:dyDescent="0.25">
      <c r="D20">
        <f>IFERROR(VLOOKUP(E20,NhanSu!F:L,6,0),0)</f>
        <v>0</v>
      </c>
      <c r="E20" t="s">
        <v>456</v>
      </c>
      <c r="F20" t="s">
        <v>538</v>
      </c>
      <c r="G20">
        <v>214523467</v>
      </c>
      <c r="H20" s="72">
        <v>30596</v>
      </c>
      <c r="I20" t="s">
        <v>539</v>
      </c>
    </row>
    <row r="21" spans="4:10" x14ac:dyDescent="0.25">
      <c r="D21">
        <f>IFERROR(VLOOKUP(E21,NhanSu!F:L,6,0),0)</f>
        <v>0</v>
      </c>
      <c r="E21" t="s">
        <v>455</v>
      </c>
      <c r="F21" t="s">
        <v>538</v>
      </c>
      <c r="G21">
        <v>271172296</v>
      </c>
      <c r="H21" s="72">
        <v>27534</v>
      </c>
      <c r="I21" t="s">
        <v>539</v>
      </c>
    </row>
    <row r="22" spans="4:10" x14ac:dyDescent="0.25">
      <c r="D22">
        <f>IFERROR(VLOOKUP(E22,NhanSu!F:L,6,0),0)</f>
        <v>0</v>
      </c>
      <c r="E22" t="s">
        <v>492</v>
      </c>
      <c r="F22" t="s">
        <v>107</v>
      </c>
      <c r="G22">
        <v>271285473</v>
      </c>
      <c r="H22" s="72">
        <v>27567</v>
      </c>
      <c r="I22" s="72" t="s">
        <v>107</v>
      </c>
      <c r="J22" t="s">
        <v>107</v>
      </c>
    </row>
    <row r="23" spans="4:10" x14ac:dyDescent="0.25">
      <c r="D23">
        <f>IFERROR(VLOOKUP(E23,NhanSu!F:L,6,0),0)</f>
        <v>0</v>
      </c>
      <c r="E23" t="s">
        <v>486</v>
      </c>
      <c r="F23" t="s">
        <v>107</v>
      </c>
      <c r="G23">
        <v>75200000515</v>
      </c>
      <c r="H23" s="72">
        <v>36767</v>
      </c>
      <c r="I23" s="72" t="s">
        <v>107</v>
      </c>
      <c r="J23" t="s">
        <v>107</v>
      </c>
    </row>
    <row r="24" spans="4:10" x14ac:dyDescent="0.25">
      <c r="D24">
        <f>IFERROR(VLOOKUP(E24,NhanSu!F:L,6,0),0)</f>
        <v>0</v>
      </c>
      <c r="E24" t="s">
        <v>485</v>
      </c>
      <c r="F24" t="s">
        <v>107</v>
      </c>
      <c r="G24">
        <v>272732396</v>
      </c>
      <c r="H24" s="72">
        <v>36804</v>
      </c>
      <c r="I24" s="72" t="s">
        <v>107</v>
      </c>
      <c r="J24" t="s">
        <v>107</v>
      </c>
    </row>
    <row r="25" spans="4:10" x14ac:dyDescent="0.25">
      <c r="D25">
        <f>IFERROR(VLOOKUP(E25,NhanSu!F:L,6,0),0)</f>
        <v>0</v>
      </c>
      <c r="E25" t="s">
        <v>482</v>
      </c>
      <c r="F25" t="s">
        <v>107</v>
      </c>
      <c r="G25">
        <v>271315765</v>
      </c>
      <c r="H25" s="72">
        <v>29205</v>
      </c>
      <c r="I25" s="72" t="s">
        <v>107</v>
      </c>
      <c r="J25" t="s">
        <v>107</v>
      </c>
    </row>
    <row r="26" spans="4:10" x14ac:dyDescent="0.25">
      <c r="D26">
        <f>IFERROR(VLOOKUP(E26,NhanSu!F:L,6,0),0)</f>
        <v>0</v>
      </c>
      <c r="E26" t="s">
        <v>475</v>
      </c>
      <c r="F26" t="s">
        <v>107</v>
      </c>
      <c r="G26">
        <v>272556764</v>
      </c>
      <c r="H26" s="72">
        <v>34976</v>
      </c>
      <c r="I26" s="72" t="s">
        <v>107</v>
      </c>
      <c r="J26" t="s">
        <v>107</v>
      </c>
    </row>
    <row r="27" spans="4:10" x14ac:dyDescent="0.25">
      <c r="D27">
        <f>IFERROR(VLOOKUP(E27,NhanSu!F:L,6,0),0)</f>
        <v>0</v>
      </c>
      <c r="E27" t="s">
        <v>122</v>
      </c>
      <c r="F27" t="s">
        <v>107</v>
      </c>
      <c r="G27">
        <v>271586657</v>
      </c>
      <c r="H27" s="72">
        <v>29221</v>
      </c>
      <c r="I27" s="72" t="s">
        <v>107</v>
      </c>
      <c r="J27" t="s">
        <v>107</v>
      </c>
    </row>
    <row r="28" spans="4:10" x14ac:dyDescent="0.25">
      <c r="D28">
        <f>IFERROR(VLOOKUP(E28,NhanSu!F:L,6,0),0)</f>
        <v>0</v>
      </c>
      <c r="E28" t="s">
        <v>301</v>
      </c>
      <c r="F28" t="s">
        <v>107</v>
      </c>
      <c r="G28">
        <v>271449542</v>
      </c>
      <c r="H28" s="72">
        <v>30027</v>
      </c>
      <c r="I28" s="72" t="s">
        <v>107</v>
      </c>
      <c r="J28" t="s">
        <v>107</v>
      </c>
    </row>
    <row r="29" spans="4:10" x14ac:dyDescent="0.25">
      <c r="D29">
        <f>IFERROR(VLOOKUP(E29,NhanSu!F:L,6,0),0)</f>
        <v>0</v>
      </c>
      <c r="E29" t="s">
        <v>110</v>
      </c>
      <c r="F29" t="s">
        <v>107</v>
      </c>
      <c r="G29">
        <v>271235673</v>
      </c>
      <c r="H29" s="72">
        <v>26845</v>
      </c>
      <c r="I29" s="72" t="s">
        <v>537</v>
      </c>
      <c r="J29" t="s">
        <v>537</v>
      </c>
    </row>
    <row r="30" spans="4:10" x14ac:dyDescent="0.25">
      <c r="D30">
        <f>IFERROR(VLOOKUP(E30,NhanSu!F:L,6,0),0)</f>
        <v>0</v>
      </c>
      <c r="E30" t="s">
        <v>109</v>
      </c>
      <c r="F30" t="s">
        <v>107</v>
      </c>
      <c r="G30">
        <v>271577813</v>
      </c>
      <c r="H30" s="72">
        <v>30730</v>
      </c>
      <c r="I30" s="72" t="s">
        <v>537</v>
      </c>
      <c r="J30" t="s">
        <v>537</v>
      </c>
    </row>
    <row r="31" spans="4:10" x14ac:dyDescent="0.25">
      <c r="D31">
        <f>IFERROR(VLOOKUP(E31,NhanSu!F:L,6,0),0)</f>
        <v>0</v>
      </c>
      <c r="E31" t="s">
        <v>106</v>
      </c>
      <c r="F31" t="s">
        <v>107</v>
      </c>
      <c r="G31">
        <v>271480301</v>
      </c>
      <c r="H31" s="72">
        <v>30193</v>
      </c>
      <c r="I31" s="72" t="s">
        <v>537</v>
      </c>
      <c r="J31" t="s">
        <v>537</v>
      </c>
    </row>
    <row r="32" spans="4:10" x14ac:dyDescent="0.25">
      <c r="D32">
        <f>IFERROR(VLOOKUP(E32,NhanSu!F:L,6,0),0)</f>
        <v>0</v>
      </c>
      <c r="E32" t="s">
        <v>495</v>
      </c>
      <c r="F32" t="s">
        <v>107</v>
      </c>
      <c r="G32">
        <v>272960603</v>
      </c>
      <c r="H32" s="72">
        <v>37008</v>
      </c>
      <c r="I32" t="s">
        <v>107</v>
      </c>
    </row>
    <row r="33" spans="4:9" x14ac:dyDescent="0.25">
      <c r="D33">
        <f>IFERROR(VLOOKUP(E33,NhanSu!F:L,6,0),0)</f>
        <v>0</v>
      </c>
      <c r="E33" t="s">
        <v>494</v>
      </c>
      <c r="F33" t="s">
        <v>107</v>
      </c>
      <c r="G33">
        <v>271688082</v>
      </c>
      <c r="H33" s="72">
        <v>31416</v>
      </c>
      <c r="I33" t="s">
        <v>107</v>
      </c>
    </row>
    <row r="34" spans="4:9" x14ac:dyDescent="0.25">
      <c r="D34">
        <f>IFERROR(VLOOKUP(E34,NhanSu!F:L,6,0),0)</f>
        <v>0</v>
      </c>
      <c r="E34" t="s">
        <v>489</v>
      </c>
      <c r="F34" t="s">
        <v>107</v>
      </c>
      <c r="G34">
        <v>272397442</v>
      </c>
      <c r="H34" s="72">
        <v>34041</v>
      </c>
      <c r="I34" t="s">
        <v>107</v>
      </c>
    </row>
    <row r="35" spans="4:9" x14ac:dyDescent="0.25">
      <c r="D35">
        <f>IFERROR(VLOOKUP(E35,NhanSu!F:L,6,0),0)</f>
        <v>0</v>
      </c>
      <c r="E35" t="s">
        <v>497</v>
      </c>
      <c r="F35" t="s">
        <v>107</v>
      </c>
      <c r="G35">
        <v>272653927</v>
      </c>
      <c r="H35" s="72">
        <v>35555</v>
      </c>
      <c r="I35" t="s">
        <v>107</v>
      </c>
    </row>
    <row r="36" spans="4:9" x14ac:dyDescent="0.25">
      <c r="D36">
        <f>IFERROR(VLOOKUP(E36,NhanSu!F:L,6,0),0)</f>
        <v>0</v>
      </c>
      <c r="E36" t="s">
        <v>480</v>
      </c>
      <c r="F36" t="s">
        <v>107</v>
      </c>
      <c r="G36">
        <v>272352958</v>
      </c>
      <c r="H36" s="72">
        <v>34281</v>
      </c>
      <c r="I36" t="s">
        <v>107</v>
      </c>
    </row>
    <row r="37" spans="4:9" x14ac:dyDescent="0.25">
      <c r="D37">
        <f>IFERROR(VLOOKUP(E37,NhanSu!F:L,6,0),0)</f>
        <v>0</v>
      </c>
      <c r="E37" t="s">
        <v>302</v>
      </c>
      <c r="F37" t="s">
        <v>107</v>
      </c>
      <c r="G37">
        <v>271294536</v>
      </c>
      <c r="H37" s="72">
        <v>29587</v>
      </c>
      <c r="I37" t="s">
        <v>107</v>
      </c>
    </row>
    <row r="38" spans="4:9" x14ac:dyDescent="0.25">
      <c r="D38">
        <f>IFERROR(VLOOKUP(E38,NhanSu!F:L,6,0),0)</f>
        <v>0</v>
      </c>
      <c r="E38" t="s">
        <v>458</v>
      </c>
      <c r="F38" t="s">
        <v>538</v>
      </c>
      <c r="G38">
        <v>271229202</v>
      </c>
      <c r="H38" s="72">
        <v>28052</v>
      </c>
      <c r="I38" t="s">
        <v>539</v>
      </c>
    </row>
    <row r="39" spans="4:9" x14ac:dyDescent="0.25">
      <c r="D39">
        <f>IFERROR(VLOOKUP(E39,NhanSu!F:L,6,0),0)</f>
        <v>0</v>
      </c>
      <c r="E39" t="s">
        <v>459</v>
      </c>
      <c r="F39" t="s">
        <v>538</v>
      </c>
      <c r="G39">
        <v>272526412</v>
      </c>
      <c r="H39" t="s">
        <v>540</v>
      </c>
      <c r="I39" t="s">
        <v>539</v>
      </c>
    </row>
    <row r="40" spans="4:9" x14ac:dyDescent="0.25">
      <c r="D40">
        <f>IFERROR(VLOOKUP(E40,NhanSu!F:L,6,0),0)</f>
        <v>0</v>
      </c>
      <c r="E40" t="s">
        <v>466</v>
      </c>
      <c r="F40" t="s">
        <v>538</v>
      </c>
      <c r="G40">
        <v>271601608</v>
      </c>
      <c r="H40" s="72">
        <v>30303</v>
      </c>
      <c r="I40" t="s">
        <v>539</v>
      </c>
    </row>
    <row r="41" spans="4:9" x14ac:dyDescent="0.25">
      <c r="D41">
        <f>IFERROR(VLOOKUP(E41,NhanSu!F:L,6,0),0)</f>
        <v>0</v>
      </c>
      <c r="E41" t="s">
        <v>127</v>
      </c>
      <c r="F41" t="s">
        <v>538</v>
      </c>
      <c r="G41">
        <v>271298968</v>
      </c>
      <c r="H41" s="72">
        <v>28217</v>
      </c>
      <c r="I41" t="s">
        <v>539</v>
      </c>
    </row>
    <row r="42" spans="4:9" x14ac:dyDescent="0.25">
      <c r="D42">
        <f>IFERROR(VLOOKUP(E42,NhanSu!F:L,6,0),0)</f>
        <v>0</v>
      </c>
      <c r="E42" t="s">
        <v>490</v>
      </c>
      <c r="F42" t="s">
        <v>107</v>
      </c>
      <c r="G42">
        <v>272423855</v>
      </c>
      <c r="H42" s="72">
        <v>34974</v>
      </c>
      <c r="I42" t="s">
        <v>107</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NhaSX-CungCap</vt:lpstr>
      <vt:lpstr>DanhMucBCap</vt:lpstr>
      <vt:lpstr>NhaCungCap</vt:lpstr>
      <vt:lpstr>NhanSuMoi</vt:lpstr>
      <vt:lpstr>TienDoChung</vt:lpstr>
      <vt:lpstr>QuyMoCongTrinh</vt:lpstr>
      <vt:lpstr>PhanBoCatDien</vt:lpstr>
      <vt:lpstr>NangLucTongHop</vt:lpstr>
      <vt:lpstr>NhanSu</vt:lpstr>
      <vt:lpstr>CongTy</vt:lpstr>
      <vt:lpstr>HopDongTuongTu</vt:lpstr>
      <vt:lpstr>CongNhan</vt:lpstr>
      <vt:lpstr>tbmt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2020-09-02T08:34:02Z</dcterms:modified>
</cp:coreProperties>
</file>